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C36B76E-8FB5-4999-BC3B-A5C0B75EE359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72" i="22" l="1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5" i="20" l="1"/>
  <c r="O26" i="18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<sst xmlns="http://schemas.openxmlformats.org/spreadsheetml/2006/main" count="16879" uniqueCount="1039">
  <si>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</si>
  <si>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</si>
  <si>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</si>
  <si>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</si>
  <si>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</si>
  <si>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</si>
  <si>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</si>
  <si>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</si>
  <si>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</si>
  <si>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</si>
  <si>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</si>
  <si>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</si>
  <si>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</si>
  <si>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</si>
  <si>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</si>
  <si>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</si>
  <si>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</si>
  <si>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</si>
  <si>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</si>
  <si>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</si>
  <si>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</si>
  <si>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</si>
  <si>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</si>
  <si>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</si>
  <si>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</si>
  <si>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</si>
  <si>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</si>
  <si>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</si>
  <si>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</si>
  <si>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</si>
  <si>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</si>
  <si>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</si>
  <si>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</si>
  <si>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</si>
  <si>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</si>
  <si>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</si>
  <si>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</si>
  <si>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</si>
  <si>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</si>
  <si>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</si>
  <si>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</si>
  <si>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</si>
  <si>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</si>
  <si>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</si>
  <si>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</si>
  <si>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</si>
  <si>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</si>
  <si>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</si>
  <si>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</si>
  <si>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</si>
  <si>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</si>
  <si>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</si>
  <si>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</si>
  <si>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</si>
  <si>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</si>
  <si>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</si>
  <si>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</si>
  <si>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</si>
  <si>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</si>
  <si>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</si>
  <si>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</si>
  <si>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</si>
  <si>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</si>
  <si>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</si>
  <si>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</si>
  <si>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</si>
  <si>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</si>
  <si>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</si>
  <si>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</si>
  <si>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</si>
  <si>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</si>
  <si>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</si>
  <si>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</si>
  <si>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</si>
  <si>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</si>
  <si>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</si>
  <si>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</si>
  <si>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</si>
  <si>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</si>
  <si>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</si>
  <si>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</si>
  <si>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</si>
  <si>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</si>
  <si>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</si>
  <si>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</si>
  <si>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</si>
  <si>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</si>
  <si>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</si>
  <si>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</si>
  <si>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</si>
  <si>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</si>
  <si>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</si>
  <si>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</si>
  <si>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</si>
  <si>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</si>
  <si>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</si>
  <si>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</si>
  <si>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</si>
  <si>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</si>
  <si>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</si>
  <si>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</si>
  <si>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</si>
  <si>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</si>
  <si>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</si>
  <si>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</si>
  <si>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</si>
  <si>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</si>
  <si>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</si>
  <si>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</si>
  <si>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</si>
  <si>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</si>
  <si>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</si>
  <si>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</si>
  <si>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</si>
  <si>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</si>
  <si>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</si>
  <si>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</si>
  <si>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</si>
  <si>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</si>
  <si>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</si>
  <si>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</si>
  <si>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</si>
  <si>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</si>
  <si>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</si>
  <si>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</si>
  <si>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</si>
  <si>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</si>
  <si>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</si>
  <si>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</si>
  <si>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</si>
  <si>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</si>
  <si>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</si>
  <si>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</si>
  <si>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</si>
  <si>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</si>
  <si>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</si>
  <si>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</si>
  <si>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</si>
  <si>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</si>
  <si>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</si>
  <si>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</si>
  <si>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</si>
  <si>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</si>
  <si>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</si>
  <si>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</si>
  <si>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</si>
  <si>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</si>
  <si>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</si>
  <si>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</si>
  <si>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</si>
  <si>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</si>
  <si>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</si>
  <si>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</si>
  <si>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</si>
  <si>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</si>
  <si>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</si>
  <si>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</si>
  <si>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</si>
  <si>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</si>
  <si>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</si>
  <si>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</si>
  <si>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</si>
  <si>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</si>
  <si>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</si>
  <si>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</si>
  <si>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</si>
  <si>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</si>
  <si>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</si>
  <si>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</si>
  <si>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</si>
  <si>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</si>
  <si>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</si>
  <si>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</si>
  <si>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</si>
  <si>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</si>
  <si>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</si>
  <si>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</si>
  <si>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</si>
  <si>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</si>
  <si>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</si>
  <si>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</si>
  <si>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</si>
  <si>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</si>
  <si>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</si>
  <si>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</si>
  <si>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</si>
  <si>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</si>
  <si>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</si>
  <si>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</si>
  <si>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</si>
  <si>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</si>
  <si>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</si>
  <si>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</si>
  <si>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</si>
  <si>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</si>
  <si>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</si>
  <si>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</si>
  <si>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</si>
  <si>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</si>
  <si>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</si>
  <si>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</si>
  <si>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</si>
  <si>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</si>
  <si>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</si>
  <si>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</si>
  <si>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</si>
  <si>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</si>
  <si>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</si>
  <si>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</si>
  <si>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</si>
  <si>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</si>
  <si>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</si>
  <si>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</si>
  <si>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</si>
  <si>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</si>
  <si>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</si>
  <si>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</si>
  <si>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</si>
  <si>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</si>
  <si>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</si>
  <si>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</si>
  <si>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</si>
  <si>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</si>
  <si>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</si>
  <si>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</si>
  <si>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</si>
  <si>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</si>
  <si>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c7503010-3bb3-11ee-af66-c36ec25f42ed</t>
  </si>
  <si>
    <t>b8976890-3bf9-11ee-92bc-957275a3fc52</t>
  </si>
  <si>
    <t>16fdb170-3c02-11ee-92bc-957275a3fc52</t>
  </si>
  <si>
    <t>2aac0480-3c0a-11ee-92bc-957275a3fc52</t>
  </si>
  <si>
    <t>91adabe0-3c12-11ee-92bc-957275a3fc52</t>
  </si>
  <si>
    <t>63a42dd0-3c23-11ee-92bc-957275a3fc52</t>
  </si>
  <si>
    <t>90a8ab10-3c2a-11ee-92bc-957275a3fc52</t>
  </si>
  <si>
    <t>36aa5cf0-3c32-11ee-92bc-957275a3fc52</t>
  </si>
  <si>
    <t>f26eb200-3c38-11ee-92bc-957275a3fc52</t>
  </si>
  <si>
    <t>54cf1240-3c49-11ee-92bc-957275a3fc52</t>
  </si>
  <si>
    <t>4c7e0990-3c51-11ee-92bc-957275a3fc52</t>
  </si>
  <si>
    <t>dd06b650-3c57-11ee-92bc-957275a3fc52</t>
  </si>
  <si>
    <t>e422d950-3ccf-11ee-87a4-ab9a9b268a3f</t>
  </si>
  <si>
    <t>560661e0-3cda-11ee-87a4-ab9a9b268a3f</t>
  </si>
  <si>
    <t>66c04890-3cec-11ee-87a4-ab9a9b268a3f</t>
  </si>
  <si>
    <t>a98ea4e0-3d06-11ee-87a4-ab9a9b268a3f</t>
  </si>
  <si>
    <t>f70e1060-3d0c-11ee-87a4-ab9a9b268a3f</t>
  </si>
  <si>
    <t>2d4f2aa0-3d13-11ee-87a4-ab9a9b268a3f</t>
  </si>
  <si>
    <t>afdb9a00-3d1b-11ee-87a4-ab9a9b268a3f</t>
  </si>
  <si>
    <t>98a06e50-3d21-11ee-87a4-ab9a9b268a3f</t>
  </si>
  <si>
    <t>f9ce3ed0-3d2d-11ee-87a4-ab9a9b268a3f</t>
  </si>
  <si>
    <t>589704f0-3d34-11ee-87a4-ab9a9b268a3f</t>
  </si>
  <si>
    <t>5df6c6d0-3d3c-11ee-87a4-ab9a9b268a3f</t>
  </si>
  <si>
    <t>fabcff10-3d42-11ee-87a4-ab9a9b268a3f</t>
  </si>
  <si>
    <t>5ce19ac0-3d93-11ee-9961-8ba6b2278444</t>
  </si>
  <si>
    <t>33233f70-3d9a-11ee-9961-8ba6b2278444</t>
  </si>
  <si>
    <t>73d03d00-3da1-11ee-9961-8ba6b2278444</t>
  </si>
  <si>
    <t>538f8280-3dab-11ee-9961-8ba6b2278444</t>
  </si>
  <si>
    <t>24df6fc0-3db2-11ee-9961-8ba6b2278444</t>
  </si>
  <si>
    <t>8dccd2d0-3dc0-11ee-9961-8ba6b2278444</t>
  </si>
  <si>
    <t>5881fc70-3ddb-11ee-9961-8ba6b2278444</t>
  </si>
  <si>
    <t>447409f0-3de3-11ee-9961-8ba6b2278444</t>
  </si>
  <si>
    <t>3f8032d0-3de7-11ee-9961-8ba6b2278444</t>
  </si>
  <si>
    <t>d0f1a3d0-3deb-11ee-9961-8ba6b2278444</t>
  </si>
  <si>
    <t>6817a710-3df0-11ee-9961-8ba6b2278444</t>
  </si>
  <si>
    <t>14ede080-3e00-11ee-9961-8ba6b2278444</t>
  </si>
  <si>
    <t>20de63d0-3e08-11ee-9961-8ba6b2278444</t>
  </si>
  <si>
    <t>a13662d0-3e17-11ee-a223-cd0fd5ea3e76</t>
  </si>
  <si>
    <t>458311b0-3e1f-11ee-a223-cd0fd5ea3e76</t>
  </si>
  <si>
    <t>f59b2850-3e31-11ee-a223-cd0fd5ea3e76</t>
  </si>
  <si>
    <t>e47ef400-3e38-11ee-a223-cd0fd5ea3e76</t>
  </si>
  <si>
    <t>f98228b0-3e40-11ee-a223-cd0fd5ea3e76</t>
  </si>
  <si>
    <t>b8929a80-3e52-11ee-a223-cd0fd5ea3e76</t>
  </si>
  <si>
    <t>54bddd30-3e57-11ee-a223-cd0fd5ea3e76</t>
  </si>
  <si>
    <t>c7ce6220-3e63-11ee-a223-cd0fd5ea3e76</t>
  </si>
  <si>
    <t>5f3e4c60-3e78-11ee-a223-cd0fd5ea3e76</t>
  </si>
  <si>
    <t>e30f5ba0-3e7e-11ee-a223-cd0fd5ea3e76</t>
  </si>
  <si>
    <t>40df8660-3e84-11ee-a223-cd0fd5ea3e76</t>
  </si>
  <si>
    <t>dfb9b510-3e8b-11ee-a223-cd0fd5ea3e76</t>
  </si>
  <si>
    <t>50fec5a0-3e94-11ee-a223-cd0fd5ea3e76</t>
  </si>
  <si>
    <t>b2c72ba0-3ea4-11ee-a223-cd0fd5ea3e76</t>
  </si>
  <si>
    <t>1baff470-3eab-11ee-a223-cd0fd5ea3e76</t>
  </si>
  <si>
    <t>874dc6f0-3eb8-11ee-a223-cd0fd5ea3e76</t>
  </si>
  <si>
    <t>6176f0f0-3ebd-11ee-a223-cd0fd5ea3e76</t>
  </si>
  <si>
    <t>0cd912e0-3ecb-11ee-a223-cd0fd5ea3e76</t>
  </si>
  <si>
    <t>a952bc50-3ed2-11ee-a223-cd0fd5ea3e76</t>
  </si>
  <si>
    <t>d6033770-3f2c-11ee-94bc-1582ca38dee0</t>
  </si>
  <si>
    <t>9fb03650-3f3b-11ee-94bc-1582ca38dee0</t>
  </si>
  <si>
    <t>62ace200-3f43-11ee-94bc-1582ca38dee0</t>
  </si>
  <si>
    <t>700b9e80-3f4f-11ee-94bc-1582ca38dee0</t>
  </si>
  <si>
    <t>fc2ce590-3f6d-11ee-94bc-1582ca38dee0</t>
  </si>
  <si>
    <t>e1f80510-3f77-11ee-94bc-1582ca38dee0</t>
  </si>
  <si>
    <t>e87719a0-3f7f-11ee-94bc-1582ca38dee0</t>
  </si>
  <si>
    <t>30fa14c0-3f85-11ee-94bc-1582ca38dee0</t>
  </si>
  <si>
    <t>48d337b0-3f8b-11ee-94bc-1582ca38dee0</t>
  </si>
  <si>
    <t>a0c3a7e0-3f98-11ee-94bc-1582ca38dee0</t>
  </si>
  <si>
    <t>37e2f030-3fa4-11ee-94bc-1582ca38dee0</t>
  </si>
  <si>
    <t>f72eaa90-3fe7-11ee-9ced-f59396282287</t>
  </si>
  <si>
    <t>5759ca60-3fef-11ee-9ced-f59396282287</t>
  </si>
  <si>
    <t>7f006410-3ffa-11ee-9ced-f59396282287</t>
  </si>
  <si>
    <t>e4a64170-4001-11ee-9ced-f59396282287</t>
  </si>
  <si>
    <t>9c5be4b0-400b-11ee-9ced-f59396282287</t>
  </si>
  <si>
    <t>5c7f7b90-401a-11ee-9ced-f59396282287</t>
  </si>
  <si>
    <t>25151b30-4022-11ee-9ced-f59396282287</t>
  </si>
  <si>
    <t>6bbdf390-4031-11ee-9ced-f59396282287</t>
  </si>
  <si>
    <t>3f1572d0-4047-11ee-9ced-f59396282287</t>
  </si>
  <si>
    <t>cff02540-404f-11ee-9ced-f59396282287</t>
  </si>
  <si>
    <t>3b3b4810-4056-11ee-9ced-f59396282287</t>
  </si>
  <si>
    <t>c4572b40-405c-11ee-9ced-f59396282287</t>
  </si>
  <si>
    <t>f1f8c850-4062-11ee-9ced-f59396282287</t>
  </si>
  <si>
    <t>1dcca1e0-4077-11ee-9ced-f59396282287</t>
  </si>
  <si>
    <t>acf78170-407f-11ee-9ced-f59396282287</t>
  </si>
  <si>
    <t>63de0a50-4088-11ee-9ced-f59396282287</t>
  </si>
  <si>
    <t>812b8cc0-408f-11ee-9ced-f59396282287</t>
  </si>
  <si>
    <t>63e9a110-409e-11ee-9ced-f59396282287</t>
  </si>
  <si>
    <t>1b3522c0-40a6-11ee-9ced-f59396282287</t>
  </si>
  <si>
    <t>62bf85b0-40ae-11ee-9ced-f59396282287</t>
  </si>
  <si>
    <t>539789d0-40c1-11ee-9ced-f59396282287</t>
  </si>
  <si>
    <t>20f0a4f0-40c9-11ee-9ced-f59396282287</t>
  </si>
  <si>
    <t>33bf5a80-40de-11ee-9ced-f59396282287</t>
  </si>
  <si>
    <t>43990110-40f5-11ee-9ced-f59396282287</t>
  </si>
  <si>
    <t>beb447d0-4102-11ee-9ced-f59396282287</t>
  </si>
  <si>
    <t>71d2d390-4108-11ee-9ced-f59396282287</t>
  </si>
  <si>
    <t>32a7e450-4110-11ee-9ced-f59396282287</t>
  </si>
  <si>
    <t>d47fe9b0-4117-11ee-9ced-f59396282287</t>
  </si>
  <si>
    <t>f12cde00-412c-11ee-9ced-f59396282287</t>
  </si>
  <si>
    <t>54684080-4133-11ee-9ced-f59396282287</t>
  </si>
  <si>
    <t>88518970-4178-11ee-8c42-3f990c7c1190</t>
  </si>
  <si>
    <t>d17948b0-4180-11ee-8c42-3f990c7c1190</t>
  </si>
  <si>
    <t>587f7c30-4190-11ee-8c42-3f990c7c1190</t>
  </si>
  <si>
    <t>c7ac6280-4195-11ee-8c42-3f990c7c1190</t>
  </si>
  <si>
    <t>0676bd60-419d-11ee-8c42-3f990c7c1190</t>
  </si>
  <si>
    <t>891f6a80-41a9-11ee-8c42-3f990c7c1190</t>
  </si>
  <si>
    <t>8a5591d0-41af-11ee-8c42-3f990c7c1190</t>
  </si>
  <si>
    <t>28e9a0b0-41c0-11ee-8c42-3f990c7c1190</t>
  </si>
  <si>
    <t>d0b0cf10-4271-11ee-8c42-3f990c7c1190</t>
  </si>
  <si>
    <t>d9a402d0-4277-11ee-8c42-3f990c7c1190</t>
  </si>
  <si>
    <t>8d69fcb0-427e-11ee-8c42-3f990c7c1190</t>
  </si>
  <si>
    <t>b6cbf440-4284-11ee-8c42-3f990c7c1190</t>
  </si>
  <si>
    <t>b92b5520-4291-11ee-8c42-3f990c7c1190</t>
  </si>
  <si>
    <t>395dfd60-4297-11ee-8c42-3f990c7c1190</t>
  </si>
  <si>
    <t>c28d9a30-429e-11ee-8c42-3f990c7c1190</t>
  </si>
  <si>
    <t>26a319f0-42ae-11ee-8c42-3f990c7c1190</t>
  </si>
  <si>
    <t>2dcf4c80-42b8-11ee-8c42-3f990c7c1190</t>
  </si>
  <si>
    <t>245c2340-42c6-11ee-8c42-3f990c7c1190</t>
  </si>
  <si>
    <t>3becea30-42da-11ee-8c42-3f990c7c1190</t>
  </si>
  <si>
    <t>be2f8d10-42e7-11ee-8c42-3f990c7c1190</t>
  </si>
  <si>
    <t>28e53bc0-42f0-11ee-8c42-3f990c7c1190</t>
  </si>
  <si>
    <t>af4fb000-42f5-11ee-8c42-3f990c7c1190</t>
  </si>
  <si>
    <t>86351c80-4301-11ee-8c42-3f990c7c1190</t>
  </si>
  <si>
    <t>4fae81e0-4308-11ee-8c42-3f990c7c1190</t>
  </si>
  <si>
    <t>146492d0-430f-11ee-8c42-3f990c7c1190</t>
  </si>
  <si>
    <t>28ad7b60-431b-11ee-8c42-3f990c7c1190</t>
  </si>
  <si>
    <t>bab93090-431f-11ee-8c42-3f990c7c1190</t>
  </si>
  <si>
    <t>f6f25510-432d-11ee-8c42-3f990c7c1190</t>
  </si>
  <si>
    <t>cd907e60-4344-11ee-8c42-3f990c7c1190</t>
  </si>
  <si>
    <t>6f19f5f0-4349-11ee-8c42-3f990c7c1190</t>
  </si>
  <si>
    <t>241cc020-4351-11ee-8c42-3f990c7c1190</t>
  </si>
  <si>
    <t>ce7f0270-4357-11ee-8c42-3f990c7c1190</t>
  </si>
  <si>
    <t>11487330-4366-11ee-8c42-3f990c7c1190</t>
  </si>
  <si>
    <t>6e91e1c0-436b-11ee-8c42-3f990c7c1190</t>
  </si>
  <si>
    <t>44886920-4371-11ee-8c42-3f990c7c1190</t>
  </si>
  <si>
    <t>dd2b6b40-437c-11ee-8c42-3f990c7c1190</t>
  </si>
  <si>
    <t>474a4640-4387-11ee-8c42-3f990c7c1190</t>
  </si>
  <si>
    <t>c776a8c0-4393-11ee-8c42-3f990c7c1190</t>
  </si>
  <si>
    <t>78fd1c70-43a6-11ee-8c42-3f990c7c1190</t>
  </si>
  <si>
    <t>dc7f0fc0-43aa-11ee-8c42-3f990c7c1190</t>
  </si>
  <si>
    <t>4a7b4170-43b4-11ee-8c42-3f990c7c1190</t>
  </si>
  <si>
    <t>df350a30-43b9-11ee-8c42-3f990c7c1190</t>
  </si>
  <si>
    <t>291f0b30-43c6-11ee-8c42-3f990c7c1190</t>
  </si>
  <si>
    <t>8caf2f50-43ca-11ee-8c42-3f990c7c1190</t>
  </si>
  <si>
    <t>64c46610-43d2-11ee-8c42-3f990c7c1190</t>
  </si>
  <si>
    <t>4105e490-43de-11ee-8c42-3f990c7c1190</t>
  </si>
  <si>
    <t>ffc56320-43e2-11ee-8c42-3f990c7c1190</t>
  </si>
  <si>
    <t>70742a50-43ef-11ee-8c42-3f990c7c1190</t>
  </si>
  <si>
    <t>2f839fd0-4403-11ee-8c42-3f990c7c1190</t>
  </si>
  <si>
    <t>5ba1f840-4409-11ee-8c42-3f990c7c1190</t>
  </si>
  <si>
    <t>99f0a890-4412-11ee-8c42-3f990c7c1190</t>
  </si>
  <si>
    <t>f7d44960-4419-11ee-8c42-3f990c7c1190</t>
  </si>
  <si>
    <t>8569c240-442a-11ee-8c42-3f990c7c1190</t>
  </si>
  <si>
    <t>66236a20-4430-11ee-8c42-3f990c7c1190</t>
  </si>
  <si>
    <t>d551ec30-4437-11ee-8c42-3f990c7c1190</t>
  </si>
  <si>
    <t>9d9bea90-4444-11ee-8c42-3f990c7c1190</t>
  </si>
  <si>
    <t>92e70140-444c-11ee-8c42-3f990c7c1190</t>
  </si>
  <si>
    <t>0c1d5e90-445e-11ee-8c42-3f990c7c1190</t>
  </si>
  <si>
    <t>0bc2c0d0-4471-11ee-8c42-3f990c7c1190</t>
  </si>
  <si>
    <t>feeffd60-4474-11ee-8c42-3f990c7c1190</t>
  </si>
  <si>
    <t>5dbadbd0-447a-11ee-8c42-3f990c7c1190</t>
  </si>
  <si>
    <t>9959cae0-4482-11ee-8c42-3f990c7c1190</t>
  </si>
  <si>
    <t>d3805bb0-4493-11ee-8c42-3f990c7c1190</t>
  </si>
  <si>
    <t>f0b96460-449d-11ee-8c42-3f990c7c1190</t>
  </si>
  <si>
    <t>4e4fd6f0-44a2-11ee-8c42-3f990c7c1190</t>
  </si>
  <si>
    <t>5f53b130-44af-11ee-8c42-3f990c7c1190</t>
  </si>
  <si>
    <t>253841f0-44b4-11ee-8c42-3f990c7c1190</t>
  </si>
  <si>
    <t>5fa8f090-44c4-11ee-8c42-3f990c7c1190</t>
  </si>
  <si>
    <t>06033660-4553-11ee-8c42-3f990c7c1190</t>
  </si>
  <si>
    <t>7c56caa0-455a-11ee-8c42-3f990c7c1190</t>
  </si>
  <si>
    <t>e161c790-4561-11ee-8c42-3f990c7c1190</t>
  </si>
  <si>
    <t>8b481460-456e-11ee-8c42-3f990c7c1190</t>
  </si>
  <si>
    <t>918c5f50-4575-11ee-8c42-3f990c7c1190</t>
  </si>
  <si>
    <t>504e5540-4582-11ee-8c42-3f990c7c1190</t>
  </si>
  <si>
    <t>df199990-4593-11ee-8c42-3f990c7c1190</t>
  </si>
  <si>
    <t>ea223540-4598-11ee-8c42-3f990c7c1190</t>
  </si>
  <si>
    <t>789a1880-45a1-11ee-8c42-3f990c7c1190</t>
  </si>
  <si>
    <t>e0a2da30-45aa-11ee-8c42-3f990c7c1190</t>
  </si>
  <si>
    <t>ddf77a30-45b3-11ee-8c42-3f990c7c1190</t>
  </si>
  <si>
    <t>f7f50c50-45d0-11ee-8c42-3f990c7c1190</t>
  </si>
  <si>
    <t>fda95900-45e7-11ee-8c42-3f990c7c1190</t>
  </si>
  <si>
    <t>7b6edc60-45ee-11ee-8c42-3f990c7c1190</t>
  </si>
  <si>
    <t>49ad9200-45f5-11ee-8c42-3f990c7c1190</t>
  </si>
  <si>
    <t>4cc79050-4602-11ee-8c42-3f990c7c1190</t>
  </si>
  <si>
    <t>ef5d5ce0-4608-11ee-8c42-3f990c7c1190</t>
  </si>
  <si>
    <t>57410300-4615-11ee-8c42-3f990c7c1190</t>
  </si>
  <si>
    <t>155cc9b0-4629-11ee-8c42-3f990c7c1190</t>
  </si>
  <si>
    <t>14402000-4632-11ee-8c42-3f990c7c1190</t>
  </si>
  <si>
    <t>3e95ed70-4638-11ee-8c42-3f990c7c1190</t>
  </si>
  <si>
    <t>ba95e450-4644-11ee-8c42-3f990c7c1190</t>
  </si>
  <si>
    <t>c5ee0d50-464e-11ee-8c42-3f990c7c1190</t>
  </si>
  <si>
    <t>225a2850-4661-11ee-8c42-3f990c7c1190</t>
  </si>
  <si>
    <t>08e6d400-4674-11ee-8c42-3f990c7c1190</t>
  </si>
  <si>
    <t>f9dec7c0-467c-11ee-8c42-3f990c7c1190</t>
  </si>
  <si>
    <t>72963ca0-4684-11ee-8c42-3f990c7c1190</t>
  </si>
  <si>
    <t>ea1ee6c0-4691-11ee-8c42-3f990c7c1190</t>
  </si>
  <si>
    <t>e82aa1c0-469a-11ee-8c42-3f990c7c1190</t>
  </si>
  <si>
    <t>acc42d30-46a5-11ee-8c42-3f990c7c1190</t>
  </si>
  <si>
    <t>783f5890-4705-11ee-8c42-3f990c7c1190</t>
  </si>
  <si>
    <t>39f86810-470a-11ee-8c42-3f990c7c1190</t>
  </si>
  <si>
    <t>9235dc40-4716-11ee-8c42-3f990c7c1190</t>
  </si>
  <si>
    <t>9fa70b20-4729-11ee-8c42-3f990c7c1190</t>
  </si>
  <si>
    <t>73089d80-4734-11ee-8c42-3f990c7c1190</t>
  </si>
  <si>
    <t>f6148b30-473e-11ee-8c42-3f990c7c1190</t>
  </si>
  <si>
    <t>836c3060-4752-11ee-8c42-3f990c7c1190</t>
  </si>
  <si>
    <t>c9c5c990-475c-11ee-8c42-3f990c7c1190</t>
  </si>
  <si>
    <t>3ba572d0-476d-11ee-8c42-3f990c7c1190</t>
  </si>
  <si>
    <t>d14ae830-477f-11ee-8c42-3f990c7c1190</t>
  </si>
  <si>
    <t>0b3294e0-4789-11ee-8c42-3f990c7c1190</t>
  </si>
  <si>
    <t>476d8e20-4797-11ee-8c42-3f990c7c1190</t>
  </si>
  <si>
    <t>d056edd0-47d8-11ee-8c42-3f990c7c1190</t>
  </si>
  <si>
    <t>904d5600-47ee-11ee-8c42-3f990c7c1190</t>
  </si>
  <si>
    <t>72d8a840-4802-11ee-8c42-3f990c7c1190</t>
  </si>
  <si>
    <t>bdf51720-458f-11ee-ada0-752f197872b4</t>
  </si>
  <si>
    <t>3bf7df00-3a7c-11ee-b719-3513ceefcc52</t>
  </si>
  <si>
    <t>44a98070-3a83-11ee-b719-3513ceefcc52</t>
  </si>
  <si>
    <t>7ee14670-45a4-11ee-ada0-752f197872b4</t>
  </si>
  <si>
    <t>c488bb10-3a94-11ee-b719-3513ceefcc52</t>
  </si>
  <si>
    <t>d7f6c970-3a9f-11ee-b719-3513ceefcc52</t>
  </si>
  <si>
    <t>67229410-45c4-11ee-ada0-752f197872b4</t>
  </si>
  <si>
    <t>3840ad20-3aad-11ee-b719-3513ceefcc52</t>
  </si>
  <si>
    <t>50879470-45d4-11ee-ada0-752f197872b4</t>
  </si>
  <si>
    <t>65a3dfa0-3ac9-11ee-b719-3513ceefcc52</t>
  </si>
  <si>
    <t>2d6fe700-45f0-11ee-ada0-752f197872b4</t>
  </si>
  <si>
    <t>10a5eea0-45f8-11ee-ada0-752f197872b4</t>
  </si>
  <si>
    <t>52a53b70-3aeb-11ee-b719-3513ceefcc52</t>
  </si>
  <si>
    <t>cc89e5b0-3af2-11ee-b719-3513ceefcc52</t>
  </si>
  <si>
    <t>f4861210-3b00-11ee-b719-3513ceefcc52</t>
  </si>
  <si>
    <t>30870e90-3b1a-11ee-b719-3513ceefcc52</t>
  </si>
  <si>
    <t>fae957e0-3b21-11ee-b719-3513ceefcc52</t>
  </si>
  <si>
    <t>2ecbbf20-4640-11ee-ada0-752f197872b4</t>
  </si>
  <si>
    <t>74d76940-3b2f-11ee-b719-3513ceefcc52</t>
  </si>
  <si>
    <t>9dad9430-3b38-11ee-b719-3513ceefcc52</t>
  </si>
  <si>
    <t>034e6bb0-3b44-11ee-b719-3513ceefcc52</t>
  </si>
  <si>
    <t>7e3ab1b0-465e-11ee-ada0-752f197872b4</t>
  </si>
  <si>
    <t>8726cea0-4666-11ee-ada0-752f197872b4</t>
  </si>
  <si>
    <t>1ee3ef80-4670-11ee-ada0-752f197872b4</t>
  </si>
  <si>
    <t>c3887120-3b9c-11ee-8ced-9dce09e38f55</t>
  </si>
  <si>
    <t>b8c4ef90-3ba9-11ee-8ced-9dce09e38f55</t>
  </si>
  <si>
    <t>62d03460-4689-11ee-ada0-752f197872b4</t>
  </si>
  <si>
    <t>71d54680-4698-11ee-ada0-752f197872b4</t>
  </si>
  <si>
    <t>98f11e50-3bcc-11ee-8ced-9dce09e38f55</t>
  </si>
  <si>
    <t>b887bf00-46ab-11ee-ada0-752f197872b4</t>
  </si>
  <si>
    <t>43c2b3d0-46c1-11ee-ada0-752f197872b4</t>
  </si>
  <si>
    <t>7d58d710-3bf3-11ee-8ced-9dce09e38f55</t>
  </si>
  <si>
    <t>67992b50-46cf-11ee-ada0-752f197872b4</t>
  </si>
  <si>
    <t>3e2dd910-3c01-11ee-8ced-9dce09e38f55</t>
  </si>
  <si>
    <t>f528cd40-46de-11ee-ada0-752f197872b4</t>
  </si>
  <si>
    <t>fcf3a210-46ee-11ee-ada0-752f197872b4</t>
  </si>
  <si>
    <t>38052640-3c17-11ee-8ced-9dce09e38f55</t>
  </si>
  <si>
    <t>29b5baf0-46fd-11ee-ada0-752f197872b4</t>
  </si>
  <si>
    <t>3b4ae770-4704-11ee-ada0-752f197872b4</t>
  </si>
  <si>
    <t>e3b37ba0-4715-11ee-ada0-752f197872b4</t>
  </si>
  <si>
    <t>f50a3280-3c3a-11ee-8ced-9dce09e38f55</t>
  </si>
  <si>
    <t>ba575350-3c41-11ee-8ced-9dce09e38f55</t>
  </si>
  <si>
    <t>b931da90-3c4b-11ee-8ced-9dce09e38f55</t>
  </si>
  <si>
    <t>5e0816b0-3c51-11ee-8ced-9dce09e38f55</t>
  </si>
  <si>
    <t>feb22690-3c5c-11ee-8ced-9dce09e38f55</t>
  </si>
  <si>
    <t>291200f0-3c75-11ee-8ced-9dce09e38f55</t>
  </si>
  <si>
    <t>25cfa300-3c7c-11ee-8ced-9dce09e38f55</t>
  </si>
  <si>
    <t>519f9b10-3c87-11ee-8ced-9dce09e38f55</t>
  </si>
  <si>
    <t>19f25ac0-3c8e-11ee-8ced-9dce09e38f55</t>
  </si>
  <si>
    <t>2258f400-3c96-11ee-8ced-9dce09e38f55</t>
  </si>
  <si>
    <t>6827c010-3ca5-11ee-8ced-9dce09e38f55</t>
  </si>
  <si>
    <t>280bba10-3cad-11ee-8ced-9dce09e38f55</t>
  </si>
  <si>
    <t>f62e0380-3cb2-11ee-8ced-9dce09e38f55</t>
  </si>
  <si>
    <t>be4e6bc0-3cbd-11ee-8ced-9dce09e38f55</t>
  </si>
  <si>
    <t>0b8c9ca0-3cd1-11ee-8ced-9dce09e38f55</t>
  </si>
  <si>
    <t>f5ce1e80-3cd9-11ee-8ced-9dce09e38f55</t>
  </si>
  <si>
    <t>baebe000-3ce2-11ee-8ced-9dce09e38f55</t>
  </si>
  <si>
    <t>689a5860-3cef-11ee-8ced-9dce09e38f55</t>
  </si>
  <si>
    <t>d7910190-3cf6-11ee-8ced-9dce09e38f55</t>
  </si>
  <si>
    <t>3ba8ef20-3d02-11ee-8ced-9dce09e38f55</t>
  </si>
  <si>
    <t>a409be10-3d1a-11ee-8ced-9dce09e38f55</t>
  </si>
  <si>
    <t>2561de10-3d21-11ee-8ced-9dce09e38f55</t>
  </si>
  <si>
    <t>12028270-3d26-11ee-8ced-9dce09e38f55</t>
  </si>
  <si>
    <t>03c1ec40-3d2c-11ee-8ced-9dce09e38f55</t>
  </si>
  <si>
    <t>55210d80-3d33-11ee-8ced-9dce09e38f55</t>
  </si>
  <si>
    <t>75543170-3d3f-11ee-8ced-9dce09e38f55</t>
  </si>
  <si>
    <t>1c8dc710-3d47-11ee-8ced-9dce09e38f55</t>
  </si>
  <si>
    <t>6d54a320-3d52-11ee-8ced-9dce09e38f55</t>
  </si>
  <si>
    <t>76019ec0-3d5b-11ee-8ced-9dce09e38f55</t>
  </si>
  <si>
    <t>a3116d00-3d6a-11ee-8ced-9dce09e38f55</t>
  </si>
  <si>
    <t>d3142100-3d6f-11ee-8ced-9dce09e38f55</t>
  </si>
  <si>
    <t>10777c60-3d78-11ee-8ced-9dce09e38f55</t>
  </si>
  <si>
    <t>10c7e550-3d83-11ee-8ced-9dce09e38f55</t>
  </si>
  <si>
    <t>4f170040-3d8b-11ee-8ced-9dce09e38f55</t>
  </si>
  <si>
    <t>c152a900-3d97-11ee-8ced-9dce09e38f55</t>
  </si>
  <si>
    <t>b99c1850-3daf-11ee-8ced-9dce09e38f55</t>
  </si>
  <si>
    <t>10e9e340-3de6-11ee-a21f-01ec6f1812cc</t>
  </si>
  <si>
    <t>93bdbbe0-3dee-11ee-a21f-01ec6f1812cc</t>
  </si>
  <si>
    <t>7344bab0-3df5-11ee-a21f-01ec6f1812cc</t>
  </si>
  <si>
    <t>eab8e4b0-3dfd-11ee-a21f-01ec6f1812cc</t>
  </si>
  <si>
    <t>462f3890-3e11-11ee-a21f-01ec6f1812cc</t>
  </si>
  <si>
    <t>aac85650-3e17-11ee-a21f-01ec6f1812cc</t>
  </si>
  <si>
    <t>322108e0-3e22-11ee-a21f-01ec6f1812cc</t>
  </si>
  <si>
    <t>49ff7110-3e2a-11ee-a21f-01ec6f1812cc</t>
  </si>
  <si>
    <t>9e8b0e90-3e3b-11ee-a21f-01ec6f1812cc</t>
  </si>
  <si>
    <t>b63b61e0-3e43-11ee-a21f-01ec6f1812cc</t>
  </si>
  <si>
    <t>b14a4280-3e4a-11ee-a21f-01ec6f1812cc</t>
  </si>
  <si>
    <t>87831e80-3e5a-11ee-a21f-01ec6f1812cc</t>
  </si>
  <si>
    <t>50aee3a0-3e62-11ee-a21f-01ec6f1812cc</t>
  </si>
  <si>
    <t>6df23dd0-3e72-11ee-a21f-01ec6f1812cc</t>
  </si>
  <si>
    <t>b06ed800-3e89-11ee-a21f-01ec6f1812cc</t>
  </si>
  <si>
    <t>5defd490-3e92-11ee-a21f-01ec6f1812cc</t>
  </si>
  <si>
    <t>db257400-3e98-11ee-a21f-01ec6f1812cc</t>
  </si>
  <si>
    <t>e5414940-3e9e-11ee-a21f-01ec6f1812cc</t>
  </si>
  <si>
    <t>3eacfde0-3ea3-11ee-a21f-01ec6f1812cc</t>
  </si>
  <si>
    <t>01a104c0-3eb0-11ee-a21f-01ec6f1812cc</t>
  </si>
  <si>
    <t>758f1ca0-3eb5-11ee-a21f-01ec6f1812cc</t>
  </si>
  <si>
    <t>7cb99e50-3ebb-11ee-a21f-01ec6f1812cc</t>
  </si>
  <si>
    <t>222be170-3ec3-11ee-a21f-01ec6f1812cc</t>
  </si>
  <si>
    <t>79362cd0-3ecf-11ee-a21f-01ec6f1812cc</t>
  </si>
  <si>
    <t>55771dd0-3ed5-11ee-a21f-01ec6f1812cc</t>
  </si>
  <si>
    <t>f87f0290-3eda-11ee-a21f-01ec6f1812cc</t>
  </si>
  <si>
    <t>6e483450-3ee6-11ee-a21f-01ec6f1812cc</t>
  </si>
  <si>
    <t>d5158fd0-3eef-11ee-a21f-01ec6f1812cc</t>
  </si>
  <si>
    <t>09e66220-3eff-11ee-a21f-01ec6f1812cc</t>
  </si>
  <si>
    <t>c27b31a0-3f93-11ee-a21f-01ec6f1812cc</t>
  </si>
  <si>
    <t>92373fd0-3f97-11ee-a21f-01ec6f1812cc</t>
  </si>
  <si>
    <t>62401900-3f9c-11ee-a21f-01ec6f1812cc</t>
  </si>
  <si>
    <t>a87eb780-3fa3-11ee-a21f-01ec6f1812cc</t>
  </si>
  <si>
    <t>016a2650-3fad-11ee-a21f-01ec6f1812cc</t>
  </si>
  <si>
    <t>fd938990-3fb1-11ee-a21f-01ec6f1812cc</t>
  </si>
  <si>
    <t>8495d430-3fbb-11ee-a21f-01ec6f1812cc</t>
  </si>
  <si>
    <t>801aeab0-3fcc-11ee-a21f-01ec6f1812cc</t>
  </si>
  <si>
    <t>73f2ad30-3fd2-11ee-a21f-01ec6f1812cc</t>
  </si>
  <si>
    <t>0b198c10-3fdd-11ee-a21f-01ec6f1812cc</t>
  </si>
  <si>
    <t>cdb8d8b0-3fe8-11ee-a21f-01ec6f1812cc</t>
  </si>
  <si>
    <t>7b79d660-3fef-11ee-a21f-01ec6f1812cc</t>
  </si>
  <si>
    <t>d5d02730-3ff5-11ee-a21f-01ec6f1812cc</t>
  </si>
  <si>
    <t>006dc880-3ffb-11ee-a21f-01ec6f1812cc</t>
  </si>
  <si>
    <t>d5d9e600-4007-11ee-a21f-01ec6f1812cc</t>
  </si>
  <si>
    <t>6ccbcf00-400e-11ee-a21f-01ec6f1812cc</t>
  </si>
  <si>
    <t>40d91970-4013-11ee-a21f-01ec6f1812cc</t>
  </si>
  <si>
    <t>658e5f90-401e-11ee-a21f-01ec6f1812cc</t>
  </si>
  <si>
    <t>169e7020-4044-11ee-b18b-bbfbe2333509</t>
  </si>
  <si>
    <t>fc08c010-404f-11ee-b18b-bbfbe2333509</t>
  </si>
  <si>
    <t>e5617220-4064-11ee-b18b-bbfbe2333509</t>
  </si>
  <si>
    <t>8e1938c0-406b-11ee-b18b-bbfbe2333509</t>
  </si>
  <si>
    <t>00d9bb30-4073-11ee-b18b-bbfbe2333509</t>
  </si>
  <si>
    <t>ddcec7b0-407d-11ee-b18b-bbfbe2333509</t>
  </si>
  <si>
    <t>7eb51d40-4089-11ee-b18b-bbfbe2333509</t>
  </si>
  <si>
    <t>ebcb1500-408f-11ee-b18b-bbfbe2333509</t>
  </si>
  <si>
    <t>ef1336f0-4096-11ee-b18b-bbfbe2333509</t>
  </si>
  <si>
    <t>812449b0-40a3-11ee-b18b-bbfbe2333509</t>
  </si>
  <si>
    <t>f5ec34e0-40aa-11ee-b18b-bbfbe2333509</t>
  </si>
  <si>
    <t>4842b1a0-40b6-11ee-b18b-bbfbe2333509</t>
  </si>
  <si>
    <t>f57b0b70-40c9-11ee-b18b-bbfbe2333509</t>
  </si>
  <si>
    <t>27488270-40d1-11ee-b18b-bbfbe2333509</t>
  </si>
  <si>
    <t>970a07a0-40d6-11ee-b18b-bbfbe2333509</t>
  </si>
  <si>
    <t>fe72dfd0-40df-11ee-b18b-bbfbe2333509</t>
  </si>
  <si>
    <t>3e42bc70-40ea-11ee-b18b-bbfbe2333509</t>
  </si>
  <si>
    <t>f0815300-40f0-11ee-b18b-bbfbe2333509</t>
  </si>
  <si>
    <t>1a87ab70-40f8-11ee-b18b-bbfbe2333509</t>
  </si>
  <si>
    <t>ec1a54c0-4103-11ee-b18b-bbfbe2333509</t>
  </si>
  <si>
    <t>95ac3240-410b-11ee-b18b-bbfbe2333509</t>
  </si>
  <si>
    <t>40665460-4119-11ee-b18b-bbfbe2333509</t>
  </si>
  <si>
    <t>035463a0-412d-11ee-b18b-bbfbe2333509</t>
  </si>
  <si>
    <t>de0bce70-4132-11ee-b18b-bbfbe2333509</t>
  </si>
  <si>
    <t>9584efd0-413a-11ee-b18b-bbfbe2333509</t>
  </si>
  <si>
    <t>0a2aa270-4141-11ee-b18b-bbfbe2333509</t>
  </si>
  <si>
    <t>1acb7850-4152-11ee-b18b-bbfbe2333509</t>
  </si>
  <si>
    <t>165ba8d0-4157-11ee-b18b-bbfbe2333509</t>
  </si>
  <si>
    <t>dac05ae0-415c-11ee-b18b-bbfbe2333509</t>
  </si>
  <si>
    <t>abfacab0-416b-11ee-b18b-bbfbe2333509</t>
  </si>
  <si>
    <t>806e25c0-4177-11ee-b18b-bbfbe2333509</t>
  </si>
  <si>
    <t>b7714060-4191-11ee-b18b-bbfbe2333509</t>
  </si>
  <si>
    <t>b350b9a0-41a7-11ee-b18b-bbfbe2333509</t>
  </si>
  <si>
    <t>f3faa9f0-41ae-11ee-b18b-bbfbe2333509</t>
  </si>
  <si>
    <t>60c8ff70-41b7-11ee-b18b-bbfbe2333509</t>
  </si>
  <si>
    <t>3004c7d0-41c0-11ee-b18b-bbfbe2333509</t>
  </si>
  <si>
    <t>ea6cf600-41cb-11ee-b18b-bbfbe2333509</t>
  </si>
  <si>
    <t>1a470170-41d3-11ee-b18b-bbfbe2333509</t>
  </si>
  <si>
    <t>84f978a0-41d7-11ee-b18b-bbfbe2333509</t>
  </si>
  <si>
    <t>e4566ba0-41e1-11ee-b18b-bbfbe2333509</t>
  </si>
  <si>
    <t>1706be00-41e8-11ee-b18b-bbfbe2333509</t>
  </si>
  <si>
    <t>d326def0-41ff-11ee-b18b-bbfbe2333509</t>
  </si>
  <si>
    <t>e6774700-4269-11ee-b18b-bbfbe2333509</t>
  </si>
  <si>
    <t>f3f25dc0-4278-11ee-b18b-bbfbe2333509</t>
  </si>
  <si>
    <t>f9a739f0-427f-11ee-b18b-bbfbe2333509</t>
  </si>
  <si>
    <t>194c51e0-4290-11ee-b18b-bbfbe2333509</t>
  </si>
  <si>
    <t>20222e70-4297-11ee-b18b-bbfbe2333509</t>
  </si>
  <si>
    <t>d98c2de0-429f-11ee-b18b-bbfbe2333509</t>
  </si>
  <si>
    <t>afdfd2f0-42b1-11ee-b18b-bbfbe2333509</t>
  </si>
  <si>
    <t>5f683fa0-42b7-11ee-b18b-bbfbe2333509</t>
  </si>
  <si>
    <t>a279cc00-42bc-11ee-b18b-bbfbe2333509</t>
  </si>
  <si>
    <t>ee302560-42c4-11ee-b18b-bbfbe2333509</t>
  </si>
  <si>
    <t>141101f0-42ca-11ee-b18b-bbfbe2333509</t>
  </si>
  <si>
    <t>3e66f9a0-42d4-11ee-b18b-bbfbe2333509</t>
  </si>
  <si>
    <t>716c0110-42ed-11ee-b18b-bbfbe2333509</t>
  </si>
  <si>
    <t>4b8377d0-42f2-11ee-b18b-bbfbe2333509</t>
  </si>
  <si>
    <t>4688bb80-42f9-11ee-b18b-bbfbe2333509</t>
  </si>
  <si>
    <t>48f8eca0-4303-11ee-b18b-bbfbe2333509</t>
  </si>
  <si>
    <t>e1dd2530-4308-11ee-b18b-bbfbe2333509</t>
  </si>
  <si>
    <t>e7f5f350-430f-11ee-b18b-bbfbe2333509</t>
  </si>
  <si>
    <t>73f01310-431d-11ee-b18b-bbfbe2333509</t>
  </si>
  <si>
    <t>49ec1150-4326-11ee-b18b-bbfbe2333509</t>
  </si>
  <si>
    <t>cedcfa60-432a-11ee-b18b-bbfbe2333509</t>
  </si>
  <si>
    <t>1de48850-4338-11ee-b18b-bbfbe2333509</t>
  </si>
  <si>
    <t>fc6b5860-4342-11ee-b18b-bbfbe2333509</t>
  </si>
  <si>
    <t>a3745630-434c-11ee-b18b-bbfbe2333509</t>
  </si>
  <si>
    <t>b3e69ed0-4359-11ee-b18b-bbfbe2333509</t>
  </si>
  <si>
    <t>c4466a80-435e-11ee-b18b-bbfbe2333509</t>
  </si>
  <si>
    <t>9d4cad70-4365-11ee-b18b-bbfbe2333509</t>
  </si>
  <si>
    <t>5cf0a650-436f-11ee-b18b-bbfbe2333509</t>
  </si>
  <si>
    <t>cf0fb8a0-4376-11ee-b18b-bbfbe2333509</t>
  </si>
  <si>
    <t>45f98450-437c-11ee-b18b-bbfbe2333509</t>
  </si>
  <si>
    <t>0e7e9f00-43cd-11ee-b18b-bbfbe2333509</t>
  </si>
  <si>
    <t>a7aa7270-43d3-11ee-b18b-bbfbe2333509</t>
  </si>
  <si>
    <t>332edf40-43dc-11ee-b18b-bbfbe2333509</t>
  </si>
  <si>
    <t>021dc9b0-43f1-11ee-b18b-bbfbe2333509</t>
  </si>
  <si>
    <t>5ebf3870-43f6-11ee-b18b-bbfbe2333509</t>
  </si>
  <si>
    <t>adfb4b40-4400-11ee-b18b-bbfbe2333509</t>
  </si>
  <si>
    <t>34d37470-4411-11ee-b18b-bbfbe2333509</t>
  </si>
  <si>
    <t>b7580680-4417-11ee-b18b-bbfbe2333509</t>
  </si>
  <si>
    <t>48840910-4427-11ee-b18b-bbfbe2333509</t>
  </si>
  <si>
    <t>24dcbf70-443b-11ee-b18b-bbfbe2333509</t>
  </si>
  <si>
    <t>3378e220-4440-11ee-b18b-bbfbe2333509</t>
  </si>
  <si>
    <t>14ceb0b0-444b-11ee-b18b-bbfbe2333509</t>
  </si>
  <si>
    <t>8bd1c990-4478-11ee-b18b-bbfbe2333509</t>
  </si>
  <si>
    <t>50d9a300-448a-11ee-b18b-bbfbe2333509</t>
  </si>
  <si>
    <t>e4a3daa0-449a-11ee-b18b-bbfbe2333509</t>
  </si>
  <si>
    <t>79cb7990-2f19-11ee-b61f-35cc94e275cf</t>
  </si>
  <si>
    <t>db02c420-2f1e-11ee-b61f-35cc94e275cf</t>
  </si>
  <si>
    <t>eb34f020-2f23-11ee-b61f-35cc94e275cf</t>
  </si>
  <si>
    <t>cbffb660-2f26-11ee-b61f-35cc94e275cf</t>
  </si>
  <si>
    <t>83889690-2f2b-11ee-b61f-35cc94e275cf</t>
  </si>
  <si>
    <t>4cb40a60-2f2f-11ee-b61f-35cc94e275cf</t>
  </si>
  <si>
    <t>348d29b0-2f36-11ee-b61f-35cc94e275cf</t>
  </si>
  <si>
    <t>3dd08700-2f41-11ee-b61f-35cc94e275cf</t>
  </si>
  <si>
    <t>f7810980-2f42-11ee-b61f-35cc94e275cf</t>
  </si>
  <si>
    <t>8642a420-2f44-11ee-b61f-35cc94e275cf</t>
  </si>
  <si>
    <t>5c894420-2f46-11ee-b61f-35cc94e275cf</t>
  </si>
  <si>
    <t>a9217630-2f47-11ee-b61f-35cc94e275cf</t>
  </si>
  <si>
    <t>6feaa1f0-2f49-11ee-b61f-35cc94e275cf</t>
  </si>
  <si>
    <t>1afd0f80-2f52-11ee-b61f-35cc94e275cf</t>
  </si>
  <si>
    <t>6d8cd040-2f53-11ee-b61f-35cc94e275cf</t>
  </si>
  <si>
    <t>02458790-2f59-11ee-b61f-35cc94e275cf</t>
  </si>
  <si>
    <t>282811d0-2f5e-11ee-b61f-35cc94e275cf</t>
  </si>
  <si>
    <t>45aaaad0-2f61-11ee-b61f-35cc94e275cf</t>
  </si>
  <si>
    <t>84444e30-2f67-11ee-b61f-35cc94e275cf</t>
  </si>
  <si>
    <t>a2f73bc0-2f68-11ee-b61f-35cc94e275cf</t>
  </si>
  <si>
    <t>2666e360-2f6a-11ee-b61f-35cc94e275cf</t>
  </si>
  <si>
    <t>8f032c20-2f6b-11ee-b61f-35cc94e275cf</t>
  </si>
  <si>
    <t>8f52f270-2f6e-11ee-b61f-35cc94e275cf</t>
  </si>
  <si>
    <t>2a91b9a0-2f70-11ee-b61f-35cc94e275cf</t>
  </si>
  <si>
    <t>94a6f150-2f72-11ee-b61f-35cc94e275cf</t>
  </si>
  <si>
    <t>9c210f10-2f77-11ee-b61f-35cc94e275cf</t>
  </si>
  <si>
    <t>fec4ccd0-2f7a-11ee-b61f-35cc94e275cf</t>
  </si>
  <si>
    <t>481c4b70-2f7f-11ee-b61f-35cc94e275cf</t>
  </si>
  <si>
    <t>475b86f0-2f94-11ee-b61f-35cc94e275cf</t>
  </si>
  <si>
    <t>e88791b0-2f97-11ee-b61f-35cc94e275cf</t>
  </si>
  <si>
    <t>85516180-2fa0-11ee-b61f-35cc94e275cf</t>
  </si>
  <si>
    <t>0c544200-2fa2-11ee-b61f-35cc94e275cf</t>
  </si>
  <si>
    <t>d74867e0-2fa5-11ee-b61f-35cc94e275cf</t>
  </si>
  <si>
    <t>517e31a0-2fa8-11ee-b61f-35cc94e275cf</t>
  </si>
  <si>
    <t>24d04cf0-2fae-11ee-b61f-35cc94e275cf</t>
  </si>
  <si>
    <t>753fc190-2fb6-11ee-b61f-35cc94e275cf</t>
  </si>
  <si>
    <t>23e5ebf0-2fb9-11ee-b61f-35cc94e275cf</t>
  </si>
  <si>
    <t>986d3360-2fba-11ee-b61f-35cc94e275cf</t>
  </si>
  <si>
    <t>c570fc10-2fbb-11ee-b61f-35cc94e275cf</t>
  </si>
  <si>
    <t>133d1a40-2fbd-11ee-b61f-35cc94e275cf</t>
  </si>
  <si>
    <t>63b688b0-2fbf-11ee-b61f-35cc94e275cf</t>
  </si>
  <si>
    <t>9366cc60-2fc3-11ee-b61f-35cc94e275cf</t>
  </si>
  <si>
    <t>a1699210-2fc4-11ee-b61f-35cc94e275cf</t>
  </si>
  <si>
    <t>793432a0-2fc9-11ee-b61f-35cc94e275cf</t>
  </si>
  <si>
    <t>f9f44340-2fcd-11ee-b61f-35cc94e275cf</t>
  </si>
  <si>
    <t>89ea0630-2fd1-11ee-b61f-35cc94e275cf</t>
  </si>
  <si>
    <t>578f73f0-2fd6-11ee-b61f-35cc94e275cf</t>
  </si>
  <si>
    <t>6d522c40-2fd7-11ee-b61f-35cc94e275cf</t>
  </si>
  <si>
    <t>f15a6a60-2fd8-11ee-b61f-35cc94e275cf</t>
  </si>
  <si>
    <t>519f8990-2fda-11ee-b61f-35cc94e275cf</t>
  </si>
  <si>
    <t>e60bfd00-2fdc-11ee-b61f-35cc94e275cf</t>
  </si>
  <si>
    <t>6c653000-2fde-11ee-b61f-35cc94e275cf</t>
  </si>
  <si>
    <t>d107c070-2fe0-11ee-b61f-35cc94e275cf</t>
  </si>
  <si>
    <t>308653f0-2fe5-11ee-b61f-35cc94e275cf</t>
  </si>
  <si>
    <t>4cb5e010-2fe8-11ee-b61f-35cc94e275cf</t>
  </si>
  <si>
    <t>ec02ae10-2fec-11ee-b61f-35cc94e275cf</t>
  </si>
  <si>
    <t>2fbdf4f0-2f63-11ee-a877-3f732e0466c9</t>
  </si>
  <si>
    <t>67537770-2f70-11ee-a877-3f732e0466c9</t>
  </si>
  <si>
    <t>f9aa9810-2f75-11ee-a877-3f732e0466c9</t>
  </si>
  <si>
    <t>ca97fd80-2f7d-11ee-a877-3f732e0466c9</t>
  </si>
  <si>
    <t>b71ddd20-5501-11ee-b7ab-db7f5372d07d</t>
  </si>
  <si>
    <t>c609b430-550b-11ee-b7ab-db7f5372d07d</t>
  </si>
  <si>
    <t>9bc06b10-551f-11ee-b7ab-db7f5372d07d</t>
  </si>
  <si>
    <t>6e47d480-2fa3-11ee-a877-3f732e0466c9</t>
  </si>
  <si>
    <t>fdf1f960-2faf-11ee-a877-3f732e0466c9</t>
  </si>
  <si>
    <t>6c8a3210-2fbb-11ee-a877-3f732e0466c9</t>
  </si>
  <si>
    <t>12dc82b0-2fc8-11ee-a877-3f732e0466c9</t>
  </si>
  <si>
    <t>44f7cdc0-2fde-11ee-a877-3f732e0466c9</t>
  </si>
  <si>
    <t>099f7c40-2fe4-11ee-a877-3f732e0466c9</t>
  </si>
  <si>
    <t>d2d7a4d0-2fe8-11ee-a877-3f732e0466c9</t>
  </si>
  <si>
    <t>c6ee9330-2fee-11ee-a877-3f732e0466c9</t>
  </si>
  <si>
    <t>f6f2b480-2ff8-11ee-a877-3f732e0466c9</t>
  </si>
  <si>
    <t>6a995bc0-3001-11ee-a877-3f732e0466c9</t>
  </si>
  <si>
    <t>58c59740-3008-11ee-a877-3f732e0466c9</t>
  </si>
  <si>
    <t>0cad4190-301d-11ee-a877-3f732e0466c9</t>
  </si>
  <si>
    <t>a8be5dd0-3027-11ee-a877-3f732e0466c9</t>
  </si>
  <si>
    <t>676a5360-3037-11ee-a877-3f732e0466c9</t>
  </si>
  <si>
    <t>8039de10-305a-11ee-a877-3f732e0466c9</t>
  </si>
  <si>
    <t>f047f210-305e-11ee-a877-3f732e0466c9</t>
  </si>
  <si>
    <t>28774af0-3069-11ee-a877-3f732e0466c9</t>
  </si>
  <si>
    <t>b5e68a10-306c-11ee-a877-3f732e0466c9</t>
  </si>
  <si>
    <t>0744abd0-3072-11ee-a877-3f732e0466c9</t>
  </si>
  <si>
    <t>9d7ee3f0-3080-11ee-a877-3f732e0466c9</t>
  </si>
  <si>
    <t>17668650-3086-11ee-a877-3f732e0466c9</t>
  </si>
  <si>
    <t>dcff0f60-3089-11ee-a877-3f732e0466c9</t>
  </si>
  <si>
    <t>69123660-308c-11ee-a877-3f732e0466c9</t>
  </si>
  <si>
    <t>9bc005d0-3094-11ee-a877-3f732e0466c9</t>
  </si>
  <si>
    <t>0cb49eb0-3098-11ee-a877-3f732e0466c9</t>
  </si>
  <si>
    <t>99ad4e40-309b-11ee-a877-3f732e0466c9</t>
  </si>
  <si>
    <t>94a4b5a0-30aa-11ee-a877-3f732e0466c9</t>
  </si>
  <si>
    <t>0a5ec900-30b2-11ee-a877-3f732e0466c9</t>
  </si>
  <si>
    <t>6ed2f240-30bb-11ee-a877-3f732e0466c9</t>
  </si>
  <si>
    <t>94829260-30d0-11ee-a877-3f732e0466c9</t>
  </si>
  <si>
    <t>e8db1a50-30d3-11ee-a877-3f732e0466c9</t>
  </si>
  <si>
    <t>bc761af0-30d8-11ee-a877-3f732e0466c9</t>
  </si>
  <si>
    <t>a966e5b0-30de-11ee-a877-3f732e0466c9</t>
  </si>
  <si>
    <t>5a22b760-30e6-11ee-a877-3f732e0466c9</t>
  </si>
  <si>
    <t>18c84550-30eb-11ee-a877-3f732e0466c9</t>
  </si>
  <si>
    <t>38cb26f0-30f6-11ee-a877-3f732e0466c9</t>
  </si>
  <si>
    <t>d96fdea0-310c-11ee-a877-3f732e0466c9</t>
  </si>
  <si>
    <t>a5082c60-3113-11ee-a877-3f732e0466c9</t>
  </si>
  <si>
    <t>0c79e490-3125-11ee-a877-3f732e0466c9</t>
  </si>
  <si>
    <t>912f1e00-3146-11ee-a877-3f732e0466c9</t>
  </si>
  <si>
    <t>2ed165c0-314a-11ee-a877-3f732e0466c9</t>
  </si>
  <si>
    <t>241a4470-3150-11ee-a877-3f732e0466c9</t>
  </si>
  <si>
    <t>9c3922d0-3157-11ee-a877-3f732e0466c9</t>
  </si>
  <si>
    <t>b6c20700-315e-11ee-a877-3f732e0466c9</t>
  </si>
  <si>
    <t>ff7dcff0-3164-11ee-a877-3f732e0466c9</t>
  </si>
  <si>
    <t>f9db1a30-3173-11ee-a877-3f732e0466c9</t>
  </si>
  <si>
    <t>e627c800-31c1-11ee-81b5-4733e6bee4aa</t>
  </si>
  <si>
    <t>1e6e1fc0-31d6-11ee-81b5-4733e6bee4aa</t>
  </si>
  <si>
    <t>f7bebab0-31f3-11ee-81b5-4733e6bee4aa</t>
  </si>
  <si>
    <t>9dd837e0-328b-11ee-b6cd-bd3f95b9a581</t>
  </si>
  <si>
    <t>0aa79ed0-3294-11ee-b6cd-bd3f95b9a581</t>
  </si>
  <si>
    <t>5bfde240-32a2-11ee-b6cd-bd3f95b9a581</t>
  </si>
  <si>
    <t>dc00a410-48a4-11ee-88f2-cfeca2fcfc2d</t>
  </si>
  <si>
    <t>ad8c87e0-48b6-11ee-88f2-cfeca2fcfc2d</t>
  </si>
  <si>
    <t>abd43110-48d8-11ee-88f2-cfeca2fcfc2d</t>
  </si>
  <si>
    <t>ed425130-32e5-11ee-b6cd-bd3f95b9a581</t>
  </si>
  <si>
    <t>cb4ec880-32ed-11ee-b6cd-bd3f95b9a581</t>
  </si>
  <si>
    <t>69b61120-48ee-11ee-88f2-cfeca2fcfc2d</t>
  </si>
  <si>
    <t>745517c0-3309-11ee-b6cd-bd3f95b9a581</t>
  </si>
  <si>
    <t>87de0120-490d-11ee-88f2-cfeca2fcfc2d</t>
  </si>
  <si>
    <t>583655b0-4919-11ee-88f2-cfeca2fcfc2d</t>
  </si>
  <si>
    <t>c195efa0-4934-11ee-88f2-cfeca2fcfc2d</t>
  </si>
  <si>
    <t>bb0ad1e0-339b-11ee-9e6d-85fa3fbea402</t>
  </si>
  <si>
    <t>e7cd9090-33b5-11ee-9e6d-85fa3fbea402</t>
  </si>
  <si>
    <t>cfc1b5f0-4989-11ee-88f2-cfeca2fcfc2d</t>
  </si>
  <si>
    <t>60be5c20-3445-11ee-9b05-0dd0bbf90178</t>
  </si>
  <si>
    <t>c17e1c10-499b-11ee-88f2-cfeca2fcfc2d</t>
  </si>
  <si>
    <t>92dc5130-3459-11ee-9b05-0dd0bbf90178</t>
  </si>
  <si>
    <t>41b01b80-49b6-11ee-88f2-cfeca2fcfc2d</t>
  </si>
  <si>
    <t>63d4a260-347d-11ee-9b05-0dd0bbf90178</t>
  </si>
  <si>
    <t>38a8ddf0-3490-11ee-9b05-0dd0bbf90178</t>
  </si>
  <si>
    <t>2f341c60-49fa-11ee-88f2-cfeca2fcfc2d</t>
  </si>
  <si>
    <t>2d73c990-4a0c-11ee-88f2-cfeca2fcfc2d</t>
  </si>
  <si>
    <t>bdacdcc0-3537-11ee-950c-e987e0f91043</t>
  </si>
  <si>
    <t>03cf8ad0-356b-11ee-950c-e987e0f91043</t>
  </si>
  <si>
    <t>94255e90-35af-11ee-9220-e715ada46c16</t>
  </si>
  <si>
    <t>37af0d10-4a67-11ee-88f2-cfeca2fcfc2d</t>
  </si>
  <si>
    <t>fab33930-4a76-11ee-88f2-cfeca2fcfc2d</t>
  </si>
  <si>
    <t>73601de0-35d1-11ee-9220-e715ada46c16</t>
  </si>
  <si>
    <t>234609d0-4a91-11ee-88f2-cfeca2fcfc2d</t>
  </si>
  <si>
    <t>04979020-35f7-11ee-9220-e715ada46c16</t>
  </si>
  <si>
    <t>fbacd0c0-3604-11ee-9220-e715ada46c16</t>
  </si>
  <si>
    <t>0c680840-361d-11ee-9220-e715ada46c16</t>
  </si>
  <si>
    <t>a5eb2c60-3684-11ee-8924-e50d87df6c3c</t>
  </si>
  <si>
    <t>0a5bdc10-4b3b-11ee-88f2-cfeca2fcfc2d</t>
  </si>
  <si>
    <t>4c0d4370-36cc-11ee-8924-e50d87df6c3c</t>
  </si>
  <si>
    <t>a579be90-36d4-11ee-8924-e50d87df6c3c</t>
  </si>
  <si>
    <t>ef933b80-4b4e-11ee-88f2-cfeca2fcfc2d</t>
  </si>
  <si>
    <t>68002090-4b5b-11ee-88f2-cfeca2fcfc2d</t>
  </si>
  <si>
    <t>07291610-4b64-11ee-88f2-cfeca2fcfc2d</t>
  </si>
  <si>
    <t>cd046d60-3743-11ee-8682-0b3845afca54</t>
  </si>
  <si>
    <t>76b5ed50-4b82-11ee-88f2-cfeca2fcfc2d</t>
  </si>
  <si>
    <t>5d93a030-4b8a-11ee-88f2-cfeca2fcfc2d</t>
  </si>
  <si>
    <t>bc9c1420-4ba0-11ee-88f2-cfeca2fcfc2d</t>
  </si>
  <si>
    <t>5c282780-4bc5-11ee-88f2-cfeca2fcfc2d</t>
  </si>
  <si>
    <t>59b29a40-37a6-11ee-8682-0b3845afca54</t>
  </si>
  <si>
    <t>55ebf0e0-4bd4-11ee-88f2-cfeca2fcfc2d</t>
  </si>
  <si>
    <t>ad845640-37ba-11ee-8682-0b3845afca54</t>
  </si>
  <si>
    <t>8693b9f0-380e-11ee-b39b-2f9537f3ca34</t>
  </si>
  <si>
    <t>5a398140-3819-11ee-b39b-2f9537f3ca34</t>
  </si>
  <si>
    <t>ea3806b0-3830-11ee-b39b-2f9537f3ca34</t>
  </si>
  <si>
    <t>9fbc3910-383c-11ee-b39b-2f9537f3ca34</t>
  </si>
  <si>
    <t>c8ea8660-3856-11ee-b39b-2f9537f3ca34</t>
  </si>
  <si>
    <t>c2c84fc0-52e5-11ee-b7ab-db7f5372d07d</t>
  </si>
  <si>
    <t>068dd0b0-38fe-11ee-87af-592766e27bfa</t>
  </si>
  <si>
    <t>9a638590-3904-11ee-87af-592766e27bfa</t>
  </si>
  <si>
    <t>689c80d0-5320-11ee-b7ab-db7f5372d07d</t>
  </si>
  <si>
    <t>824e0b30-3925-11ee-87af-592766e27bfa</t>
  </si>
  <si>
    <t>6e0f0880-392b-11ee-87af-592766e27bfa</t>
  </si>
  <si>
    <t>7bc883b0-5358-11ee-b7ab-db7f5372d07d</t>
  </si>
  <si>
    <t>a24c4780-3a65-11ee-8d2b-f7332234770b</t>
  </si>
  <si>
    <t>75d66d50-3a6c-11ee-8d2b-f7332234770b</t>
  </si>
  <si>
    <t>41176af0-3a81-11ee-8d2b-f7332234770b</t>
  </si>
  <si>
    <t>f9ef67f0-3aa7-11ee-8d2b-f7332234770b</t>
  </si>
  <si>
    <t>af388a20-3ad4-11ee-8d2b-f7332234770b</t>
  </si>
  <si>
    <t>ae1cc430-53de-11ee-b7ab-db7f5372d07d</t>
  </si>
  <si>
    <t>921f0a90-53e8-11ee-b7ab-db7f5372d07d</t>
  </si>
  <si>
    <t>b384fc40-3b55-11ee-af66-c36ec25f42ed</t>
  </si>
  <si>
    <t>2e1cbeb0-541b-11ee-b7ab-db7f5372d07d</t>
  </si>
  <si>
    <t>96d67a70-3041-11ee-b61f-35cc94e275cf</t>
  </si>
  <si>
    <t>4845b640-304c-11ee-b61f-35cc94e275cf</t>
  </si>
  <si>
    <t>52f9ec50-473a-11ee-87d3-c7c2f7eb1d60</t>
  </si>
  <si>
    <t>6bc39780-4745-11ee-87d3-c7c2f7eb1d60</t>
  </si>
  <si>
    <t>c575fca0-474a-11ee-87d3-c7c2f7eb1d60</t>
  </si>
  <si>
    <t>c9703f20-3069-11ee-b61f-35cc94e275cf</t>
  </si>
  <si>
    <t>0cbbdb80-475e-11ee-87d3-c7c2f7eb1d60</t>
  </si>
  <si>
    <t>9a06ad40-4762-11ee-87d3-c7c2f7eb1d60</t>
  </si>
  <si>
    <t>b05ecaf0-4767-11ee-87d3-c7c2f7eb1d60</t>
  </si>
  <si>
    <t>430515a0-4770-11ee-87d3-c7c2f7eb1d60</t>
  </si>
  <si>
    <t>dea18900-4778-11ee-87d3-c7c2f7eb1d60</t>
  </si>
  <si>
    <t>0fc64ed0-477e-11ee-87d3-c7c2f7eb1d60</t>
  </si>
  <si>
    <t>221ee8b0-3097-11ee-b61f-35cc94e275cf</t>
  </si>
  <si>
    <t>fc9787b0-309a-11ee-b61f-35cc94e275cf</t>
  </si>
  <si>
    <t>247a5aa0-479d-11ee-87d3-c7c2f7eb1d60</t>
  </si>
  <si>
    <t>c9b1ca70-30b5-11ee-b61f-35cc94e275cf</t>
  </si>
  <si>
    <t>f0bd3f40-47ae-11ee-87d3-c7c2f7eb1d60</t>
  </si>
  <si>
    <t>9a3b97f0-47ba-11ee-87d3-c7c2f7eb1d60</t>
  </si>
  <si>
    <t>f52559b0-47c1-11ee-87d3-c7c2f7eb1d60</t>
  </si>
  <si>
    <t>bbae9210-47ca-11ee-87d3-c7c2f7eb1d60</t>
  </si>
  <si>
    <t>c34010a0-30df-11ee-b61f-35cc94e275cf</t>
  </si>
  <si>
    <t>deb54940-30e9-11ee-b61f-35cc94e275cf</t>
  </si>
  <si>
    <t>5a0051b0-47e4-11ee-87d3-c7c2f7eb1d60</t>
  </si>
  <si>
    <t>1bbf30c0-47ed-11ee-87d3-c7c2f7eb1d60</t>
  </si>
  <si>
    <t>96d8c6a0-47f6-11ee-87d3-c7c2f7eb1d60</t>
  </si>
  <si>
    <t>92a42e90-47ff-11ee-87d3-c7c2f7eb1d60</t>
  </si>
  <si>
    <t>e5496ef0-4807-11ee-87d3-c7c2f7eb1d60</t>
  </si>
  <si>
    <t>6f886880-311c-11ee-b61f-35cc94e275cf</t>
  </si>
  <si>
    <t>e3154d90-3121-11ee-b61f-35cc94e275cf</t>
  </si>
  <si>
    <t>9403da40-482e-11ee-87d3-c7c2f7eb1d60</t>
  </si>
  <si>
    <t>0f29be80-3176-11ee-abdc-0bdf6745af2f</t>
  </si>
  <si>
    <t>224326b0-484a-11ee-87d3-c7c2f7eb1d60</t>
  </si>
  <si>
    <t>acad9a10-317f-11ee-abdc-0bdf6745af2f</t>
  </si>
  <si>
    <t>ce046fc0-3186-11ee-abdc-0bdf6745af2f</t>
  </si>
  <si>
    <t>b3651720-4859-11ee-87d3-c7c2f7eb1d60</t>
  </si>
  <si>
    <t>ba9b70f0-4865-11ee-87d3-c7c2f7eb1d60</t>
  </si>
  <si>
    <t>e34cada0-3197-11ee-abdc-0bdf6745af2f</t>
  </si>
  <si>
    <t>6697ec30-4875-11ee-87d3-c7c2f7eb1d60</t>
  </si>
  <si>
    <t>5506e7f0-487a-11ee-87d3-c7c2f7eb1d60</t>
  </si>
  <si>
    <t>0e181760-48e3-11ee-84ef-b7cc11c352dc</t>
  </si>
  <si>
    <t>b2e4c800-31ba-11ee-abdc-0bdf6745af2f</t>
  </si>
  <si>
    <t>e810acc0-48ed-11ee-84ef-b7cc11c352dc</t>
  </si>
  <si>
    <t>b6692ea0-31cc-11ee-abdc-0bdf6745af2f</t>
  </si>
  <si>
    <t>2876b4c0-31d4-11ee-abdc-0bdf6745af2f</t>
  </si>
  <si>
    <t>f7556fe0-4910-11ee-84ef-b7cc11c352dc</t>
  </si>
  <si>
    <t>4144f1d0-31f5-11ee-abdc-0bdf6745af2f</t>
  </si>
  <si>
    <t>e77f1c00-3200-11ee-abdc-0bdf6745af2f</t>
  </si>
  <si>
    <t>68ec2af0-3204-11ee-abdc-0bdf6745af2f</t>
  </si>
  <si>
    <t>dea95d80-3209-11ee-abdc-0bdf6745af2f</t>
  </si>
  <si>
    <t>f856e060-3211-11ee-abdc-0bdf6745af2f</t>
  </si>
  <si>
    <t>9cb29ee0-3223-11ee-abdc-0bdf6745af2f</t>
  </si>
  <si>
    <t>e38d0f90-3227-11ee-abdc-0bdf6745af2f</t>
  </si>
  <si>
    <t>b5679eb0-3230-11ee-abdc-0bdf6745af2f</t>
  </si>
  <si>
    <t>32d8f4a0-494e-11ee-84ef-b7cc11c352dc</t>
  </si>
  <si>
    <t>bb129050-4963-11ee-84ef-b7cc11c352dc</t>
  </si>
  <si>
    <t>e225ab50-4968-11ee-84ef-b7cc11c352dc</t>
  </si>
  <si>
    <t>ee7d9110-4972-11ee-84ef-b7cc11c352dc</t>
  </si>
  <si>
    <t>b36bc350-325f-11ee-abdc-0bdf6745af2f</t>
  </si>
  <si>
    <t>9ee54cd0-3264-11ee-abdc-0bdf6745af2f</t>
  </si>
  <si>
    <t>204685d0-3271-11ee-abdc-0bdf6745af2f</t>
  </si>
  <si>
    <t>b98e1ca0-328d-11ee-abdc-0bdf6745af2f</t>
  </si>
  <si>
    <t>84818590-3299-11ee-abdc-0bdf6745af2f</t>
  </si>
  <si>
    <t>d67aaed0-329e-11ee-abdc-0bdf6745af2f</t>
  </si>
  <si>
    <t>c6ec7430-49b4-11ee-84ef-b7cc11c352dc</t>
  </si>
  <si>
    <t>bf7beb00-49bd-11ee-84ef-b7cc11c352dc</t>
  </si>
  <si>
    <t>016476b0-32d8-11ee-a935-c1317b26aaf9</t>
  </si>
  <si>
    <t>a97a3010-49cb-11ee-84ef-b7cc11c352dc</t>
  </si>
  <si>
    <t>ac82d3d0-49d9-11ee-84ef-b7cc11c352dc</t>
  </si>
  <si>
    <t>d89eb4c0-32f5-11ee-a935-c1317b26aaf9</t>
  </si>
  <si>
    <t>66382ca0-3303-11ee-a935-c1317b26aaf9</t>
  </si>
  <si>
    <t>e0ba7340-3306-11ee-a935-c1317b26aaf9</t>
  </si>
  <si>
    <t>b535de40-330a-11ee-a935-c1317b26aaf9</t>
  </si>
  <si>
    <t>9d6824a0-3312-11ee-a935-c1317b26aaf9</t>
  </si>
  <si>
    <t>88947120-331a-11ee-a935-c1317b26aaf9</t>
  </si>
  <si>
    <t>a8cea050-332e-11ee-a935-c1317b26aaf9</t>
  </si>
  <si>
    <t>96d66d90-4a23-11ee-84ef-b7cc11c352dc</t>
  </si>
  <si>
    <t>113af940-334d-11ee-a935-c1317b26aaf9</t>
  </si>
  <si>
    <t>53a2c320-4a32-11ee-84ef-b7cc11c352dc</t>
  </si>
  <si>
    <t>5960ca20-335b-11ee-a935-c1317b26aaf9</t>
  </si>
  <si>
    <t>d3967330-3365-11ee-a935-c1317b26aaf9</t>
  </si>
  <si>
    <t>2f7174f0-337c-11ee-a935-c1317b26aaf9</t>
  </si>
  <si>
    <t>fbd5a9e0-4a5a-11ee-84ef-b7cc11c352dc</t>
  </si>
  <si>
    <t>ba115f10-338d-11ee-a935-c1317b26aaf9</t>
  </si>
  <si>
    <t>11205370-339c-11ee-a935-c1317b26aaf9</t>
  </si>
  <si>
    <t>c7e64910-33b1-11ee-a935-c1317b26aaf9</t>
  </si>
  <si>
    <t>ae999b20-33ba-11ee-a935-c1317b26aaf9</t>
  </si>
  <si>
    <t>3c73dba0-33bf-11ee-a935-c1317b26aaf9</t>
  </si>
  <si>
    <t>98454c00-33cb-11ee-a935-c1317b26aaf9</t>
  </si>
  <si>
    <t>d05cfe30-33d5-11ee-a935-c1317b26aaf9</t>
  </si>
  <si>
    <t>780aaf50-4abb-11ee-84ef-b7cc11c352dc</t>
  </si>
  <si>
    <t>973e08d0-3405-11ee-a935-c1317b26aaf9</t>
  </si>
  <si>
    <t>a5a67f10-340f-11ee-a935-c1317b26aaf9</t>
  </si>
  <si>
    <t>9f316bd0-4ae0-11ee-84ef-b7cc11c352dc</t>
  </si>
  <si>
    <t>e7eebb60-4ae6-11ee-84ef-b7cc11c352dc</t>
  </si>
  <si>
    <t>9fdac2d0-4aee-11ee-84ef-b7cc11c352dc</t>
  </si>
  <si>
    <t>ec27cf30-4afc-11ee-84ef-b7cc11c352dc</t>
  </si>
  <si>
    <t>751c95b0-3436-11ee-a935-c1317b26aaf9</t>
  </si>
  <si>
    <t>8c463ec0-343c-11ee-a935-c1317b26aaf9</t>
  </si>
  <si>
    <t>3d2724a0-3444-11ee-a935-c1317b26aaf9</t>
  </si>
  <si>
    <t>ee316040-3452-11ee-a935-c1317b26aaf9</t>
  </si>
  <si>
    <t>9ac6b690-3456-11ee-a935-c1317b26aaf9</t>
  </si>
  <si>
    <t>c9873120-345c-11ee-a935-c1317b26aaf9</t>
  </si>
  <si>
    <t>be914a60-3468-11ee-a935-c1317b26aaf9</t>
  </si>
  <si>
    <t>eb53fc50-3472-11ee-a935-c1317b26aaf9</t>
  </si>
  <si>
    <t>7f7a8c20-3480-11ee-a935-c1317b26aaf9</t>
  </si>
  <si>
    <t>996ece20-4c04-11ee-84ef-b7cc11c352dc</t>
  </si>
  <si>
    <t>3706c140-3541-11ee-a935-c1317b26aaf9</t>
  </si>
  <si>
    <t>35e7f070-4c0e-11ee-84ef-b7cc11c352dc</t>
  </si>
  <si>
    <t>f084f1a0-4c16-11ee-84ef-b7cc11c352dc</t>
  </si>
  <si>
    <t>b5530d40-4cb3-11ee-a7fd-716932918d82</t>
  </si>
  <si>
    <t>2ff15290-3559-11ee-a935-c1317b26aaf9</t>
  </si>
  <si>
    <t>3b493c30-355d-11ee-a935-c1317b26aaf9</t>
  </si>
  <si>
    <t>920b0580-356c-11ee-a935-c1317b26aaf9</t>
  </si>
  <si>
    <t>9e5857a0-4d56-11ee-9b66-a57ad943e345</t>
  </si>
  <si>
    <t>e665bb50-4d60-11ee-9b66-a57ad943e345</t>
  </si>
  <si>
    <t>fe7de0a0-358c-11ee-a935-c1317b26aaf9</t>
  </si>
  <si>
    <t>1c1d4910-3593-11ee-a935-c1317b26aaf9</t>
  </si>
  <si>
    <t>fe4e7d20-3595-11ee-a935-c1317b26aaf9</t>
  </si>
  <si>
    <t>cbf8cce0-359a-11ee-a935-c1317b26aaf9</t>
  </si>
  <si>
    <t>3408a3a0-4d83-11ee-aebc-6d161353a521</t>
  </si>
  <si>
    <t>f582f4d0-4e29-11ee-8683-ade62edf531c</t>
  </si>
  <si>
    <t>75e29f50-35ab-11ee-a935-c1317b26aaf9</t>
  </si>
  <si>
    <t>77629980-35b4-11ee-a935-c1317b26aaf9</t>
  </si>
  <si>
    <t>eeee0520-35f5-11ee-b719-3513ceefcc52</t>
  </si>
  <si>
    <t>ea905850-5078-11ee-860b-375fd5ddbac6</t>
  </si>
  <si>
    <t>e94afeb0-5086-11ee-860b-375fd5ddbac6</t>
  </si>
  <si>
    <t>5f4deb30-3611-11ee-b719-3513ceefcc52</t>
  </si>
  <si>
    <t>64649d80-3616-11ee-b719-3513ceefcc52</t>
  </si>
  <si>
    <t>109f6900-3620-11ee-b719-3513ceefcc52</t>
  </si>
  <si>
    <t>fbd49f80-509c-11ee-860b-375fd5ddbac6</t>
  </si>
  <si>
    <t>a4335100-50a0-11ee-860b-375fd5ddbac6</t>
  </si>
  <si>
    <t>fb8b93b0-3631-11ee-b719-3513ceefcc52</t>
  </si>
  <si>
    <t>157d46c0-50ad-11ee-860b-375fd5ddbac6</t>
  </si>
  <si>
    <t>a4de1a10-3640-11ee-b719-3513ceefcc52</t>
  </si>
  <si>
    <t>89c2e780-5141-11ee-b8ec-63ea66ec8889</t>
  </si>
  <si>
    <t>3d7be810-5153-11ee-b8ec-63ea66ec8889</t>
  </si>
  <si>
    <t>55ac3610-365a-11ee-b719-3513ceefcc52</t>
  </si>
  <si>
    <t>f268e050-515a-11ee-b8ec-63ea66ec8889</t>
  </si>
  <si>
    <t>7c2425b0-3663-11ee-b719-3513ceefcc52</t>
  </si>
  <si>
    <t>88f3c920-516c-11ee-b8ec-63ea66ec8889</t>
  </si>
  <si>
    <t>4d686b70-3670-11ee-b719-3513ceefcc52</t>
  </si>
  <si>
    <t>72efabf0-5174-11ee-b8ec-63ea66ec8889</t>
  </si>
  <si>
    <t>f616fb90-367c-11ee-b719-3513ceefcc52</t>
  </si>
  <si>
    <t>4cd4c710-5184-11ee-b8ec-63ea66ec8889</t>
  </si>
  <si>
    <t>a9465690-368a-11ee-b719-3513ceefcc52</t>
  </si>
  <si>
    <t>08f11410-3698-11ee-b719-3513ceefcc52</t>
  </si>
  <si>
    <t>9f3741d0-36a0-11ee-b719-3513ceefcc52</t>
  </si>
  <si>
    <t>f73f7910-52e3-11ee-b66f-e57219de0ee4</t>
  </si>
  <si>
    <t>e515e600-36a7-11ee-b719-3513ceefcc52</t>
  </si>
  <si>
    <t>d01e6bf0-36b1-11ee-b719-3513ceefcc52</t>
  </si>
  <si>
    <t>3cfa47f0-52f3-11ee-b66f-e57219de0ee4</t>
  </si>
  <si>
    <t>17764250-52f7-11ee-b66f-e57219de0ee4</t>
  </si>
  <si>
    <t>beb69990-36c1-11ee-b719-3513ceefcc52</t>
  </si>
  <si>
    <t>9544a5b0-5305-11ee-b66f-e57219de0ee4</t>
  </si>
  <si>
    <t>649fe4a0-36cd-11ee-b719-3513ceefcc52</t>
  </si>
  <si>
    <t>00e2f740-36e1-11ee-b719-3513ceefcc52</t>
  </si>
  <si>
    <t>300ba930-5325-11ee-b66f-e57219de0ee4</t>
  </si>
  <si>
    <t>a7c7f250-36ea-11ee-b719-3513ceefcc52</t>
  </si>
  <si>
    <t>f8365250-36ee-11ee-b719-3513ceefcc52</t>
  </si>
  <si>
    <t>4f9b8790-36fe-11ee-b719-3513ceefcc52</t>
  </si>
  <si>
    <t>571aa050-533c-11ee-b66f-e57219de0ee4</t>
  </si>
  <si>
    <t>006e6ac0-5341-11ee-b66f-e57219de0ee4</t>
  </si>
  <si>
    <t>7e6d8a20-370b-11ee-b719-3513ceefcc52</t>
  </si>
  <si>
    <t>e2089fe0-534c-11ee-b66f-e57219de0ee4</t>
  </si>
  <si>
    <t>a81da810-3719-11ee-b719-3513ceefcc52</t>
  </si>
  <si>
    <t>00807030-3776-11ee-b719-3513ceefcc52</t>
  </si>
  <si>
    <t>6d37c580-53bd-11ee-b66f-e57219de0ee4</t>
  </si>
  <si>
    <t>53cea0d0-53c4-11ee-b66f-e57219de0ee4</t>
  </si>
  <si>
    <t>ce204ea0-53d4-11ee-b66f-e57219de0ee4</t>
  </si>
  <si>
    <t>47250080-53d9-11ee-b66f-e57219de0ee4</t>
  </si>
  <si>
    <t>92504c60-53eb-11ee-b66f-e57219de0ee4</t>
  </si>
  <si>
    <t>b82de5e0-53f6-11ee-b66f-e57219de0ee4</t>
  </si>
  <si>
    <t>94ecbcc0-379d-11ee-b719-3513ceefcc52</t>
  </si>
  <si>
    <t>4f859c10-37a2-11ee-b719-3513ceefcc52</t>
  </si>
  <si>
    <t>688dde40-37aa-11ee-b719-3513ceefcc52</t>
  </si>
  <si>
    <t>ea4f9990-540c-11ee-b66f-e57219de0ee4</t>
  </si>
  <si>
    <t>08130e70-37bc-11ee-b719-3513ceefcc52</t>
  </si>
  <si>
    <t>03f733e0-37d8-11ee-b719-3513ceefcc52</t>
  </si>
  <si>
    <t>e686bcd0-542f-11ee-b66f-e57219de0ee4</t>
  </si>
  <si>
    <t>b59f0be0-37e2-11ee-b719-3513ceefcc52</t>
  </si>
  <si>
    <t>28127860-37ed-11ee-b719-3513ceefcc52</t>
  </si>
  <si>
    <t>a9240ef0-37f2-11ee-b719-3513ceefcc52</t>
  </si>
  <si>
    <t>52276b40-37fe-11ee-b719-3513ceefcc52</t>
  </si>
  <si>
    <t>3e3adf40-380d-11ee-b719-3513ceefcc52</t>
  </si>
  <si>
    <t>15c10f90-5468-11ee-b66f-e57219de0ee4</t>
  </si>
  <si>
    <t>4057dcc0-3816-11ee-b719-3513ceefcc52</t>
  </si>
  <si>
    <t>40b410f0-547a-11ee-b66f-e57219de0ee4</t>
  </si>
  <si>
    <t>3b922410-3826-11ee-b719-3513ceefcc52</t>
  </si>
  <si>
    <t>b83ca0e0-3834-11ee-b719-3513ceefcc52</t>
  </si>
  <si>
    <t>d288ad90-549f-11ee-b66f-e57219de0ee4</t>
  </si>
  <si>
    <t>770f1e50-3851-11ee-b719-3513ceefcc52</t>
  </si>
  <si>
    <t>f8699f40-54a6-11ee-b66f-e57219de0ee4</t>
  </si>
  <si>
    <t>3c144c70-54ae-11ee-b66f-e57219de0ee4</t>
  </si>
  <si>
    <t>7ab59240-386b-11ee-b719-3513ceefcc52</t>
  </si>
  <si>
    <t>88b88560-3874-11ee-b719-3513ceefcc52</t>
  </si>
  <si>
    <t>8e82ee00-551a-11ee-b66f-e57219de0ee4</t>
  </si>
  <si>
    <t>84cde7a0-38ca-11ee-b719-3513ceefcc52</t>
  </si>
  <si>
    <t>be5a78d0-38cf-11ee-b719-3513ceefcc52</t>
  </si>
  <si>
    <t>06b57ff0-38dd-11ee-b719-3513ceefcc52</t>
  </si>
  <si>
    <t>8063f470-38e3-11ee-b719-3513ceefcc52</t>
  </si>
  <si>
    <t>d2ada750-38eb-11ee-b719-3513ceefcc52</t>
  </si>
  <si>
    <t>04328d80-38fc-11ee-b719-3513ceefcc52</t>
  </si>
  <si>
    <t>419fa9b0-3900-11ee-b719-3513ceefcc52</t>
  </si>
  <si>
    <t>406e8310-3908-11ee-b719-3513ceefcc52</t>
  </si>
  <si>
    <t>104c8210-3915-11ee-b719-3513ceefcc52</t>
  </si>
  <si>
    <t>fbea6e60-3917-11ee-b719-3513ceefcc52</t>
  </si>
  <si>
    <t>c5631070-391e-11ee-b719-3513ceefcc52</t>
  </si>
  <si>
    <t>a0d29920-394f-11ee-b719-3513ceefcc52</t>
  </si>
  <si>
    <t>e61e3600-395f-11ee-b719-3513ceefcc52</t>
  </si>
  <si>
    <t>b0cd65d0-3972-11ee-b719-3513ceefcc52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</si>
</sst>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8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21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8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84" headerRowBorderDxfId="1283" tableBorderDxfId="1282" totalsRowBorderDxfId="1281">
  <autoFilter ref="K17:O20" xr:uid="{01E0B516-A92C-45D4-946B-0FCF2F31D98A}"/>
  <tableColumns count="5">
    <tableColumn id="1" xr3:uid="{F1A34086-91B1-448A-A581-8C7A371A6B38}" name="ability" dataDxfId="1280"/>
    <tableColumn id="2" xr3:uid="{1CA216CA-0230-4993-9DF5-190FC3A6530D}" name="takes" dataDxfId="1279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8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7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76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75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74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73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72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71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70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9" headerRowBorderDxfId="1268" tableBorderDxfId="1267" totalsRowBorderDxfId="1266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65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64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63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62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61" headerRowBorderDxfId="1260" tableBorderDxfId="1259" totalsRowBorderDxfId="1258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7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56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55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54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53" headerRowBorderDxfId="1252" tableBorderDxfId="1251" totalsRowBorderDxfId="1250">
  <autoFilter ref="K38:O41" xr:uid="{A1F38E75-59DE-4DB4-B81C-C0322397F6F7}"/>
  <tableColumns count="5">
    <tableColumn id="1" xr3:uid="{74357A07-E8F9-4439-8A7D-C51B3289B074}" name="ability" dataDxfId="1249"/>
    <tableColumn id="2" xr3:uid="{2B46AB72-5070-479E-BA92-0EA40B2FAD9A}" name="takes" dataDxfId="1248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7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46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45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44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43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42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41">
      <calculatedColumnFormula>COUNTIF(Scenario2[winner1-ability1],DruidAbilities1Scenario2[[#This Row],[ability]])</calculatedColumnFormula>
    </tableColumn>
    <tableColumn id="5" xr3:uid="{8E619ED0-484C-4412-A819-C4816A1E0005}" name="battles-take-rate" dataDxfId="1240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9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8" headerRowBorderDxfId="1237" tableBorderDxfId="1236" totalsRowBorderDxfId="1235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34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33">
      <calculatedColumnFormula>COUNTIF(Scenario2[winner1-ability2],DruidAbilities2Scenario2[[#This Row],[ability]])</calculatedColumnFormula>
    </tableColumn>
    <tableColumn id="4" xr3:uid="{DD2FBF56-CB12-4887-A4B2-BB3C9B0B611A}" name="battles-take-rate" dataDxfId="1232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31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30" headerRowBorderDxfId="1229" tableBorderDxfId="1228" totalsRowBorderDxfId="1227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26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25">
      <calculatedColumnFormula>COUNTIF(Scenario2[winner1-ability3],DruidAbilities3Scenario2[[#This Row],[ability]])</calculatedColumnFormula>
    </tableColumn>
    <tableColumn id="4" xr3:uid="{17A59155-4BEE-4B00-A77D-54C7568B711B}" name="battles-take-rate" dataDxfId="1224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23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7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96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95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22" headerRowBorderDxfId="1221" tableBorderDxfId="1220" totalsRowBorderDxfId="1219">
  <autoFilter ref="K59:O62" xr:uid="{DDB7F110-02A6-4F67-8266-251AF48CB7C0}"/>
  <tableColumns count="5">
    <tableColumn id="1" xr3:uid="{963218A6-E2C8-468F-A480-18EABD6D01C3}" name="ability" dataDxfId="1218"/>
    <tableColumn id="2" xr3:uid="{B7AE8A89-2A8C-49AF-8D96-6C1AB2DACE14}" name="takes" dataDxfId="1217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16">
      <calculatedColumnFormula>COUNTIF(Scenario2[winner1-ability4],DruidAbilities4Scenario2[[#This Row],[ability]])</calculatedColumnFormula>
    </tableColumn>
    <tableColumn id="4" xr3:uid="{AA29BEEB-A7D2-4818-96D2-39227A3BFA6F}" name="battles-take-rate" dataDxfId="1215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14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13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12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11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10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9">
      <calculatedColumnFormula>COUNTIF(Scenario3[winner1-ability1],DruidAbilities1Scenario3[[#This Row],[ability]])</calculatedColumnFormula>
    </tableColumn>
    <tableColumn id="5" xr3:uid="{4FF89EE2-8630-4141-AE21-A771AD1A9EF8}" name="battles-take-rate" dataDxfId="1208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7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206" headerRowBorderDxfId="1205" tableBorderDxfId="1204" totalsRowBorderDxfId="1203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202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201">
      <calculatedColumnFormula>COUNTIF(Scenario3[winner1-ability2],DruidAbilities2Scenario3[[#This Row],[ability]])</calculatedColumnFormula>
    </tableColumn>
    <tableColumn id="4" xr3:uid="{59808BF5-1BB2-4D2F-A36A-8FCA1917F73C}" name="battles-take-rate" dataDxfId="1200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9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8" headerRowBorderDxfId="1197" tableBorderDxfId="1196" totalsRowBorderDxfId="1195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94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93">
      <calculatedColumnFormula>COUNTIF(Scenario3[winner1-ability3],DruidAbilities3Scenario3[[#This Row],[ability]])</calculatedColumnFormula>
    </tableColumn>
    <tableColumn id="4" xr3:uid="{56EE8E9D-0B38-4F3C-A706-DF801F6E782A}" name="battles-take-rate" dataDxfId="1192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91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90" headerRowBorderDxfId="1189" tableBorderDxfId="1188" totalsRowBorderDxfId="1187">
  <autoFilter ref="K80:O83" xr:uid="{6C814871-D00E-4AC2-ABE0-4B3892D7F0AE}"/>
  <tableColumns count="5">
    <tableColumn id="1" xr3:uid="{B336BFD3-C277-43F6-97B4-769FAB55ABA9}" name="ability" dataDxfId="1186"/>
    <tableColumn id="2" xr3:uid="{5DC7BD53-CE7F-4C9C-B8BB-D410EDE17928}" name="takes" dataDxfId="1185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84">
      <calculatedColumnFormula>COUNTIF(Scenario3[winner1-ability4],DruidAbilities4Scenario3[[#This Row],[ability]])</calculatedColumnFormula>
    </tableColumn>
    <tableColumn id="4" xr3:uid="{B9D09778-1506-47CB-BB1F-A00AE865D740}" name="battles-take-rate" dataDxfId="1183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82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81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80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9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8">
      <calculatedColumnFormula>COUNTIF(Scenario4[winner1-ability1],DruidAbilities1Scenario4[[#This Row],[ability]])</calculatedColumnFormula>
    </tableColumn>
    <tableColumn id="5" xr3:uid="{06AAF157-CF91-4862-9B21-2300847F6670}" name="battles-take-rate" dataDxfId="1177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76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75" headerRowBorderDxfId="1174" tableBorderDxfId="1173" totalsRowBorderDxfId="1172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71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70">
      <calculatedColumnFormula>COUNTIF(Scenario4[winner1-ability2],DruidAbilities2Scenario4[[#This Row],[ability]])</calculatedColumnFormula>
    </tableColumn>
    <tableColumn id="4" xr3:uid="{FF69DC1A-7A6E-47CC-BBE3-E23DADEF715C}" name="battles-take-rate" dataDxfId="1169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8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94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93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92" totalsRowDxfId="1791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7" headerRowBorderDxfId="1166" tableBorderDxfId="1165" totalsRowBorderDxfId="1164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63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62">
      <calculatedColumnFormula>COUNTIF(Scenario4[winner1-ability3],DruidAbilities3Scenario4[[#This Row],[ability]])</calculatedColumnFormula>
    </tableColumn>
    <tableColumn id="4" xr3:uid="{E1D61A81-525A-4DC1-B6E9-25C258725BE6}" name="battles-take-rate" dataDxfId="1161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60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9" headerRowBorderDxfId="1158" tableBorderDxfId="1157" totalsRowBorderDxfId="1156">
  <autoFilter ref="K101:O104" xr:uid="{BCDE9ED1-1F22-42AC-AE3B-C1EED0842896}"/>
  <tableColumns count="5">
    <tableColumn id="1" xr3:uid="{DB6EB367-D24F-401C-919C-82D3EAEA2086}" name="ability" dataDxfId="1155"/>
    <tableColumn id="2" xr3:uid="{BBEB468B-4705-4289-A434-105410CC5CFC}" name="takes" dataDxfId="1154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53">
      <calculatedColumnFormula>COUNTIF(Scenario4[winner1-ability4],DruidAbilities4Scenario4[[#This Row],[ability]])</calculatedColumnFormula>
    </tableColumn>
    <tableColumn id="4" xr3:uid="{8295F0F3-E629-4A87-A950-FDB997C5BE5E}" name="battles-take-rate" dataDxfId="1152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51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50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9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8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7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46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45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44" headerRowBorderDxfId="1143" tableBorderDxfId="1142" totalsRowBorderDxfId="1141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40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9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8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7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36" headerRowBorderDxfId="1135" tableBorderDxfId="1134" totalsRowBorderDxfId="1133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32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31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30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9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8" headerRowBorderDxfId="1127" tableBorderDxfId="1126" totalsRowBorderDxfId="1125">
  <autoFilter ref="K122:O125" xr:uid="{2FAABC51-3ED7-410E-B39C-5A68AC6ED2E4}"/>
  <tableColumns count="5">
    <tableColumn id="1" xr3:uid="{7F722AC3-75F6-45B3-9190-827293B02D4C}" name="ability" dataDxfId="1124"/>
    <tableColumn id="2" xr3:uid="{683FB055-6956-496F-A0E9-5C2E73881138}" name="takes" dataDxfId="1123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22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21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20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9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8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7">
      <calculatedColumnFormula>L3+L24+L45+L66+L87+L108</calculatedColumnFormula>
    </tableColumn>
    <tableColumn id="4" xr3:uid="{EC3B8EC8-1BFA-48CF-8CDE-94C6F7C34CA6}" name="wins" dataDxfId="1116">
      <calculatedColumnFormula>M3+M24+M45+M66+M87+M108</calculatedColumnFormula>
    </tableColumn>
    <tableColumn id="5" xr3:uid="{F0960502-C6CE-4EB1-BD9C-74EF7F619CEB}" name="battles-take-rate" dataDxfId="1115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14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13" headerRowBorderDxfId="1112" tableBorderDxfId="1111" totalsRowBorderDxfId="1110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9">
      <calculatedColumnFormula>L8+L29+L50+L71+L92+L113</calculatedColumnFormula>
    </tableColumn>
    <tableColumn id="3" xr3:uid="{DC8F8E66-B8EB-483C-B2BE-7C9B2A81E076}" name="wins" dataDxfId="1108">
      <calculatedColumnFormula>M8+M29+M50+M71+M92+M113</calculatedColumnFormula>
    </tableColumn>
    <tableColumn id="4" xr3:uid="{5AD9DA06-82FA-4EF9-BFCA-BF0FFFF88911}" name="battles-take-rate" dataDxfId="1107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106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90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105" headerRowBorderDxfId="1104" tableBorderDxfId="1103" totalsRowBorderDxfId="1102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101">
      <calculatedColumnFormula>L13+L34+L55+L76+L97+L118</calculatedColumnFormula>
    </tableColumn>
    <tableColumn id="3" xr3:uid="{C0F69861-77B3-4AAF-8D53-36D42207F13D}" name="wins" dataDxfId="1100">
      <calculatedColumnFormula>M13+M34+M55+M76+M97+M118</calculatedColumnFormula>
    </tableColumn>
    <tableColumn id="4" xr3:uid="{17EE2411-F535-4C09-9682-1BE2E263BF38}" name="battles-take-rate" dataDxfId="1099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8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7" headerRowBorderDxfId="1096" tableBorderDxfId="1095" totalsRowBorderDxfId="1094">
  <autoFilter ref="A17:E20" xr:uid="{2AADA4A0-2F4A-4009-8ECF-0BECA693390C}"/>
  <tableColumns count="5">
    <tableColumn id="1" xr3:uid="{5859F4D6-E405-494D-9495-456C2A717042}" name="ability" dataDxfId="1093"/>
    <tableColumn id="2" xr3:uid="{13382877-AB77-41B2-B30F-FD8ADF1868AD}" name="takes" dataDxfId="1092">
      <calculatedColumnFormula>L18+L39+L60+L81+L102+L123</calculatedColumnFormula>
    </tableColumn>
    <tableColumn id="3" xr3:uid="{56A52BF0-1C62-4182-A5FB-18D3BE10282A}" name="wins" dataDxfId="1091">
      <calculatedColumnFormula>M18+M39+M60+M81+M102+M123</calculatedColumnFormula>
    </tableColumn>
    <tableColumn id="4" xr3:uid="{F15A1649-CD46-4B82-A2D9-FCA28362795D}" name="battles-take-rate" dataDxfId="1090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9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8">
      <calculatedColumnFormula>R3+R24+R45+R66+R87+R108</calculatedColumnFormula>
    </tableColumn>
    <tableColumn id="4" xr3:uid="{069713F1-C2CC-49D1-89BE-818384A2E4FD}" name="chestpiece" dataDxfId="108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86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85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84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83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82" headerRowBorderDxfId="1081" tableBorderDxfId="1080" totalsRowBorderDxfId="1079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8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7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76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75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74" headerRowBorderDxfId="1073" tableBorderDxfId="1072" totalsRowBorderDxfId="1071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70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9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8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7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66" headerRowBorderDxfId="1065" tableBorderDxfId="1064" totalsRowBorderDxfId="1063">
  <autoFilter ref="K17:O20" xr:uid="{01E0B516-A92C-45D4-946B-0FCF2F31D98A}"/>
  <tableColumns count="5">
    <tableColumn id="1" xr3:uid="{6E3ACF5F-C817-4C40-88BC-5BCD22AC85C1}" name="ability" dataDxfId="1062"/>
    <tableColumn id="2" xr3:uid="{B913933F-DE61-4933-B988-849E3D873B6C}" name="takes" dataDxfId="1061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60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9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8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7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56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55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54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53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52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51" headerRowBorderDxfId="1050" tableBorderDxfId="1049" totalsRowBorderDxfId="1048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7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46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45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44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9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8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7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43" headerRowBorderDxfId="1042" tableBorderDxfId="1041" totalsRowBorderDxfId="1040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9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8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7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36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35" headerRowBorderDxfId="1034" tableBorderDxfId="1033" totalsRowBorderDxfId="1032">
  <autoFilter ref="K38:O41" xr:uid="{A1F38E75-59DE-4DB4-B81C-C0322397F6F7}"/>
  <tableColumns count="5">
    <tableColumn id="1" xr3:uid="{CB833622-9500-452A-9643-EC635B82CE80}" name="ability" dataDxfId="1031"/>
    <tableColumn id="2" xr3:uid="{91B01C21-E0B8-45E1-8DF5-A7B9A623E34E}" name="takes" dataDxfId="1030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9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8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7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26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25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24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23">
      <calculatedColumnFormula>COUNTIF(Scenario2[winner1-ability1],OracleAbilities1Scenario2[[#This Row],[ability]])</calculatedColumnFormula>
    </tableColumn>
    <tableColumn id="5" xr3:uid="{034FA980-30F5-4A65-930E-873C758C7280}" name="battles-take-rate" dataDxfId="1022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21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20" headerRowBorderDxfId="1019" tableBorderDxfId="1018" totalsRowBorderDxfId="1017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16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15">
      <calculatedColumnFormula>COUNTIF(Scenario2[winner1-ability2],OracleAbilities2Scenario2[[#This Row],[ability]])</calculatedColumnFormula>
    </tableColumn>
    <tableColumn id="4" xr3:uid="{447E5C6C-E9F9-4D65-9CC8-EFF3C7DE5206}" name="battles-take-rate" dataDxfId="1014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13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12" headerRowBorderDxfId="1011" tableBorderDxfId="1010" totalsRowBorderDxfId="1009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8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7">
      <calculatedColumnFormula>COUNTIF(Scenario2[winner1-ability3],OracleAbilities3Scenario2[[#This Row],[ability]])</calculatedColumnFormula>
    </tableColumn>
    <tableColumn id="4" xr3:uid="{14BEA7A5-F9D1-44CF-A38C-50CB90297594}" name="battles-take-rate" dataDxfId="1006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005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004" headerRowBorderDxfId="1003" tableBorderDxfId="1002" totalsRowBorderDxfId="1001">
  <autoFilter ref="K59:O62" xr:uid="{DDB7F110-02A6-4F67-8266-251AF48CB7C0}"/>
  <tableColumns count="5">
    <tableColumn id="1" xr3:uid="{684380C7-16C1-449D-A8CD-E4785101BEE3}" name="ability" dataDxfId="1000"/>
    <tableColumn id="2" xr3:uid="{A5078570-2F9D-4A26-860A-7EA42522F276}" name="takes" dataDxfId="999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8">
      <calculatedColumnFormula>COUNTIF(Scenario2[winner1-ability4],OracleAbilities4Scenario2[[#This Row],[ability]])</calculatedColumnFormula>
    </tableColumn>
    <tableColumn id="4" xr3:uid="{25CD52B3-8C70-4953-9C63-7606955949E3}" name="battles-take-rate" dataDxfId="997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96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95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94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93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92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91">
      <calculatedColumnFormula>COUNTIF(Scenario3[winner1-ability1],OracleAbilities1Scenario3[[#This Row],[ability]])</calculatedColumnFormula>
    </tableColumn>
    <tableColumn id="5" xr3:uid="{DE62042D-7982-4BF3-B071-8EDF692003FE}" name="battles-take-rate" dataDxfId="990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9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86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85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84" totalsRowDxfId="1783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8" headerRowBorderDxfId="987" tableBorderDxfId="986" totalsRowBorderDxfId="985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84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83">
      <calculatedColumnFormula>COUNTIF(Scenario3[winner1-ability2],OracleAbilities2Scenario3[[#This Row],[ability]])</calculatedColumnFormula>
    </tableColumn>
    <tableColumn id="4" xr3:uid="{8DF31301-6566-4092-A843-4FFDD045A618}" name="battles-take-rate" dataDxfId="982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81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80" headerRowBorderDxfId="979" tableBorderDxfId="978" totalsRowBorderDxfId="977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76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75">
      <calculatedColumnFormula>COUNTIF(Scenario3[winner1-ability3],OracleAbilities3Scenario3[[#This Row],[ability]])</calculatedColumnFormula>
    </tableColumn>
    <tableColumn id="4" xr3:uid="{3DF4458E-C16E-4A8A-B345-E3B7F6485141}" name="battles-take-rate" dataDxfId="974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73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72" headerRowBorderDxfId="971" tableBorderDxfId="970" totalsRowBorderDxfId="969">
  <autoFilter ref="K80:O83" xr:uid="{D79E2D8A-FC77-422A-AA03-F5F2585C088A}"/>
  <tableColumns count="5">
    <tableColumn id="1" xr3:uid="{DBD34D79-41EF-433F-AF97-F8A313ED3DF0}" name="ability" dataDxfId="968"/>
    <tableColumn id="2" xr3:uid="{F2E59DF2-2278-41C3-97C8-B7A29C9CCB3B}" name="takes" dataDxfId="967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66">
      <calculatedColumnFormula>COUNTIF(Scenario3[winner1-ability4],OracleAbilities4Scenario3[[#This Row],[ability]])</calculatedColumnFormula>
    </tableColumn>
    <tableColumn id="4" xr3:uid="{91B8F5F4-FFA1-4668-B2FE-3D694C677333}" name="battles-take-rate" dataDxfId="965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64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63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62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61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60">
      <calculatedColumnFormula>COUNTIF(Scenario4[winner1-ability1],OracleAbilities1Scenario4[[#This Row],[ability]])</calculatedColumnFormula>
    </tableColumn>
    <tableColumn id="5" xr3:uid="{20962A48-FDB1-4433-AD85-6B419B89A67F}" name="battles-take-rate" dataDxfId="959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8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7" headerRowBorderDxfId="956" tableBorderDxfId="955" totalsRowBorderDxfId="954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53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52">
      <calculatedColumnFormula>COUNTIF(Scenario4[winner1-ability2],OracleAbilities2Scenario4[[#This Row],[ability]])</calculatedColumnFormula>
    </tableColumn>
    <tableColumn id="4" xr3:uid="{E158F215-350E-4C9E-8771-BFA9C4D2CF70}" name="battles-take-rate" dataDxfId="951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50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9" headerRowBorderDxfId="948" tableBorderDxfId="947" totalsRowBorderDxfId="946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45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44">
      <calculatedColumnFormula>COUNTIF(Scenario4[winner1-ability3],OracleAbilities3Scenario4[[#This Row],[ability]])</calculatedColumnFormula>
    </tableColumn>
    <tableColumn id="4" xr3:uid="{545DD3BB-A8B7-4278-B9E0-8B99F4DA3A2D}" name="battles-take-rate" dataDxfId="943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42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41" headerRowBorderDxfId="940" tableBorderDxfId="939" totalsRowBorderDxfId="938">
  <autoFilter ref="K101:O104" xr:uid="{A90B60DF-6D5E-424F-AC92-0501EE8D54C9}"/>
  <tableColumns count="5">
    <tableColumn id="1" xr3:uid="{2BCBEE41-2EFE-491D-9797-7EF335F79D9B}" name="ability" dataDxfId="937"/>
    <tableColumn id="2" xr3:uid="{DF0F6ED7-41ED-40AF-884D-0FAA02427295}" name="takes" dataDxfId="936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35">
      <calculatedColumnFormula>COUNTIF(Scenario4[winner1-ability4],OracleAbilities4Scenario4[[#This Row],[ability]])</calculatedColumnFormula>
    </tableColumn>
    <tableColumn id="4" xr3:uid="{0241E110-A31B-4B51-AEEF-C37D5902AA27}" name="battles-take-rate" dataDxfId="934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33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32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31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30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9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8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7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82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26" headerRowBorderDxfId="925" tableBorderDxfId="924" totalsRowBorderDxfId="923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22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21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20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9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8" headerRowBorderDxfId="917" tableBorderDxfId="916" totalsRowBorderDxfId="915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14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13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12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11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10" headerRowBorderDxfId="909" tableBorderDxfId="908" totalsRowBorderDxfId="907">
  <autoFilter ref="K122:O125" xr:uid="{E2E1629C-B0D9-466D-BD66-8E394B74E384}"/>
  <tableColumns count="5">
    <tableColumn id="1" xr3:uid="{AA533A29-20C2-4A65-AC96-65CCA3457C7E}" name="ability" dataDxfId="906"/>
    <tableColumn id="2" xr3:uid="{8EF487D6-4412-4F93-A267-6247F705D69A}" name="takes" dataDxfId="905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904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903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902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901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900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9">
      <calculatedColumnFormula>L3+L24+L45+L66+L87+L108</calculatedColumnFormula>
    </tableColumn>
    <tableColumn id="4" xr3:uid="{35DA6B5B-7FC1-492C-B2D0-6F511F16DAD4}" name="wins" dataDxfId="898">
      <calculatedColumnFormula>M3+M24+M45+M66+M87+M108</calculatedColumnFormula>
    </tableColumn>
    <tableColumn id="5" xr3:uid="{FAF7873E-FAE0-4F3C-BAB5-7E4AC3926D8C}" name="battles-take-rate" dataDxfId="897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96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95" headerRowBorderDxfId="894" tableBorderDxfId="893" totalsRowBorderDxfId="892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91">
      <calculatedColumnFormula>L8+L29+L50+L71+L92+L113</calculatedColumnFormula>
    </tableColumn>
    <tableColumn id="3" xr3:uid="{A06DED1F-7374-4755-8A38-527DEBEFD3C6}" name="wins" dataDxfId="890">
      <calculatedColumnFormula>M8+M29+M50+M71+M92+M113</calculatedColumnFormula>
    </tableColumn>
    <tableColumn id="4" xr3:uid="{C56FD638-0548-4732-8F67-350D170E46E5}" name="battles-take-rate" dataDxfId="889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8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7" headerRowBorderDxfId="886" tableBorderDxfId="885" totalsRowBorderDxfId="884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83">
      <calculatedColumnFormula>L13+L34+L55+L76+L97+L118</calculatedColumnFormula>
    </tableColumn>
    <tableColumn id="3" xr3:uid="{150079D1-0272-4CFB-8282-44464105457B}" name="wins" dataDxfId="882">
      <calculatedColumnFormula>M13+M34+M55+M76+M97+M118</calculatedColumnFormula>
    </tableColumn>
    <tableColumn id="4" xr3:uid="{65FEB6D5-A05E-4FC8-B85E-99DFC519570C}" name="battles-take-rate" dataDxfId="881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80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9" headerRowBorderDxfId="878" tableBorderDxfId="877" totalsRowBorderDxfId="876">
  <autoFilter ref="A17:E20" xr:uid="{2AADA4A0-2F4A-4009-8ECF-0BECA693390C}"/>
  <tableColumns count="5">
    <tableColumn id="1" xr3:uid="{F38332B4-A633-4A53-A294-B990E53A9E9E}" name="ability" dataDxfId="875"/>
    <tableColumn id="2" xr3:uid="{A659B804-FBC0-4B86-B0D0-259516FAF254}" name="takes" dataDxfId="874">
      <calculatedColumnFormula>L18+L39+L60+L81+L102+L123</calculatedColumnFormula>
    </tableColumn>
    <tableColumn id="3" xr3:uid="{4DFB6D75-6E90-4DA5-BE74-537E8812340F}" name="wins" dataDxfId="873">
      <calculatedColumnFormula>M18+M39+M60+M81+M102+M123</calculatedColumnFormula>
    </tableColumn>
    <tableColumn id="4" xr3:uid="{D1650154-5016-46B0-8BD5-16233AA11280}" name="battles-take-rate" dataDxfId="872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71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70">
      <calculatedColumnFormula>R3+R24+R45+R66+R87+R108</calculatedColumnFormula>
    </tableColumn>
    <tableColumn id="4" xr3:uid="{5D997E40-F727-46C7-B765-00166A875EA3}" name="chestpiece" dataDxfId="86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8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7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66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65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81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80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9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64" headerRowBorderDxfId="863" tableBorderDxfId="862" totalsRowBorderDxfId="861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60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9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8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7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56" headerRowBorderDxfId="855" tableBorderDxfId="854" totalsRowBorderDxfId="853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52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51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50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9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8" headerRowBorderDxfId="847" tableBorderDxfId="846" totalsRowBorderDxfId="845">
  <autoFilter ref="K17:O20" xr:uid="{01E0B516-A92C-45D4-946B-0FCF2F31D98A}"/>
  <tableColumns count="5">
    <tableColumn id="1" xr3:uid="{B1ECB730-0F58-4ABC-942D-CAE55E41CA9A}" name="ability" dataDxfId="844"/>
    <tableColumn id="2" xr3:uid="{508F1330-F650-4934-B53E-5CF30E50850F}" name="takes" dataDxfId="843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42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41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40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9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8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7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36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35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34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33" headerRowBorderDxfId="832" tableBorderDxfId="831" totalsRowBorderDxfId="830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9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8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7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26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25" headerRowBorderDxfId="824" tableBorderDxfId="823" totalsRowBorderDxfId="822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21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20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9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8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7" headerRowBorderDxfId="816" tableBorderDxfId="815" totalsRowBorderDxfId="814">
  <autoFilter ref="K38:O41" xr:uid="{A1F38E75-59DE-4DB4-B81C-C0322397F6F7}"/>
  <tableColumns count="5">
    <tableColumn id="1" xr3:uid="{E95AEAE3-62BB-4DA7-B153-EB2086E73E57}" name="ability" dataDxfId="813"/>
    <tableColumn id="2" xr3:uid="{2A9E73B8-CD6F-4011-BAC1-63B6A821F80F}" name="takes" dataDxfId="812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11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10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9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8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7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806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805">
      <calculatedColumnFormula>COUNTIF(Scenario2[winner1-ability1],AvatarAbilities1Scenario2[[#This Row],[ability]])</calculatedColumnFormula>
    </tableColumn>
    <tableColumn id="5" xr3:uid="{1E61EB7F-DF68-4EB7-80E2-73B696E16EFA}" name="battles-take-rate" dataDxfId="804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803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8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7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76" totalsRowDxfId="1775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802" headerRowBorderDxfId="801" tableBorderDxfId="800" totalsRowBorderDxfId="799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8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7">
      <calculatedColumnFormula>COUNTIF(Scenario2[winner1-ability2],AvatarAbilities2Scenario2[[#This Row],[ability]])</calculatedColumnFormula>
    </tableColumn>
    <tableColumn id="4" xr3:uid="{C9E6BEDE-6D55-465F-A23C-088B0E5A7769}" name="battles-take-rate" dataDxfId="796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95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94" headerRowBorderDxfId="793" tableBorderDxfId="792" totalsRowBorderDxfId="791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90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9">
      <calculatedColumnFormula>COUNTIF(Scenario2[winner1-ability3],AvatarAbilities3Scenario2[[#This Row],[ability]])</calculatedColumnFormula>
    </tableColumn>
    <tableColumn id="4" xr3:uid="{ADEFFFFC-593D-4983-81AB-62FCA7D838BE}" name="battles-take-rate" dataDxfId="788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7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86" headerRowBorderDxfId="785" tableBorderDxfId="784" totalsRowBorderDxfId="783">
  <autoFilter ref="K59:O62" xr:uid="{DDB7F110-02A6-4F67-8266-251AF48CB7C0}"/>
  <tableColumns count="5">
    <tableColumn id="1" xr3:uid="{41FFE711-9BC2-4C77-93E0-ED76EFB9F1D5}" name="ability" dataDxfId="782"/>
    <tableColumn id="2" xr3:uid="{79EA1ED0-B935-47D2-A86B-D83C6704E80A}" name="takes" dataDxfId="781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80">
      <calculatedColumnFormula>COUNTIF(Scenario2[winner1-ability4],AvatarAbilities4Scenario2[[#This Row],[ability]])</calculatedColumnFormula>
    </tableColumn>
    <tableColumn id="4" xr3:uid="{02651184-3B76-4AC5-89C2-D810EC158F1B}" name="battles-take-rate" dataDxfId="779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8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7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76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75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74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73">
      <calculatedColumnFormula>COUNTIF(Scenario3[winner1-ability1],AvatarAbilities1Scenario3[[#This Row],[ability]])</calculatedColumnFormula>
    </tableColumn>
    <tableColumn id="5" xr3:uid="{DCB58979-EA4F-4103-8C4A-C096D75756ED}" name="battles-take-rate" dataDxfId="772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71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70" headerRowBorderDxfId="769" tableBorderDxfId="768" totalsRowBorderDxfId="767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66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65">
      <calculatedColumnFormula>COUNTIF(Scenario3[winner1-ability2],AvatarAbilities2Scenario3[[#This Row],[ability]])</calculatedColumnFormula>
    </tableColumn>
    <tableColumn id="4" xr3:uid="{70DDA6D0-1C36-48E6-8E20-D94EDE0BDFEA}" name="battles-take-rate" dataDxfId="764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63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62" headerRowBorderDxfId="761" tableBorderDxfId="760" totalsRowBorderDxfId="759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8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7">
      <calculatedColumnFormula>COUNTIF(Scenario3[winner1-ability3],AvatarAbilities3Scenario3[[#This Row],[ability]])</calculatedColumnFormula>
    </tableColumn>
    <tableColumn id="4" xr3:uid="{C06BD8DF-C441-459D-85EE-FD64A2043DD6}" name="battles-take-rate" dataDxfId="756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55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54" headerRowBorderDxfId="753" tableBorderDxfId="752" totalsRowBorderDxfId="751">
  <autoFilter ref="K80:O83" xr:uid="{6EEA34E6-E459-456B-91DD-043B51317E20}"/>
  <tableColumns count="5">
    <tableColumn id="1" xr3:uid="{8A349459-D27C-4E5A-A944-0E74AA4FA7B4}" name="ability" dataDxfId="750"/>
    <tableColumn id="2" xr3:uid="{D6DB89E1-6F3B-4EA4-ADC1-184D6ABA99BE}" name="takes" dataDxfId="749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8">
      <calculatedColumnFormula>COUNTIF(Scenario3[winner1-ability4],AvatarAbilities4Scenario3[[#This Row],[ability]])</calculatedColumnFormula>
    </tableColumn>
    <tableColumn id="4" xr3:uid="{8AF2EF2E-5801-460B-AD63-71BB7539AA5F}" name="battles-take-rate" dataDxfId="747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46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45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44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74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73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72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43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42">
      <calculatedColumnFormula>COUNTIF(Scenario4[winner1-ability1],AvatarAbilities1Scenario4[[#This Row],[ability]])</calculatedColumnFormula>
    </tableColumn>
    <tableColumn id="5" xr3:uid="{846FA7C9-7442-4196-AC20-39FB98DAF0BC}" name="battles-take-rate" dataDxfId="741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40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9" headerRowBorderDxfId="738" tableBorderDxfId="737" totalsRowBorderDxfId="736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35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34">
      <calculatedColumnFormula>COUNTIF(Scenario4[winner1-ability2],AvatarAbilities2Scenario4[[#This Row],[ability]])</calculatedColumnFormula>
    </tableColumn>
    <tableColumn id="4" xr3:uid="{F137D81F-3073-4FAD-9B08-809B82677FC3}" name="battles-take-rate" dataDxfId="733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32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31" headerRowBorderDxfId="730" tableBorderDxfId="729" totalsRowBorderDxfId="728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7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26">
      <calculatedColumnFormula>COUNTIF(Scenario4[winner1-ability3],AvatarAbilities3Scenario4[[#This Row],[ability]])</calculatedColumnFormula>
    </tableColumn>
    <tableColumn id="4" xr3:uid="{135BEB7A-915D-48E6-B091-0340F09F4D94}" name="battles-take-rate" dataDxfId="725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24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23" headerRowBorderDxfId="722" tableBorderDxfId="721" totalsRowBorderDxfId="720">
  <autoFilter ref="K101:O104" xr:uid="{B70B30A2-D94A-4C2F-A92C-F84D834CB3E7}"/>
  <tableColumns count="5">
    <tableColumn id="1" xr3:uid="{002E9049-8F7A-4096-964E-F4939A456F53}" name="ability" dataDxfId="719"/>
    <tableColumn id="2" xr3:uid="{8EB8EF4A-38F7-42BA-A433-E84AC27F3BE5}" name="takes" dataDxfId="718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7">
      <calculatedColumnFormula>COUNTIF(Scenario4[winner1-ability4],AvatarAbilities4Scenario4[[#This Row],[ability]])</calculatedColumnFormula>
    </tableColumn>
    <tableColumn id="4" xr3:uid="{65133FD4-CB3E-451F-9B0A-15A3A8F6140F}" name="battles-take-rate" dataDxfId="716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15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14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13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12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11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10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9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8" headerRowBorderDxfId="707" tableBorderDxfId="706" totalsRowBorderDxfId="705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704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703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702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701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700" headerRowBorderDxfId="699" tableBorderDxfId="698" totalsRowBorderDxfId="697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96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95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94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93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92" headerRowBorderDxfId="691" tableBorderDxfId="690" totalsRowBorderDxfId="689">
  <autoFilter ref="K122:O125" xr:uid="{E059746D-E675-4EF0-88F4-8791605FEEED}"/>
  <tableColumns count="5">
    <tableColumn id="1" xr3:uid="{20267F99-9DF2-489F-A0FB-268A63BB5519}" name="ability" dataDxfId="688"/>
    <tableColumn id="2" xr3:uid="{ED1C9F8E-8284-4586-BDDB-F607F38E81E8}" name="takes" dataDxfId="687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86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85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84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83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82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20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9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8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71">
      <calculatedColumnFormula>M3+M24+M45+M66+M87+M108</calculatedColumnFormula>
    </tableColumn>
    <tableColumn id="4" xr3:uid="{61A21492-49FF-4C06-A153-6F532C6C5A30}" name="wins" dataDxfId="1770">
      <calculatedColumnFormula>N3+N24+N45+N66+N87+N108</calculatedColumnFormula>
    </tableColumn>
    <tableColumn id="5" xr3:uid="{E54CF930-9561-430F-9E4C-4FBFE41AE34D}" name="battles-take-rate" dataDxfId="1769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8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81">
      <calculatedColumnFormula>L3+L24+L45+L66+L87+L108</calculatedColumnFormula>
    </tableColumn>
    <tableColumn id="4" xr3:uid="{E7594F03-C9FD-4ADD-810F-A5D3A80A11D0}" name="wins" dataDxfId="680">
      <calculatedColumnFormula>M3+M24+M45+M66+M87+M108</calculatedColumnFormula>
    </tableColumn>
    <tableColumn id="5" xr3:uid="{02A46B5D-C22D-499B-A57A-EDE540A8C147}" name="battles-take-rate" dataDxfId="679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8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7" headerRowBorderDxfId="676" tableBorderDxfId="675" totalsRowBorderDxfId="674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73">
      <calculatedColumnFormula>L8+L29+L50+L71+L92+L113</calculatedColumnFormula>
    </tableColumn>
    <tableColumn id="3" xr3:uid="{F5082C29-A973-4FDC-8C6D-DAB230FD220B}" name="wins" dataDxfId="672">
      <calculatedColumnFormula>M8+M29+M50+M71+M92+M113</calculatedColumnFormula>
    </tableColumn>
    <tableColumn id="4" xr3:uid="{955AA51C-C441-4923-93B4-21A375FB8EAB}" name="battles-take-rate" dataDxfId="671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70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9" headerRowBorderDxfId="668" tableBorderDxfId="667" totalsRowBorderDxfId="666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65">
      <calculatedColumnFormula>L13+L34+L55+L76+L97+L118</calculatedColumnFormula>
    </tableColumn>
    <tableColumn id="3" xr3:uid="{69A0AA59-1954-41A9-9184-3D9DCEC82306}" name="wins" dataDxfId="664">
      <calculatedColumnFormula>M13+M34+M55+M76+M97+M118</calculatedColumnFormula>
    </tableColumn>
    <tableColumn id="4" xr3:uid="{D2E0470C-3533-4EB8-BCB1-093B0305CFE5}" name="battles-take-rate" dataDxfId="663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62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61" headerRowBorderDxfId="660" tableBorderDxfId="659" totalsRowBorderDxfId="658">
  <autoFilter ref="A17:E20" xr:uid="{2AADA4A0-2F4A-4009-8ECF-0BECA693390C}"/>
  <tableColumns count="5">
    <tableColumn id="1" xr3:uid="{508E3F3C-793A-4D3F-8FE4-5033189433FA}" name="ability" dataDxfId="657"/>
    <tableColumn id="2" xr3:uid="{26190FBD-0D5B-4F70-AB7C-38105BD3682B}" name="takes" dataDxfId="656">
      <calculatedColumnFormula>L18+L39+L60+L81+L102+L123</calculatedColumnFormula>
    </tableColumn>
    <tableColumn id="3" xr3:uid="{6304B665-DF35-4910-8085-1B0F98C1C08E}" name="wins" dataDxfId="655">
      <calculatedColumnFormula>M18+M39+M60+M81+M102+M123</calculatedColumnFormula>
    </tableColumn>
    <tableColumn id="4" xr3:uid="{CE4233CF-2026-408F-A9F5-172CFF825DD4}" name="battles-take-rate" dataDxfId="654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53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52">
      <calculatedColumnFormula>R3+R24+R45+R66+R87+R108</calculatedColumnFormula>
    </tableColumn>
    <tableColumn id="4" xr3:uid="{066CD957-712B-40B8-9181-60B4B646F9D5}" name="chestpiece" dataDxfId="65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50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9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8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7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46" headerRowBorderDxfId="645" tableBorderDxfId="644" totalsRowBorderDxfId="643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42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41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40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9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8" headerRowBorderDxfId="637" tableBorderDxfId="636" totalsRowBorderDxfId="635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34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33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32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31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30" headerRowBorderDxfId="629" tableBorderDxfId="628" totalsRowBorderDxfId="627">
  <autoFilter ref="K17:O20" xr:uid="{01E0B516-A92C-45D4-946B-0FCF2F31D98A}"/>
  <tableColumns count="5">
    <tableColumn id="1" xr3:uid="{7A69B0E2-20CF-43A3-920A-9AE63CA4EDD6}" name="ability" dataDxfId="626"/>
    <tableColumn id="2" xr3:uid="{A0E31296-499C-405F-BCF6-B2EAB56FDACC}" name="takes" dataDxfId="625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24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23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22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21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20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7" headerRowBorderDxfId="1766" tableBorderDxfId="1765" totalsRowBorderDxfId="1764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63">
      <calculatedColumnFormula>M8+M29+M50+M71+M92+M113</calculatedColumnFormula>
    </tableColumn>
    <tableColumn id="3" xr3:uid="{80A922C6-64D8-44FE-96CB-B7E1F6FDC03C}" name="wins" dataDxfId="1762">
      <calculatedColumnFormula>N8+N29+N50+N71+N92+N113</calculatedColumnFormula>
    </tableColumn>
    <tableColumn id="4" xr3:uid="{554161FF-0726-4138-B76E-C5C63F8E633A}" name="battles-take-rate" dataDxfId="1761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60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9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8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7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16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15" headerRowBorderDxfId="614" tableBorderDxfId="613" totalsRowBorderDxfId="612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11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10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9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8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7" headerRowBorderDxfId="606" tableBorderDxfId="605" totalsRowBorderDxfId="604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603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602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601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600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9" headerRowBorderDxfId="598" tableBorderDxfId="597" totalsRowBorderDxfId="596">
  <autoFilter ref="K38:O41" xr:uid="{A1F38E75-59DE-4DB4-B81C-C0322397F6F7}"/>
  <tableColumns count="5">
    <tableColumn id="1" xr3:uid="{B95A8C1F-E83A-4A7B-ACAE-F997D171F354}" name="ability" dataDxfId="595"/>
    <tableColumn id="2" xr3:uid="{B5A87322-37A1-488C-B6C2-23B9D65EEB08}" name="takes" dataDxfId="594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93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92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91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90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9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8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7">
      <calculatedColumnFormula>COUNTIF(Scenario2[winner1-ability1],ShadowAbilities1Scenario2[[#This Row],[ability]])</calculatedColumnFormula>
    </tableColumn>
    <tableColumn id="5" xr3:uid="{AE0DC280-6579-4B86-B8B4-CDC9AF90EDBE}" name="battles-take-rate" dataDxfId="586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85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84" headerRowBorderDxfId="583" tableBorderDxfId="582" totalsRowBorderDxfId="581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80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9">
      <calculatedColumnFormula>COUNTIF(Scenario2[winner1-ability2],ShadowAbilities2Scenario2[[#This Row],[ability]])</calculatedColumnFormula>
    </tableColumn>
    <tableColumn id="4" xr3:uid="{348088A2-AD3A-435D-AAD6-1030EDC81266}" name="battles-take-rate" dataDxfId="578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7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76" headerRowBorderDxfId="575" tableBorderDxfId="574" totalsRowBorderDxfId="573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72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71">
      <calculatedColumnFormula>COUNTIF(Scenario2[winner1-ability3],ShadowAbilities3Scenario2[[#This Row],[ability]])</calculatedColumnFormula>
    </tableColumn>
    <tableColumn id="4" xr3:uid="{B6BC679A-540A-46F8-8039-4C37B6F8FAD6}" name="battles-take-rate" dataDxfId="570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9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8" headerRowBorderDxfId="567" tableBorderDxfId="566" totalsRowBorderDxfId="565">
  <autoFilter ref="K59:O62" xr:uid="{DDB7F110-02A6-4F67-8266-251AF48CB7C0}"/>
  <tableColumns count="5">
    <tableColumn id="1" xr3:uid="{808C7394-83C0-4054-AFB9-9F9E1965E6DC}" name="ability" dataDxfId="564"/>
    <tableColumn id="2" xr3:uid="{A8117EB0-F8AE-4362-841F-EBC31BDC80E7}" name="takes" dataDxfId="563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62">
      <calculatedColumnFormula>COUNTIF(Scenario2[winner1-ability4],ShadowAbilities4Scenario2[[#This Row],[ability]])</calculatedColumnFormula>
    </tableColumn>
    <tableColumn id="4" xr3:uid="{D18D0446-17DA-4367-8791-04B929BF7C7E}" name="battles-take-rate" dataDxfId="561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60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9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8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9" headerRowBorderDxfId="1758" tableBorderDxfId="1757" totalsRowBorderDxfId="1756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55">
      <calculatedColumnFormula>M13+M34+M55+M76+M97+M118</calculatedColumnFormula>
    </tableColumn>
    <tableColumn id="3" xr3:uid="{3EE75CB9-F097-4DDD-B43D-5E1FA49D5DA7}" name="wins" dataDxfId="1754">
      <calculatedColumnFormula>N13+N34+N55+N76+N97+N118</calculatedColumnFormula>
    </tableColumn>
    <tableColumn id="4" xr3:uid="{4386EDC2-3695-4FDE-BF81-4F581D693BFE}" name="battles-take-rate" dataDxfId="1753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52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7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56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55">
      <calculatedColumnFormula>COUNTIF(Scenario3[winner1-ability1],ShadowAbilities1Scenario3[[#This Row],[ability]])</calculatedColumnFormula>
    </tableColumn>
    <tableColumn id="5" xr3:uid="{CF3E5CA9-0667-4428-A210-89117623418E}" name="battles-take-rate" dataDxfId="554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53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52" headerRowBorderDxfId="551" tableBorderDxfId="550" totalsRowBorderDxfId="549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8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7">
      <calculatedColumnFormula>COUNTIF(Scenario3[winner1-ability2],ShadowAbilities2Scenario3[[#This Row],[ability]])</calculatedColumnFormula>
    </tableColumn>
    <tableColumn id="4" xr3:uid="{F55503FB-455E-4E35-B348-DB7A213DC482}" name="battles-take-rate" dataDxfId="546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45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44" headerRowBorderDxfId="543" tableBorderDxfId="542" totalsRowBorderDxfId="541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40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9">
      <calculatedColumnFormula>COUNTIF(Scenario3[winner1-ability3],ShadowAbilities3Scenario3[[#This Row],[ability]])</calculatedColumnFormula>
    </tableColumn>
    <tableColumn id="4" xr3:uid="{FE627B80-B071-44ED-96E3-2D22A6BFBE3E}" name="battles-take-rate" dataDxfId="538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7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36" headerRowBorderDxfId="535" tableBorderDxfId="534" totalsRowBorderDxfId="533">
  <autoFilter ref="K80:O83" xr:uid="{89998BA8-FF2B-4F78-B422-0769B096DA12}"/>
  <tableColumns count="5">
    <tableColumn id="1" xr3:uid="{9E2ED936-C92E-4DB6-8A8D-6A5D54890827}" name="ability" dataDxfId="532"/>
    <tableColumn id="2" xr3:uid="{30C20F36-9263-41F1-934F-C7B737783080}" name="takes" dataDxfId="531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30">
      <calculatedColumnFormula>COUNTIF(Scenario3[winner1-ability4],ShadowAbilities4Scenario3[[#This Row],[ability]])</calculatedColumnFormula>
    </tableColumn>
    <tableColumn id="4" xr3:uid="{C78891C3-5CB5-4131-9173-2B27B1A4D302}" name="battles-take-rate" dataDxfId="529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8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7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26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25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24">
      <calculatedColumnFormula>COUNTIF(Scenario4[winner1-ability1],ShadowAbilities1Scenario4[[#This Row],[ability]])</calculatedColumnFormula>
    </tableColumn>
    <tableColumn id="5" xr3:uid="{A901B921-06E8-4AEC-A96B-C713A120EDCD}" name="battles-take-rate" dataDxfId="523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22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21" headerRowBorderDxfId="520" tableBorderDxfId="519" totalsRowBorderDxfId="518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7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16">
      <calculatedColumnFormula>COUNTIF(Scenario4[winner1-ability2],ShadowAbilities2Scenario4[[#This Row],[ability]])</calculatedColumnFormula>
    </tableColumn>
    <tableColumn id="4" xr3:uid="{9729481F-2A5B-4AB2-B539-4C8B0BB903C3}" name="battles-take-rate" dataDxfId="515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14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13" headerRowBorderDxfId="512" tableBorderDxfId="511" totalsRowBorderDxfId="510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9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8">
      <calculatedColumnFormula>COUNTIF(Scenario4[winner1-ability3],ShadowAbilities3Scenario4[[#This Row],[ability]])</calculatedColumnFormula>
    </tableColumn>
    <tableColumn id="4" xr3:uid="{2B28F9B7-A49E-4828-AED2-A5F9D1DB620A}" name="battles-take-rate" dataDxfId="507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506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505" headerRowBorderDxfId="504" tableBorderDxfId="503" totalsRowBorderDxfId="502">
  <autoFilter ref="K101:O104" xr:uid="{1C609518-452E-4A91-AF17-394CB05FB0F3}"/>
  <tableColumns count="5">
    <tableColumn id="1" xr3:uid="{CC33268F-C34A-43D0-A56A-74B0F609F718}" name="ability" dataDxfId="501"/>
    <tableColumn id="2" xr3:uid="{6F12010D-206B-4AD4-9F1C-7792709F1041}" name="takes" dataDxfId="500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9">
      <calculatedColumnFormula>COUNTIF(Scenario4[winner1-ability4],ShadowAbilities4Scenario4[[#This Row],[ability]])</calculatedColumnFormula>
    </tableColumn>
    <tableColumn id="4" xr3:uid="{1F1D8ECE-DB99-4E3C-A674-360B53ED1293}" name="battles-take-rate" dataDxfId="498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7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51" headerRowBorderDxfId="1750" tableBorderDxfId="1749" totalsRowBorderDxfId="1748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7">
      <calculatedColumnFormula>M18+M39+M60+M81+M102+M123</calculatedColumnFormula>
    </tableColumn>
    <tableColumn id="3" xr3:uid="{FCDACB04-C3C9-4451-9344-563AAD645EE3}" name="wins" dataDxfId="1746">
      <calculatedColumnFormula>N18+N39+N60+N81+N102+N123</calculatedColumnFormula>
    </tableColumn>
    <tableColumn id="4" xr3:uid="{A43A8590-7A57-4069-B1B8-09F7A5FC26AC}" name="battles-take-rate" dataDxfId="1745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44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96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95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94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93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92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91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90" headerRowBorderDxfId="489" tableBorderDxfId="488" totalsRowBorderDxfId="487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86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85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84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83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82" headerRowBorderDxfId="481" tableBorderDxfId="480" totalsRowBorderDxfId="479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8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7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76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75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74" headerRowBorderDxfId="473" tableBorderDxfId="472" totalsRowBorderDxfId="471">
  <autoFilter ref="K122:O125" xr:uid="{74C00B1E-EEA9-48AB-A27C-B009AE4D0A5D}"/>
  <tableColumns count="5">
    <tableColumn id="1" xr3:uid="{0AB4169E-2A81-436A-8816-892597836570}" name="ability" dataDxfId="470"/>
    <tableColumn id="2" xr3:uid="{63FA27CA-DCA1-4F45-8BB0-FAAEBF52C2E6}" name="takes" dataDxfId="469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8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7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66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65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64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63">
      <calculatedColumnFormula>L3+L24+L45+L66+L87+L108</calculatedColumnFormula>
    </tableColumn>
    <tableColumn id="4" xr3:uid="{58CA11D9-169A-46E2-9A57-9E370495AE74}" name="wins" dataDxfId="462">
      <calculatedColumnFormula>M3+M24+M45+M66+M87+M108</calculatedColumnFormula>
    </tableColumn>
    <tableColumn id="5" xr3:uid="{FCD1957D-8B13-463F-918E-7541CD4802BE}" name="battles-take-rate" dataDxfId="461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60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9" headerRowBorderDxfId="458" tableBorderDxfId="457" totalsRowBorderDxfId="456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55">
      <calculatedColumnFormula>L8+L29+L50+L71+L92+L113</calculatedColumnFormula>
    </tableColumn>
    <tableColumn id="3" xr3:uid="{8036E5FE-9DB3-44E7-AF19-651F4FEED3A5}" name="wins" dataDxfId="454">
      <calculatedColumnFormula>M8+M29+M50+M71+M92+M113</calculatedColumnFormula>
    </tableColumn>
    <tableColumn id="4" xr3:uid="{F340980B-9818-44CD-839E-1CE580EFB60A}" name="battles-take-rate" dataDxfId="453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52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51" headerRowBorderDxfId="450" tableBorderDxfId="449" totalsRowBorderDxfId="448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7">
      <calculatedColumnFormula>L13+L34+L55+L76+L97+L118</calculatedColumnFormula>
    </tableColumn>
    <tableColumn id="3" xr3:uid="{C75B917B-4ECC-4DD1-9024-BE6CDFC7ADF6}" name="wins" dataDxfId="446">
      <calculatedColumnFormula>M13+M34+M55+M76+M97+M118</calculatedColumnFormula>
    </tableColumn>
    <tableColumn id="4" xr3:uid="{33AA1918-8E3F-4AE7-B461-1D2AFB04069A}" name="battles-take-rate" dataDxfId="445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44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43" headerRowBorderDxfId="442" tableBorderDxfId="441" totalsRowBorderDxfId="440">
  <autoFilter ref="A17:E20" xr:uid="{2AADA4A0-2F4A-4009-8ECF-0BECA693390C}"/>
  <tableColumns count="5">
    <tableColumn id="1" xr3:uid="{0F824B32-1B2D-4DB9-A0E4-042F6AAA65D0}" name="ability" dataDxfId="439"/>
    <tableColumn id="2" xr3:uid="{C861246F-E022-49C0-BFAD-6CD3013B0246}" name="takes" dataDxfId="438">
      <calculatedColumnFormula>L18+L39+L60+L81+L102+L123</calculatedColumnFormula>
    </tableColumn>
    <tableColumn id="3" xr3:uid="{3FA0E70F-04C8-4FC4-898C-79D0A5C6E6C3}" name="wins" dataDxfId="437">
      <calculatedColumnFormula>M18+M39+M60+M81+M102+M123</calculatedColumnFormula>
    </tableColumn>
    <tableColumn id="4" xr3:uid="{047E06AD-872B-4FB4-9AB8-8B8E2717658B}" name="battles-take-rate" dataDxfId="436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35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43">
      <calculatedColumnFormula>S3+S24+S45+S66+S87+S108</calculatedColumnFormula>
    </tableColumn>
    <tableColumn id="3" xr3:uid="{F4CFC04E-00E1-447E-954B-909DEBE33E7C}" name="shield" dataDxfId="1742">
      <calculatedColumnFormula>T3+T24+T45+T66+T87+T108</calculatedColumnFormula>
    </tableColumn>
    <tableColumn id="4" xr3:uid="{3051F8DD-C458-45A9-A22A-CA5DF4CE7313}" name="chestpiece" dataDxfId="1741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34">
      <calculatedColumnFormula>R3+R24+R45+R66+R87+R108</calculatedColumnFormula>
    </tableColumn>
    <tableColumn id="4" xr3:uid="{F2CC5FCF-C346-4903-B131-24F9A7A7ADC9}" name="chestpiece" dataDxfId="43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32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31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30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9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8" headerRowBorderDxfId="427" tableBorderDxfId="426" totalsRowBorderDxfId="425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24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23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22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21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20" headerRowBorderDxfId="419" tableBorderDxfId="418" totalsRowBorderDxfId="417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16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15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14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13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12" headerRowBorderDxfId="411" tableBorderDxfId="410" totalsRowBorderDxfId="409">
  <autoFilter ref="K17:O20" xr:uid="{01E0B516-A92C-45D4-946B-0FCF2F31D98A}"/>
  <tableColumns count="5">
    <tableColumn id="1" xr3:uid="{95251227-5274-48FA-A791-C1AC52DA6F2E}" name="ability" dataDxfId="408"/>
    <tableColumn id="2" xr3:uid="{B7211C4B-8C9B-4B1A-B9B4-26E32C837D31}" name="takes" dataDxfId="407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406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405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404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403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402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401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400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9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8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7" headerRowBorderDxfId="396" tableBorderDxfId="395" totalsRowBorderDxfId="394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93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92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91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90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9" headerRowBorderDxfId="388" tableBorderDxfId="387" totalsRowBorderDxfId="386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85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84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83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82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81" headerRowBorderDxfId="380" tableBorderDxfId="379" totalsRowBorderDxfId="378">
  <autoFilter ref="K38:O41" xr:uid="{A1F38E75-59DE-4DB4-B81C-C0322397F6F7}"/>
  <tableColumns count="5">
    <tableColumn id="1" xr3:uid="{D120DB3D-0A5D-420D-9741-6F25B01853C8}" name="ability" dataDxfId="377"/>
    <tableColumn id="2" xr3:uid="{917AA9FD-5BE5-479F-8517-062A9D4A84E5}" name="takes" dataDxfId="376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75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74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73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40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9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8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7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72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71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70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9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8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7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66" headerRowBorderDxfId="365" tableBorderDxfId="364" totalsRowBorderDxfId="363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62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61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60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9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8" headerRowBorderDxfId="357" tableBorderDxfId="356" totalsRowBorderDxfId="355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54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53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52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51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50" headerRowBorderDxfId="349" tableBorderDxfId="348" totalsRowBorderDxfId="347">
  <autoFilter ref="K59:O62" xr:uid="{DDB7F110-02A6-4F67-8266-251AF48CB7C0}"/>
  <tableColumns count="5">
    <tableColumn id="1" xr3:uid="{10AC8AF3-38AA-4A13-B22D-4BB6F815DE68}" name="ability" dataDxfId="346"/>
    <tableColumn id="2" xr3:uid="{71D3D958-AF17-4056-8501-6475CD621FEA}" name="takes" dataDxfId="345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44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43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42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41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40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9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8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7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36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35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34" headerRowBorderDxfId="333" tableBorderDxfId="332" totalsRowBorderDxfId="331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30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9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8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7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26" headerRowBorderDxfId="325" tableBorderDxfId="324" totalsRowBorderDxfId="323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22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21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20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9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36" headerRowBorderDxfId="1735" tableBorderDxfId="1734" totalsRowBorderDxfId="1733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32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31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30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9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8" headerRowBorderDxfId="317" tableBorderDxfId="316" totalsRowBorderDxfId="315">
  <autoFilter ref="K80:O83" xr:uid="{F49F780C-91EA-4137-817A-655CE8B0C91F}"/>
  <tableColumns count="5">
    <tableColumn id="1" xr3:uid="{138AE503-6600-46A3-BBD7-4F7DDB8524ED}" name="ability" dataDxfId="314"/>
    <tableColumn id="2" xr3:uid="{38FBAF79-85EE-4F74-89FD-CD7FAD9E38AA}" name="takes" dataDxfId="313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12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11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10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9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8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7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306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305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304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303" headerRowBorderDxfId="302" tableBorderDxfId="301" totalsRowBorderDxfId="300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9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8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7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96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95" headerRowBorderDxfId="294" tableBorderDxfId="293" totalsRowBorderDxfId="292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91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90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9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8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7" headerRowBorderDxfId="286" tableBorderDxfId="285" totalsRowBorderDxfId="284">
  <autoFilter ref="K101:O104" xr:uid="{C6F46D23-B1D4-4713-9D97-360EE74CE1F5}"/>
  <tableColumns count="5">
    <tableColumn id="1" xr3:uid="{B3B7DCCA-7B08-4F79-AC94-5F36F2CC9893}" name="ability" dataDxfId="283"/>
    <tableColumn id="2" xr3:uid="{72F61BD1-75B1-4082-BCF0-F09B0A4179AF}" name="takes" dataDxfId="282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81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80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9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8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7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76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75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74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73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72" headerRowBorderDxfId="271" tableBorderDxfId="270" totalsRowBorderDxfId="269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8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7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66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65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64" headerRowBorderDxfId="263" tableBorderDxfId="262" totalsRowBorderDxfId="261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60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9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8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7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8" headerRowBorderDxfId="1727" tableBorderDxfId="1726" totalsRowBorderDxfId="1725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24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23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22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21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56" headerRowBorderDxfId="255" tableBorderDxfId="254" totalsRowBorderDxfId="253">
  <autoFilter ref="K122:O125" xr:uid="{1A744E4A-3571-459A-BF22-53EBC8CB38DE}"/>
  <tableColumns count="5">
    <tableColumn id="1" xr3:uid="{979953D5-0824-493D-B92F-3E4881005717}" name="ability" dataDxfId="252"/>
    <tableColumn id="2" xr3:uid="{4ED6C1EE-CA65-44BD-8EB5-9DEE908DECE5}" name="takes" dataDxfId="251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50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9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8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7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46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45">
      <calculatedColumnFormula>M3+M24+M45+M66+M87+M108</calculatedColumnFormula>
    </tableColumn>
    <tableColumn id="4" xr3:uid="{CDAB9E23-22AA-4C01-8C82-A6CA62B02527}" name="wins" dataDxfId="244">
      <calculatedColumnFormula>N3+N24+N45+N66+N87+N108</calculatedColumnFormula>
    </tableColumn>
    <tableColumn id="5" xr3:uid="{10E225D8-ED8B-4DEA-B697-D56C9AC10EDE}" name="battles-take-rate" dataDxfId="243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42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41" headerRowBorderDxfId="240" tableBorderDxfId="239" totalsRowBorderDxfId="238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7">
      <calculatedColumnFormula>M8+M29+M50+M71+M92+M113</calculatedColumnFormula>
    </tableColumn>
    <tableColumn id="3" xr3:uid="{B90DED9A-FB36-4010-A0F2-A4F4295C587D}" name="wins" dataDxfId="236">
      <calculatedColumnFormula>N8+N29+N50+N71+N92+N113</calculatedColumnFormula>
    </tableColumn>
    <tableColumn id="4" xr3:uid="{BE0E10ED-A980-43A5-9BDF-619C73B41AFB}" name="battles-take-rate" dataDxfId="235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34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33" headerRowBorderDxfId="232" tableBorderDxfId="231" totalsRowBorderDxfId="230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9">
      <calculatedColumnFormula>M13+M34+M55+M76+M97+M118</calculatedColumnFormula>
    </tableColumn>
    <tableColumn id="3" xr3:uid="{4F19BEBF-12CE-4B6C-A863-4DF3FEA28027}" name="wins" dataDxfId="228">
      <calculatedColumnFormula>N13+N34+N55+N76+N97+N118</calculatedColumnFormula>
    </tableColumn>
    <tableColumn id="4" xr3:uid="{797719FB-C470-4B00-B35C-54DF472BB4A2}" name="battles-take-rate" dataDxfId="227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26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25" headerRowBorderDxfId="224" tableBorderDxfId="223" totalsRowBorderDxfId="222">
  <autoFilter ref="A17:E20" xr:uid="{2AADA4A0-2F4A-4009-8ECF-0BECA693390C}"/>
  <tableColumns count="5">
    <tableColumn id="1" xr3:uid="{797653A4-EDCA-4C4D-A3D4-CD6135488CE9}" name="ability" dataDxfId="221"/>
    <tableColumn id="2" xr3:uid="{9958885A-546E-4B41-BF74-36A6885A316D}" name="takes" dataDxfId="220">
      <calculatedColumnFormula>M18+M39+M60+M81+M102+M123</calculatedColumnFormula>
    </tableColumn>
    <tableColumn id="3" xr3:uid="{F49FD5D1-7963-494A-BE27-74BE85A96B9D}" name="wins" dataDxfId="219">
      <calculatedColumnFormula>N18+N39+N60+N81+N102+N123</calculatedColumnFormula>
    </tableColumn>
    <tableColumn id="4" xr3:uid="{F7EC00D3-61D4-46E7-BE58-31BDB9ED271A}" name="battles-take-rate" dataDxfId="218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7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16">
      <calculatedColumnFormula>S3+S24+S45+S66+S87+S108</calculatedColumnFormula>
    </tableColumn>
    <tableColumn id="3" xr3:uid="{39E8DCAE-D493-4A26-A9B3-9996C564CEE7}" name="blade" dataDxfId="215">
      <calculatedColumnFormula>T3+T24+T45+T66+T87+T108</calculatedColumnFormula>
    </tableColumn>
    <tableColumn id="4" xr3:uid="{F082B021-59DE-4852-B1B3-0AA25C478097}" name="chestpiece" dataDxfId="21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13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12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11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10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9" headerRowBorderDxfId="208" tableBorderDxfId="207" totalsRowBorderDxfId="206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205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204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203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202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201" headerRowBorderDxfId="200" tableBorderDxfId="199" totalsRowBorderDxfId="198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7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96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95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94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20" headerRowBorderDxfId="1719" tableBorderDxfId="1718" totalsRowBorderDxfId="1717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16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15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14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13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93" headerRowBorderDxfId="192" tableBorderDxfId="191" totalsRowBorderDxfId="190">
  <autoFilter ref="L17:P20" xr:uid="{01E0B516-A92C-45D4-946B-0FCF2F31D98A}"/>
  <tableColumns count="5">
    <tableColumn id="1" xr3:uid="{E980F6C0-E93A-4FFA-8E1B-7186BE3B4D2B}" name="ability" dataDxfId="189"/>
    <tableColumn id="2" xr3:uid="{387091C3-7426-4F2A-A753-72A1D81097AE}" name="takes" dataDxfId="188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7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86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85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84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83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82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81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80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9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8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7" headerRowBorderDxfId="176" tableBorderDxfId="175" totalsRowBorderDxfId="174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73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72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71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70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9" headerRowBorderDxfId="168" tableBorderDxfId="167" totalsRowBorderDxfId="166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65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64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63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62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61" headerRowBorderDxfId="160" tableBorderDxfId="159" totalsRowBorderDxfId="158">
  <autoFilter ref="L38:P41" xr:uid="{A1F38E75-59DE-4DB4-B81C-C0322397F6F7}"/>
  <tableColumns count="5">
    <tableColumn id="1" xr3:uid="{B108F2DF-4A32-4ECF-B16B-02A49181826D}" name="ability" dataDxfId="157"/>
    <tableColumn id="2" xr3:uid="{A47622D9-162B-4188-B077-F04987EF9266}" name="takes" dataDxfId="156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55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54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53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52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51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50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9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8">
      <calculatedColumnFormula>COUNTIF(Scenario2[winner1-ability1],AvengerAbilities1Scenario2[[#This Row],[ability]])</calculatedColumnFormula>
    </tableColumn>
    <tableColumn id="5" xr3:uid="{9DB36862-AC92-48F0-8B86-87B94516CEAF}" name="battles-take-rate" dataDxfId="147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46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45" headerRowBorderDxfId="144" tableBorderDxfId="143" totalsRowBorderDxfId="142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41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40">
      <calculatedColumnFormula>COUNTIF(Scenario2[winner1-ability2],AvengerAbilities2Scenario2[[#This Row],[ability]])</calculatedColumnFormula>
    </tableColumn>
    <tableColumn id="4" xr3:uid="{16676FDF-F72D-4A46-9456-4F4E86ACEDE3}" name="battles-take-rate" dataDxfId="139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8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7" headerRowBorderDxfId="136" tableBorderDxfId="135" totalsRowBorderDxfId="134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33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32">
      <calculatedColumnFormula>COUNTIF(Scenario2[winner1-ability3],AvengerAbilities3Scenario2[[#This Row],[ability]])</calculatedColumnFormula>
    </tableColumn>
    <tableColumn id="4" xr3:uid="{6EA1CE83-F097-4979-BAF4-5E5DD321C889}" name="battles-take-rate" dataDxfId="131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30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12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11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10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9" headerRowBorderDxfId="128" tableBorderDxfId="127" totalsRowBorderDxfId="126">
  <autoFilter ref="L59:P62" xr:uid="{DDB7F110-02A6-4F67-8266-251AF48CB7C0}"/>
  <tableColumns count="5">
    <tableColumn id="1" xr3:uid="{0228B3A4-F54D-4604-AAB4-26F241807E53}" name="ability" dataDxfId="125"/>
    <tableColumn id="2" xr3:uid="{BE2ED41F-9201-4A8E-B960-2268FAC34946}" name="takes" dataDxfId="124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23">
      <calculatedColumnFormula>COUNTIF(Scenario2[winner1-ability4],AvengerAbilities4Scenario2[[#This Row],[ability]])</calculatedColumnFormula>
    </tableColumn>
    <tableColumn id="4" xr3:uid="{5D2EF02F-DEB6-4E46-A7E5-3F277ED38E6B}" name="battles-take-rate" dataDxfId="122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21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20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9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8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7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16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15">
      <calculatedColumnFormula>COUNTIF(Scenario3[winner1-ability1],AvengerAbilities1Scenario3[[#This Row],[ability]])</calculatedColumnFormula>
    </tableColumn>
    <tableColumn id="5" xr3:uid="{925E1B42-8A3A-40EE-9A46-817810CDD8FB}" name="battles-take-rate" dataDxfId="114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13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12" headerRowBorderDxfId="111" tableBorderDxfId="110" totalsRowBorderDxfId="109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8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7">
      <calculatedColumnFormula>COUNTIF(Scenario3[winner1-ability2],AvengerAbilities2Scenario3[[#This Row],[ability]])</calculatedColumnFormula>
    </tableColumn>
    <tableColumn id="4" xr3:uid="{DA0323F7-D766-4C91-9345-7103E5B2B2FA}" name="battles-take-rate" dataDxfId="106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105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104" headerRowBorderDxfId="103" tableBorderDxfId="102" totalsRowBorderDxfId="101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100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9">
      <calculatedColumnFormula>COUNTIF(Scenario3[winner1-ability3],AvengerAbilities3Scenario3[[#This Row],[ability]])</calculatedColumnFormula>
    </tableColumn>
    <tableColumn id="4" xr3:uid="{DC30695C-AE61-4301-A803-CC651376959D}" name="battles-take-rate" dataDxfId="98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7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96" headerRowBorderDxfId="95" tableBorderDxfId="94" totalsRowBorderDxfId="93">
  <autoFilter ref="L80:P83" xr:uid="{DFBA6C76-2A45-4005-8A4B-B62B537356D5}"/>
  <tableColumns count="5">
    <tableColumn id="1" xr3:uid="{8C137A68-6D0C-49C3-8547-6CB48E7F2480}" name="ability" dataDxfId="92"/>
    <tableColumn id="2" xr3:uid="{BD1DED06-4C3E-47DC-8BD0-68CA34A1DA7A}" name="takes" dataDxfId="91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90">
      <calculatedColumnFormula>COUNTIF(Scenario3[winner1-ability4],AvengerAbilities4Scenario3[[#This Row],[ability]])</calculatedColumnFormula>
    </tableColumn>
    <tableColumn id="4" xr3:uid="{B8548539-0603-48EF-9DA8-3DCC5CD89D09}" name="battles-take-rate" dataDxfId="89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8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7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86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85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84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83">
      <calculatedColumnFormula>COUNTIF(Scenario4[winner1-ability1],AvengerAbilities1Scenario4[[#This Row],[ability]])</calculatedColumnFormula>
    </tableColumn>
    <tableColumn id="5" xr3:uid="{2B01D9E4-5C78-4A53-A8EA-8D87E0149485}" name="battles-take-rate" dataDxfId="82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81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80" headerRowBorderDxfId="79" tableBorderDxfId="78" totalsRowBorderDxfId="77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76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75">
      <calculatedColumnFormula>COUNTIF(Scenario4[winner1-ability2],AvengerAbilities2Scenario4[[#This Row],[ability]])</calculatedColumnFormula>
    </tableColumn>
    <tableColumn id="4" xr3:uid="{0CB5E9F8-1096-4C85-BE7F-5AA7B8C01603}" name="battles-take-rate" dataDxfId="74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73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7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16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15" totalsRowDxfId="1814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9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8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7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706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72" headerRowBorderDxfId="71" tableBorderDxfId="70" totalsRowBorderDxfId="69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8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7">
      <calculatedColumnFormula>COUNTIF(Scenario4[winner1-ability3],AvengerAbilities3Scenario4[[#This Row],[ability]])</calculatedColumnFormula>
    </tableColumn>
    <tableColumn id="4" xr3:uid="{C7BFDFBD-FC68-477D-8FFA-2D300E1AA89D}" name="battles-take-rate" dataDxfId="66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65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64" headerRowBorderDxfId="63" tableBorderDxfId="62" totalsRowBorderDxfId="61">
  <autoFilter ref="L101:P104" xr:uid="{E0C2D5AA-63BE-4431-96B6-ED61F1B43B2C}"/>
  <tableColumns count="5">
    <tableColumn id="1" xr3:uid="{69A79FA2-C7FA-4C00-84A3-F37C8FA60546}" name="ability" dataDxfId="60"/>
    <tableColumn id="2" xr3:uid="{E2E7B263-F388-4826-AF29-E7140D39D1AF}" name="takes" dataDxfId="59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8">
      <calculatedColumnFormula>COUNTIF(Scenario4[winner1-ability4],AvengerAbilities4Scenario4[[#This Row],[ability]])</calculatedColumnFormula>
    </tableColumn>
    <tableColumn id="4" xr3:uid="{4AF24253-BE96-42B9-8264-BF3FCEE7A29E}" name="battles-take-rate" dataDxfId="57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56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55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54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53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52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51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50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9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8" headerRowBorderDxfId="47" tableBorderDxfId="46" totalsRowBorderDxfId="45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44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43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42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41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40" headerRowBorderDxfId="39" tableBorderDxfId="38" totalsRowBorderDxfId="37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36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35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34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33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32" headerRowBorderDxfId="31" tableBorderDxfId="30" totalsRowBorderDxfId="29">
  <autoFilter ref="L122:P125" xr:uid="{F160D1D4-E2CA-4D0C-84EC-AA2A7E301211}"/>
  <tableColumns count="5">
    <tableColumn id="1" xr3:uid="{F60168F8-23AE-4CFB-A091-D964CDF9CCBB}" name="ability" dataDxfId="28"/>
    <tableColumn id="2" xr3:uid="{3A51F650-A9B5-4C31-8F09-AC78E854A77D}" name="takes" dataDxfId="27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6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5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4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3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2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1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705" headerRowBorderDxfId="1704" tableBorderDxfId="1703" totalsRowBorderDxfId="1702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701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700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9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8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7" headerRowBorderDxfId="1696" tableBorderDxfId="1695" totalsRowBorderDxfId="1694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93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92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91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90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9" headerRowBorderDxfId="1688" tableBorderDxfId="1687" totalsRowBorderDxfId="1686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85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84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83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82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81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80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9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8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7">
      <calculatedColumnFormula>COUNTIF(Scenario2[winner1-ability1],ParagonAbilities1Scenario2[[#This Row],[ability]])</calculatedColumnFormula>
    </tableColumn>
    <tableColumn id="5" xr3:uid="{B6F725F9-59F1-4BBC-88E3-95CB9FA3D9B4}" name="battles-take-rate" dataDxfId="1676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75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74" headerRowBorderDxfId="1673" tableBorderDxfId="1672" totalsRowBorderDxfId="1671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70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9">
      <calculatedColumnFormula>COUNTIF(Scenario2[winner1-ability2],ParagonAbilities2Scenario2[[#This Row],[ability]])</calculatedColumnFormula>
    </tableColumn>
    <tableColumn id="4" xr3:uid="{E051F2C9-AD26-4F86-BA73-06F989437A9B}" name="battles-take-rate" dataDxfId="1668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7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66" headerRowBorderDxfId="1665" tableBorderDxfId="1664" totalsRowBorderDxfId="1663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62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61">
      <calculatedColumnFormula>COUNTIF(Scenario2[winner1-ability3],ParagonAbilities3Scenario2[[#This Row],[ability]])</calculatedColumnFormula>
    </tableColumn>
    <tableColumn id="4" xr3:uid="{A7CC83B2-A2E6-4450-9696-B55D92586553}" name="battles-take-rate" dataDxfId="1660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9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8" headerRowBorderDxfId="1657" tableBorderDxfId="1656" totalsRowBorderDxfId="1655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54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53">
      <calculatedColumnFormula>COUNTIF(Scenario2[winner1-ability4],ParagonAbilities4Scenario2[[#This Row],[ability]])</calculatedColumnFormula>
    </tableColumn>
    <tableColumn id="4" xr3:uid="{CA8861D8-C4EC-4F7B-8C03-8907F286C5FD}" name="battles-take-rate" dataDxfId="1652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51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50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9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8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46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45">
      <calculatedColumnFormula>COUNTIF(Scenario3[winner1-ability1],ParagonAbilities1Scenario3[[#This Row],[ability]])</calculatedColumnFormula>
    </tableColumn>
    <tableColumn id="5" xr3:uid="{BF58455F-D839-40A6-B834-044CCA3A9D62}" name="battles-take-rate" dataDxfId="1644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43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42" headerRowBorderDxfId="1641" tableBorderDxfId="1640" totalsRowBorderDxfId="1639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8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7">
      <calculatedColumnFormula>COUNTIF(Scenario3[winner1-ability2],ParagonAbilities2Scenario3[[#This Row],[ability]])</calculatedColumnFormula>
    </tableColumn>
    <tableColumn id="4" xr3:uid="{A47A03CE-64B7-48DE-84FE-4869BB655C1E}" name="battles-take-rate" dataDxfId="1636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35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34" headerRowBorderDxfId="1633" tableBorderDxfId="1632" totalsRowBorderDxfId="1631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30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9">
      <calculatedColumnFormula>COUNTIF(Scenario3[winner1-ability3],ParagonAbilities3Scenario3[[#This Row],[ability]])</calculatedColumnFormula>
    </tableColumn>
    <tableColumn id="4" xr3:uid="{6962BF6D-C2E4-4653-B2E5-14FA4D687B66}" name="battles-take-rate" dataDxfId="1628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7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26" headerRowBorderDxfId="1625" tableBorderDxfId="1624" totalsRowBorderDxfId="1623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22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21">
      <calculatedColumnFormula>COUNTIF(Scenario3[winner1-ability4],ParagonAbilities4Scenario3[[#This Row],[ability]])</calculatedColumnFormula>
    </tableColumn>
    <tableColumn id="4" xr3:uid="{5564EF3F-A1E6-47F3-9245-63CBC8BF13EA}" name="battles-take-rate" dataDxfId="1620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9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8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7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16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15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14">
      <calculatedColumnFormula>COUNTIF(Scenario4[winner1-ability1],ParagonAbilities1Scenario4[[#This Row],[ability]])</calculatedColumnFormula>
    </tableColumn>
    <tableColumn id="5" xr3:uid="{A3A712DA-79C2-4E0A-B45F-24046DDDC055}" name="battles-take-rate" dataDxfId="1613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12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11" headerRowBorderDxfId="1610" tableBorderDxfId="1609" totalsRowBorderDxfId="1608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7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606">
      <calculatedColumnFormula>COUNTIF(Scenario4[winner1-ability2],ParagonAbilities2Scenario4[[#This Row],[ability]])</calculatedColumnFormula>
    </tableColumn>
    <tableColumn id="4" xr3:uid="{1F4853F6-9A8B-440D-A883-73FBA3E2B146}" name="battles-take-rate" dataDxfId="1605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604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603" headerRowBorderDxfId="1602" tableBorderDxfId="1601" totalsRowBorderDxfId="1600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9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8">
      <calculatedColumnFormula>COUNTIF(Scenario4[winner1-ability3],ParagonAbilities3Scenario4[[#This Row],[ability]])</calculatedColumnFormula>
    </tableColumn>
    <tableColumn id="4" xr3:uid="{90E5726D-20F9-4F3A-A0E6-A5A6EC87E009}" name="battles-take-rate" dataDxfId="1597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96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95" headerRowBorderDxfId="1594" tableBorderDxfId="1593" totalsRowBorderDxfId="1592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91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90">
      <calculatedColumnFormula>COUNTIF(Scenario4[winner1-ability4],ParagonAbilities4Scenario4[[#This Row],[ability]])</calculatedColumnFormula>
    </tableColumn>
    <tableColumn id="4" xr3:uid="{5FA50C4E-7E25-4F47-8E1C-377ED6B583BF}" name="battles-take-rate" dataDxfId="1589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8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13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12"/>
    <tableColumn id="5" xr3:uid="{128C557E-8342-4183-B44E-301E27402F84}" name="hero-4"/>
    <tableColumn id="7" xr3:uid="{AAC6C4FD-799F-4646-B17E-E24AA4D9541B}" name="team-2-win" dataDxfId="1811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10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7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86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85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84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83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82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81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80" headerRowBorderDxfId="1579" tableBorderDxfId="1578" totalsRowBorderDxfId="1577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76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75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74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73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72" headerRowBorderDxfId="1571" tableBorderDxfId="1570" totalsRowBorderDxfId="1569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8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7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66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65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64" headerRowBorderDxfId="1563" tableBorderDxfId="1562" totalsRowBorderDxfId="1561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60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9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8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7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56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55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54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53">
      <calculatedColumnFormula>L3+L24+L45+L66+L87+L108</calculatedColumnFormula>
    </tableColumn>
    <tableColumn id="4" xr3:uid="{6AD8A7A2-0013-4031-8DAB-5AD3D8FCB173}" name="wins" dataDxfId="1552">
      <calculatedColumnFormula>M3+M24+M45+M66+M87+M108</calculatedColumnFormula>
    </tableColumn>
    <tableColumn id="5" xr3:uid="{B3552DFB-EAFC-4577-B811-AF0F9687BA5C}" name="battles-take-rate" dataDxfId="1551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50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9" headerRowBorderDxfId="1548" tableBorderDxfId="1547" totalsRowBorderDxfId="1546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45">
      <calculatedColumnFormula>L8+L29+L50+L71+L92+L113</calculatedColumnFormula>
    </tableColumn>
    <tableColumn id="3" xr3:uid="{8FEED0FA-3268-41B1-9503-BD07DCBD59EB}" name="wins" dataDxfId="1544">
      <calculatedColumnFormula>M8+M29+M50+M71+M92+M113</calculatedColumnFormula>
    </tableColumn>
    <tableColumn id="4" xr3:uid="{791570BF-CF63-4FF3-98A5-66F96870FBA2}" name="battles-take-rate" dataDxfId="1543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42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41" headerRowBorderDxfId="1540" tableBorderDxfId="1539" totalsRowBorderDxfId="1538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7">
      <calculatedColumnFormula>L13+L34+L55+L76+L97+L118</calculatedColumnFormula>
    </tableColumn>
    <tableColumn id="3" xr3:uid="{03C77734-0BE9-4820-9770-29ACD0AF0635}" name="wins" dataDxfId="1536">
      <calculatedColumnFormula>M13+M34+M55+M76+M97+M118</calculatedColumnFormula>
    </tableColumn>
    <tableColumn id="4" xr3:uid="{FE54A2A3-BC60-46B8-89C1-8C761FDDC67F}" name="battles-take-rate" dataDxfId="1535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34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33" headerRowBorderDxfId="1532" tableBorderDxfId="1531" totalsRowBorderDxfId="1530">
  <autoFilter ref="A17:E20" xr:uid="{2AADA4A0-2F4A-4009-8ECF-0BECA693390C}"/>
  <tableColumns count="5">
    <tableColumn id="1" xr3:uid="{87950E31-BAB1-44C5-9C72-3AB67D671CA7}" name="ability" dataDxfId="1529"/>
    <tableColumn id="2" xr3:uid="{C84CD939-93B2-4F85-A4F0-569665A45FE6}" name="takes" dataDxfId="1528">
      <calculatedColumnFormula>L18+L39+L60+L81+L102+L123</calculatedColumnFormula>
    </tableColumn>
    <tableColumn id="3" xr3:uid="{6B188D82-4BD2-4FF2-8C12-D56DAEB9B117}" name="wins" dataDxfId="1527">
      <calculatedColumnFormula>M18+M39+M60+M81+M102+M123</calculatedColumnFormula>
    </tableColumn>
    <tableColumn id="4" xr3:uid="{00FCF0E9-BE21-44DD-BE30-37EA8F3BBCFF}" name="battles-take-rate" dataDxfId="1526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25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9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8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7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24">
      <calculatedColumnFormula>R3+R24+R45+R66+R87+R108</calculatedColumnFormula>
    </tableColumn>
    <tableColumn id="4" xr3:uid="{6BFD5C7B-4CFB-4B7D-B8E9-5C10F667B91B}" name="chestpiece" dataDxfId="152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22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21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20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9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8" headerRowBorderDxfId="1517" tableBorderDxfId="1516" totalsRowBorderDxfId="1515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14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13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12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11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10" headerRowBorderDxfId="1509" tableBorderDxfId="1508" totalsRowBorderDxfId="1507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506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505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504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503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502" headerRowBorderDxfId="1501" tableBorderDxfId="1500" totalsRowBorderDxfId="1499">
  <autoFilter ref="K17:O20" xr:uid="{01E0B516-A92C-45D4-946B-0FCF2F31D98A}"/>
  <tableColumns count="5">
    <tableColumn id="1" xr3:uid="{AA1B6D33-74EE-498E-B851-AABC093752BF}" name="ability" dataDxfId="1498"/>
    <tableColumn id="2" xr3:uid="{638C4C88-BC79-4B67-BB2F-FBF29994B680}" name="takes" dataDxfId="1497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96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95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94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93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92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91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90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9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8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7" headerRowBorderDxfId="1486" tableBorderDxfId="1485" totalsRowBorderDxfId="1484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83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82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81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80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9" headerRowBorderDxfId="1478" tableBorderDxfId="1477" totalsRowBorderDxfId="1476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75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74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73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72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71" headerRowBorderDxfId="1470" tableBorderDxfId="1469" totalsRowBorderDxfId="1468">
  <autoFilter ref="K38:O41" xr:uid="{A1F38E75-59DE-4DB4-B81C-C0322397F6F7}"/>
  <tableColumns count="5">
    <tableColumn id="1" xr3:uid="{769AEF11-64B1-48E1-81F7-44ED789A5436}" name="ability" dataDxfId="1467"/>
    <tableColumn id="2" xr3:uid="{329ABE97-FD25-4B89-85FE-EF4B7E705884}" name="takes" dataDxfId="1466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65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64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63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806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62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61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60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9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8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7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56" headerRowBorderDxfId="1455" tableBorderDxfId="1454" totalsRowBorderDxfId="1453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52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51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50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9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8" headerRowBorderDxfId="1447" tableBorderDxfId="1446" totalsRowBorderDxfId="1445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44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43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42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41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40" headerRowBorderDxfId="1439" tableBorderDxfId="1438" totalsRowBorderDxfId="1437">
  <autoFilter ref="K59:O62" xr:uid="{DDB7F110-02A6-4F67-8266-251AF48CB7C0}"/>
  <tableColumns count="5">
    <tableColumn id="1" xr3:uid="{24AD3B9C-E89B-4255-AF6A-993728E1E88D}" name="ability" dataDxfId="1436"/>
    <tableColumn id="2" xr3:uid="{D8585D3A-FC34-4996-9EF2-60CC70EA9A7A}" name="takes" dataDxfId="1435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34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33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32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31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30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9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8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7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26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25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24" headerRowBorderDxfId="1423" tableBorderDxfId="1422" totalsRowBorderDxfId="1421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20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9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8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7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16" headerRowBorderDxfId="1415" tableBorderDxfId="1414" totalsRowBorderDxfId="1413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12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11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10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9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805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804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803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8" headerRowBorderDxfId="1407" tableBorderDxfId="1406" totalsRowBorderDxfId="1405">
  <autoFilter ref="K80:O83" xr:uid="{52A1E26F-8C1E-4E44-A492-D2899C5A6AF6}"/>
  <tableColumns count="5">
    <tableColumn id="1" xr3:uid="{169774FB-455A-4DE4-A18D-B9D975DF3A85}" name="ability" dataDxfId="1404"/>
    <tableColumn id="2" xr3:uid="{E20A1519-EC59-41A4-BE08-D8DBEAC7CA6C}" name="takes" dataDxfId="1403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402">
      <calculatedColumnFormula>COUNTIF(Scenario3[winner1-ability4],HighlanderAbilities4Scenario3[[#This Row],[ability]])</calculatedColumnFormula>
    </tableColumn>
    <tableColumn id="4" xr3:uid="{E0060D4D-D837-469A-8126-E998C0BE67B4}" name="battles-take-rate" dataDxfId="1401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400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9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8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7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96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95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94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93" headerRowBorderDxfId="1392" tableBorderDxfId="1391" totalsRowBorderDxfId="1390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9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8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7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86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85" headerRowBorderDxfId="1384" tableBorderDxfId="1383" totalsRowBorderDxfId="1382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81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80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9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8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7" headerRowBorderDxfId="1376" tableBorderDxfId="1375" totalsRowBorderDxfId="1374">
  <autoFilter ref="K101:O104" xr:uid="{3021A274-1944-499F-919F-F5D82E87C071}"/>
  <tableColumns count="5">
    <tableColumn id="1" xr3:uid="{6A10C915-2B4E-4171-B1A6-BA0E08BCB5E6}" name="ability" dataDxfId="1373"/>
    <tableColumn id="2" xr3:uid="{1B63CB98-3358-4BF6-B784-DAB5C7511C79}" name="takes" dataDxfId="1372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71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70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9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8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7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66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65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64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63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62" headerRowBorderDxfId="1361" tableBorderDxfId="1360" totalsRowBorderDxfId="1359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8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7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56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55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54" headerRowBorderDxfId="1353" tableBorderDxfId="1352" totalsRowBorderDxfId="1351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50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9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8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7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802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801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800" totalsRowDxfId="1799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46" headerRowBorderDxfId="1345" tableBorderDxfId="1344" totalsRowBorderDxfId="1343">
  <autoFilter ref="K122:O125" xr:uid="{865DBF38-999A-4183-A029-CB08FB30F44C}"/>
  <tableColumns count="5">
    <tableColumn id="1" xr3:uid="{41E29E68-60A8-423B-9021-7DFA08756E06}" name="ability" dataDxfId="1342"/>
    <tableColumn id="2" xr3:uid="{9CC3CC3F-42CE-4277-9DE5-B1A61D3DB62A}" name="takes" dataDxfId="1341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40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9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8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7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36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35">
      <calculatedColumnFormula>L3+L24+L45+L66+L87+L108</calculatedColumnFormula>
    </tableColumn>
    <tableColumn id="4" xr3:uid="{30745929-46B0-48D6-B955-7A2AC6D9C7E1}" name="wins" dataDxfId="1334">
      <calculatedColumnFormula>M3+M24+M45+M66+M87+M108</calculatedColumnFormula>
    </tableColumn>
    <tableColumn id="5" xr3:uid="{6D02BF52-C170-4CC1-9A86-21AB4BDB7626}" name="battles-take-rate" dataDxfId="1333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32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31" headerRowBorderDxfId="1330" tableBorderDxfId="1329" totalsRowBorderDxfId="1328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7">
      <calculatedColumnFormula>L8+L29+L50+L71+L92+L113</calculatedColumnFormula>
    </tableColumn>
    <tableColumn id="3" xr3:uid="{48DF5F5A-0975-4E8D-B144-712277591A94}" name="wins" dataDxfId="1326">
      <calculatedColumnFormula>M8+M29+M50+M71+M92+M113</calculatedColumnFormula>
    </tableColumn>
    <tableColumn id="4" xr3:uid="{268E7864-1892-40A3-BCCF-FE157CEB565E}" name="battles-take-rate" dataDxfId="1325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24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23" headerRowBorderDxfId="1322" tableBorderDxfId="1321" totalsRowBorderDxfId="1320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9">
      <calculatedColumnFormula>L13+L34+L55+L76+L97+L118</calculatedColumnFormula>
    </tableColumn>
    <tableColumn id="3" xr3:uid="{925C0493-2E5C-4E18-B248-24590FEA740E}" name="wins" dataDxfId="1318">
      <calculatedColumnFormula>M13+M34+M55+M76+M97+M118</calculatedColumnFormula>
    </tableColumn>
    <tableColumn id="4" xr3:uid="{7164F2B9-2D78-40B4-A513-E10635D154E9}" name="battles-take-rate" dataDxfId="1317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16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15" headerRowBorderDxfId="1314" tableBorderDxfId="1313" totalsRowBorderDxfId="1312">
  <autoFilter ref="A17:E20" xr:uid="{2AADA4A0-2F4A-4009-8ECF-0BECA693390C}"/>
  <tableColumns count="5">
    <tableColumn id="1" xr3:uid="{B55E8E85-9B14-4EFC-B40F-2ADF016F740F}" name="ability" dataDxfId="1311"/>
    <tableColumn id="2" xr3:uid="{076E566F-F5E9-47AA-B1B5-F3E7825F4999}" name="takes" dataDxfId="1310">
      <calculatedColumnFormula>L18+L39+L60+L81+L102+L123</calculatedColumnFormula>
    </tableColumn>
    <tableColumn id="3" xr3:uid="{322B89F0-887F-4B61-98E6-57F772ED36C6}" name="wins" dataDxfId="1309">
      <calculatedColumnFormula>M18+M39+M60+M81+M102+M123</calculatedColumnFormula>
    </tableColumn>
    <tableColumn id="4" xr3:uid="{DD000198-4098-4FC5-A3B5-6351F4B85BF2}" name="battles-take-rate" dataDxfId="1308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7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306">
      <calculatedColumnFormula>R3+R24+R45+R66+R87+R108</calculatedColumnFormula>
    </tableColumn>
    <tableColumn id="4" xr3:uid="{59B0F45B-3883-4EBA-BA1D-13246CC2FDE2}" name="chestpiece" dataDxfId="130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304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303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302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301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300" headerRowBorderDxfId="1299" tableBorderDxfId="1298" totalsRowBorderDxfId="1297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96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95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94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93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92" headerRowBorderDxfId="1291" tableBorderDxfId="1290" totalsRowBorderDxfId="1289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8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7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86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85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179" workbookViewId="0">
      <selection activeCell="AO201" sqref="AO20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50</v>
      </c>
      <c r="I2" t="s">
        <v>127</v>
      </c>
      <c r="K2" t="s">
        <v>33</v>
      </c>
      <c r="L2">
        <v>2</v>
      </c>
      <c r="N2">
        <v>1</v>
      </c>
      <c r="O2" t="s">
        <v>46</v>
      </c>
      <c r="S2" t="s">
        <v>53</v>
      </c>
      <c r="T2">
        <v>3</v>
      </c>
      <c r="U2">
        <v>1</v>
      </c>
      <c r="V2">
        <v>1</v>
      </c>
      <c r="W2" t="s">
        <v>111</v>
      </c>
      <c r="X2" t="s">
        <v>55</v>
      </c>
      <c r="AA2" t="s">
        <v>56</v>
      </c>
      <c r="AB2">
        <v>1</v>
      </c>
      <c r="AD2">
        <v>1</v>
      </c>
      <c r="AE2" t="s">
        <v>57</v>
      </c>
      <c r="AI2">
        <v>6</v>
      </c>
      <c r="AJ2">
        <v>19</v>
      </c>
    </row>
    <row r="3" spans="1:36" x14ac:dyDescent="0.25">
      <c r="A3" t="s">
        <v>228</v>
      </c>
      <c r="B3">
        <v>1</v>
      </c>
      <c r="C3" t="s">
        <v>48</v>
      </c>
      <c r="D3">
        <v>3</v>
      </c>
      <c r="F3">
        <v>2</v>
      </c>
      <c r="G3" t="s">
        <v>49</v>
      </c>
      <c r="H3" t="s">
        <v>71</v>
      </c>
      <c r="I3" t="s">
        <v>127</v>
      </c>
      <c r="K3" t="s">
        <v>43</v>
      </c>
      <c r="L3">
        <v>1</v>
      </c>
      <c r="N3">
        <v>1</v>
      </c>
      <c r="O3" t="s">
        <v>135</v>
      </c>
      <c r="P3" t="s">
        <v>99</v>
      </c>
      <c r="S3" t="s">
        <v>53</v>
      </c>
      <c r="T3">
        <v>1</v>
      </c>
      <c r="U3">
        <v>1</v>
      </c>
      <c r="V3">
        <v>1</v>
      </c>
      <c r="W3" t="s">
        <v>54</v>
      </c>
      <c r="X3" t="s">
        <v>83</v>
      </c>
      <c r="AA3" t="s">
        <v>56</v>
      </c>
      <c r="AB3">
        <v>3</v>
      </c>
      <c r="AD3">
        <v>3</v>
      </c>
      <c r="AE3" t="s">
        <v>68</v>
      </c>
      <c r="AF3" t="s">
        <v>122</v>
      </c>
      <c r="AI3">
        <v>12</v>
      </c>
      <c r="AJ3">
        <v>33</v>
      </c>
    </row>
    <row r="4" spans="1:36" x14ac:dyDescent="0.25">
      <c r="A4" t="s">
        <v>229</v>
      </c>
      <c r="B4">
        <v>2</v>
      </c>
      <c r="C4" t="s">
        <v>48</v>
      </c>
      <c r="D4">
        <v>2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S4" t="s">
        <v>53</v>
      </c>
      <c r="T4">
        <v>2</v>
      </c>
      <c r="U4">
        <v>2</v>
      </c>
      <c r="V4">
        <v>1</v>
      </c>
      <c r="W4" t="s">
        <v>54</v>
      </c>
      <c r="AA4" t="s">
        <v>56</v>
      </c>
      <c r="AB4">
        <v>1</v>
      </c>
      <c r="AD4">
        <v>1</v>
      </c>
      <c r="AE4" t="s">
        <v>57</v>
      </c>
      <c r="AI4">
        <v>6</v>
      </c>
      <c r="AJ4">
        <v>30</v>
      </c>
    </row>
    <row r="5" spans="1:36" x14ac:dyDescent="0.25">
      <c r="A5" t="s">
        <v>230</v>
      </c>
      <c r="B5">
        <v>3</v>
      </c>
      <c r="C5" t="s">
        <v>48</v>
      </c>
      <c r="D5">
        <v>3</v>
      </c>
      <c r="F5">
        <v>1</v>
      </c>
      <c r="G5" t="s">
        <v>49</v>
      </c>
      <c r="K5" t="s">
        <v>63</v>
      </c>
      <c r="L5">
        <v>1</v>
      </c>
      <c r="N5">
        <v>1</v>
      </c>
      <c r="O5" t="s">
        <v>103</v>
      </c>
      <c r="P5" t="s">
        <v>95</v>
      </c>
      <c r="S5" t="s">
        <v>53</v>
      </c>
      <c r="T5">
        <v>1</v>
      </c>
      <c r="U5">
        <v>1</v>
      </c>
      <c r="V5">
        <v>2</v>
      </c>
      <c r="W5" t="s">
        <v>54</v>
      </c>
      <c r="AA5" t="s">
        <v>56</v>
      </c>
      <c r="AB5">
        <v>3</v>
      </c>
      <c r="AD5">
        <v>1</v>
      </c>
      <c r="AE5" t="s">
        <v>57</v>
      </c>
      <c r="AF5" t="s">
        <v>122</v>
      </c>
      <c r="AI5">
        <v>7</v>
      </c>
      <c r="AJ5">
        <v>32</v>
      </c>
    </row>
    <row r="6" spans="1:36" x14ac:dyDescent="0.25">
      <c r="A6" t="s">
        <v>231</v>
      </c>
      <c r="B6">
        <v>4</v>
      </c>
      <c r="C6" t="s">
        <v>48</v>
      </c>
      <c r="D6">
        <v>3</v>
      </c>
      <c r="F6">
        <v>1</v>
      </c>
      <c r="G6" t="s">
        <v>49</v>
      </c>
      <c r="K6" t="s">
        <v>38</v>
      </c>
      <c r="L6">
        <v>2</v>
      </c>
      <c r="M6">
        <v>1</v>
      </c>
      <c r="N6">
        <v>1</v>
      </c>
      <c r="O6" t="s">
        <v>152</v>
      </c>
      <c r="P6" t="s">
        <v>70</v>
      </c>
      <c r="S6" t="s">
        <v>53</v>
      </c>
      <c r="T6">
        <v>1</v>
      </c>
      <c r="U6">
        <v>2</v>
      </c>
      <c r="V6">
        <v>1</v>
      </c>
      <c r="W6" t="s">
        <v>111</v>
      </c>
      <c r="AA6" t="s">
        <v>56</v>
      </c>
      <c r="AB6">
        <v>1</v>
      </c>
      <c r="AD6">
        <v>1</v>
      </c>
      <c r="AE6" t="s">
        <v>57</v>
      </c>
      <c r="AI6">
        <v>5</v>
      </c>
      <c r="AJ6">
        <v>32</v>
      </c>
    </row>
    <row r="7" spans="1:36" x14ac:dyDescent="0.25">
      <c r="A7" t="s">
        <v>232</v>
      </c>
      <c r="B7">
        <v>6</v>
      </c>
      <c r="C7" t="s">
        <v>33</v>
      </c>
      <c r="D7">
        <v>3</v>
      </c>
      <c r="F7">
        <v>2</v>
      </c>
      <c r="G7" t="s">
        <v>46</v>
      </c>
      <c r="K7" t="s">
        <v>43</v>
      </c>
      <c r="L7">
        <v>2</v>
      </c>
      <c r="N7">
        <v>1</v>
      </c>
      <c r="O7" t="s">
        <v>135</v>
      </c>
      <c r="P7" t="s">
        <v>99</v>
      </c>
      <c r="S7" t="s">
        <v>53</v>
      </c>
      <c r="T7">
        <v>1</v>
      </c>
      <c r="U7">
        <v>3</v>
      </c>
      <c r="V7">
        <v>2</v>
      </c>
      <c r="W7" t="s">
        <v>111</v>
      </c>
      <c r="AA7" t="s">
        <v>56</v>
      </c>
      <c r="AB7">
        <v>1</v>
      </c>
      <c r="AD7">
        <v>1</v>
      </c>
      <c r="AE7" t="s">
        <v>68</v>
      </c>
      <c r="AI7">
        <v>8</v>
      </c>
      <c r="AJ7">
        <v>25</v>
      </c>
    </row>
    <row r="8" spans="1:36" x14ac:dyDescent="0.25">
      <c r="A8" t="s">
        <v>233</v>
      </c>
      <c r="B8">
        <v>7</v>
      </c>
      <c r="C8" t="s">
        <v>33</v>
      </c>
      <c r="D8">
        <v>2</v>
      </c>
      <c r="F8">
        <v>2</v>
      </c>
      <c r="G8" t="s">
        <v>46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2</v>
      </c>
      <c r="W8" t="s">
        <v>111</v>
      </c>
      <c r="AA8" t="s">
        <v>56</v>
      </c>
      <c r="AB8">
        <v>1</v>
      </c>
      <c r="AD8">
        <v>1</v>
      </c>
      <c r="AE8" t="s">
        <v>68</v>
      </c>
      <c r="AF8" t="s">
        <v>69</v>
      </c>
      <c r="AI8">
        <v>6</v>
      </c>
      <c r="AJ8">
        <v>27</v>
      </c>
    </row>
    <row r="9" spans="1:36" x14ac:dyDescent="0.25">
      <c r="A9" t="s">
        <v>234</v>
      </c>
      <c r="B9">
        <v>8</v>
      </c>
      <c r="C9" t="s">
        <v>53</v>
      </c>
      <c r="D9">
        <v>1</v>
      </c>
      <c r="E9">
        <v>1</v>
      </c>
      <c r="F9">
        <v>1</v>
      </c>
      <c r="G9" t="s">
        <v>111</v>
      </c>
      <c r="K9" t="s">
        <v>56</v>
      </c>
      <c r="L9">
        <v>2</v>
      </c>
      <c r="N9">
        <v>1</v>
      </c>
      <c r="O9" t="s">
        <v>68</v>
      </c>
      <c r="P9" t="s">
        <v>122</v>
      </c>
      <c r="S9" t="s">
        <v>33</v>
      </c>
      <c r="T9">
        <v>2</v>
      </c>
      <c r="V9">
        <v>1</v>
      </c>
      <c r="W9" t="s">
        <v>46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I9">
        <v>4</v>
      </c>
      <c r="AJ9">
        <v>24</v>
      </c>
    </row>
    <row r="10" spans="1:36" x14ac:dyDescent="0.25">
      <c r="A10" t="s">
        <v>235</v>
      </c>
      <c r="B10">
        <v>9</v>
      </c>
      <c r="C10" t="s">
        <v>33</v>
      </c>
      <c r="D10">
        <v>2</v>
      </c>
      <c r="F10">
        <v>1</v>
      </c>
      <c r="G10" t="s">
        <v>46</v>
      </c>
      <c r="K10" t="s">
        <v>38</v>
      </c>
      <c r="L10">
        <v>1</v>
      </c>
      <c r="M10">
        <v>1</v>
      </c>
      <c r="N10">
        <v>2</v>
      </c>
      <c r="O10" t="s">
        <v>152</v>
      </c>
      <c r="P10" t="s">
        <v>70</v>
      </c>
      <c r="S10" t="s">
        <v>53</v>
      </c>
      <c r="T10">
        <v>2</v>
      </c>
      <c r="U10">
        <v>1</v>
      </c>
      <c r="V10">
        <v>2</v>
      </c>
      <c r="W10" t="s">
        <v>111</v>
      </c>
      <c r="AA10" t="s">
        <v>56</v>
      </c>
      <c r="AB10">
        <v>1</v>
      </c>
      <c r="AD10">
        <v>1</v>
      </c>
      <c r="AE10" t="s">
        <v>68</v>
      </c>
      <c r="AI10">
        <v>5</v>
      </c>
      <c r="AJ10">
        <v>26</v>
      </c>
    </row>
    <row r="11" spans="1:36" x14ac:dyDescent="0.25">
      <c r="A11" t="s">
        <v>236</v>
      </c>
      <c r="B11">
        <v>11</v>
      </c>
      <c r="C11" t="s">
        <v>53</v>
      </c>
      <c r="D11">
        <v>3</v>
      </c>
      <c r="E11">
        <v>3</v>
      </c>
      <c r="F11">
        <v>2</v>
      </c>
      <c r="G11" t="s">
        <v>111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3</v>
      </c>
      <c r="W11" t="s">
        <v>135</v>
      </c>
      <c r="X11" t="s">
        <v>99</v>
      </c>
      <c r="AA11" t="s">
        <v>45</v>
      </c>
      <c r="AB11">
        <v>3</v>
      </c>
      <c r="AD11">
        <v>1</v>
      </c>
      <c r="AE11" t="s">
        <v>47</v>
      </c>
      <c r="AI11">
        <v>11</v>
      </c>
      <c r="AJ11">
        <v>28</v>
      </c>
    </row>
    <row r="12" spans="1:36" x14ac:dyDescent="0.25">
      <c r="A12" t="s">
        <v>237</v>
      </c>
      <c r="B12">
        <v>12</v>
      </c>
      <c r="C12" t="s">
        <v>43</v>
      </c>
      <c r="D12">
        <v>2</v>
      </c>
      <c r="F12">
        <v>1</v>
      </c>
      <c r="G12" t="s">
        <v>135</v>
      </c>
      <c r="H12" t="s">
        <v>99</v>
      </c>
      <c r="I12" t="s">
        <v>137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S12" t="s">
        <v>53</v>
      </c>
      <c r="T12">
        <v>2</v>
      </c>
      <c r="U12">
        <v>1</v>
      </c>
      <c r="V12">
        <v>1</v>
      </c>
      <c r="W12" t="s">
        <v>54</v>
      </c>
      <c r="X12" t="s">
        <v>83</v>
      </c>
      <c r="AA12" t="s">
        <v>56</v>
      </c>
      <c r="AB12">
        <v>1</v>
      </c>
      <c r="AD12">
        <v>1</v>
      </c>
      <c r="AE12" t="s">
        <v>57</v>
      </c>
      <c r="AF12" t="s">
        <v>122</v>
      </c>
      <c r="AI12">
        <v>7</v>
      </c>
      <c r="AJ12">
        <v>25</v>
      </c>
    </row>
    <row r="13" spans="1:36" x14ac:dyDescent="0.25">
      <c r="A13" t="s">
        <v>238</v>
      </c>
      <c r="B13">
        <v>13</v>
      </c>
      <c r="C13" t="s">
        <v>43</v>
      </c>
      <c r="D13">
        <v>2</v>
      </c>
      <c r="F13">
        <v>1</v>
      </c>
      <c r="G13" t="s">
        <v>135</v>
      </c>
      <c r="H13" t="s">
        <v>74</v>
      </c>
      <c r="K13" t="s">
        <v>38</v>
      </c>
      <c r="L13">
        <v>1</v>
      </c>
      <c r="M13">
        <v>2</v>
      </c>
      <c r="N13">
        <v>1</v>
      </c>
      <c r="O13" t="s">
        <v>152</v>
      </c>
      <c r="S13" t="s">
        <v>53</v>
      </c>
      <c r="T13">
        <v>1</v>
      </c>
      <c r="U13">
        <v>1</v>
      </c>
      <c r="V13">
        <v>1</v>
      </c>
      <c r="W13" t="s">
        <v>111</v>
      </c>
      <c r="X13" t="s">
        <v>83</v>
      </c>
      <c r="AA13" t="s">
        <v>56</v>
      </c>
      <c r="AB13">
        <v>1</v>
      </c>
      <c r="AD13">
        <v>1</v>
      </c>
      <c r="AE13" t="s">
        <v>68</v>
      </c>
      <c r="AF13" t="s">
        <v>122</v>
      </c>
      <c r="AI13">
        <v>5</v>
      </c>
      <c r="AJ13">
        <v>26</v>
      </c>
    </row>
    <row r="14" spans="1:36" x14ac:dyDescent="0.25">
      <c r="A14" t="s">
        <v>239</v>
      </c>
      <c r="B14">
        <v>15</v>
      </c>
      <c r="C14" t="s">
        <v>53</v>
      </c>
      <c r="D14">
        <v>1</v>
      </c>
      <c r="E14">
        <v>1</v>
      </c>
      <c r="F14">
        <v>1</v>
      </c>
      <c r="G14" t="s">
        <v>54</v>
      </c>
      <c r="H14" t="s">
        <v>55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Q14" t="s">
        <v>85</v>
      </c>
      <c r="S14" t="s">
        <v>45</v>
      </c>
      <c r="T14">
        <v>2</v>
      </c>
      <c r="V14">
        <v>1</v>
      </c>
      <c r="W14" t="s">
        <v>47</v>
      </c>
      <c r="AA14" t="s">
        <v>63</v>
      </c>
      <c r="AB14">
        <v>1</v>
      </c>
      <c r="AD14">
        <v>2</v>
      </c>
      <c r="AE14" t="s">
        <v>103</v>
      </c>
      <c r="AF14" t="s">
        <v>91</v>
      </c>
      <c r="AG14" t="s">
        <v>147</v>
      </c>
      <c r="AI14">
        <v>8</v>
      </c>
      <c r="AJ14">
        <v>37</v>
      </c>
    </row>
    <row r="15" spans="1:36" x14ac:dyDescent="0.25">
      <c r="A15" t="s">
        <v>240</v>
      </c>
      <c r="B15">
        <v>16</v>
      </c>
      <c r="C15" t="s">
        <v>53</v>
      </c>
      <c r="D15">
        <v>2</v>
      </c>
      <c r="E15">
        <v>1</v>
      </c>
      <c r="F15">
        <v>1</v>
      </c>
      <c r="G15" t="s">
        <v>111</v>
      </c>
      <c r="K15" t="s">
        <v>56</v>
      </c>
      <c r="L15">
        <v>1</v>
      </c>
      <c r="N15">
        <v>1</v>
      </c>
      <c r="O15" t="s">
        <v>68</v>
      </c>
      <c r="P15" t="s">
        <v>122</v>
      </c>
      <c r="S15" t="s">
        <v>45</v>
      </c>
      <c r="T15">
        <v>3</v>
      </c>
      <c r="V15">
        <v>1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F15" t="s">
        <v>70</v>
      </c>
      <c r="AG15" t="s">
        <v>41</v>
      </c>
      <c r="AH15" t="s">
        <v>42</v>
      </c>
      <c r="AI15">
        <v>7</v>
      </c>
      <c r="AJ15">
        <v>28</v>
      </c>
    </row>
    <row r="16" spans="1:36" x14ac:dyDescent="0.25">
      <c r="A16" t="s">
        <v>241</v>
      </c>
      <c r="B16">
        <v>18</v>
      </c>
      <c r="C16" t="s">
        <v>53</v>
      </c>
      <c r="D16">
        <v>3</v>
      </c>
      <c r="E16">
        <v>1</v>
      </c>
      <c r="F16">
        <v>1</v>
      </c>
      <c r="G16" t="s">
        <v>111</v>
      </c>
      <c r="H16" t="s">
        <v>55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1</v>
      </c>
      <c r="AC16">
        <v>1</v>
      </c>
      <c r="AD16">
        <v>1</v>
      </c>
      <c r="AE16" t="s">
        <v>152</v>
      </c>
      <c r="AF16" t="s">
        <v>40</v>
      </c>
      <c r="AI16">
        <v>5</v>
      </c>
      <c r="AJ16">
        <v>23</v>
      </c>
    </row>
    <row r="17" spans="1:36" x14ac:dyDescent="0.25">
      <c r="A17" t="s">
        <v>242</v>
      </c>
      <c r="B17">
        <v>21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1</v>
      </c>
      <c r="N17">
        <v>3</v>
      </c>
      <c r="O17" t="s">
        <v>46</v>
      </c>
      <c r="S17" t="s">
        <v>53</v>
      </c>
      <c r="T17">
        <v>1</v>
      </c>
      <c r="U17">
        <v>1</v>
      </c>
      <c r="V17">
        <v>1</v>
      </c>
      <c r="W17" t="s">
        <v>111</v>
      </c>
      <c r="AA17" t="s">
        <v>48</v>
      </c>
      <c r="AB17">
        <v>3</v>
      </c>
      <c r="AD17">
        <v>1</v>
      </c>
      <c r="AE17" t="s">
        <v>89</v>
      </c>
      <c r="AI17">
        <v>4</v>
      </c>
      <c r="AJ17">
        <v>23</v>
      </c>
    </row>
    <row r="18" spans="1:36" x14ac:dyDescent="0.25">
      <c r="A18" t="s">
        <v>243</v>
      </c>
      <c r="B18">
        <v>22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K18" t="s">
        <v>43</v>
      </c>
      <c r="L18">
        <v>2</v>
      </c>
      <c r="N18">
        <v>2</v>
      </c>
      <c r="O18" t="s">
        <v>135</v>
      </c>
      <c r="P18" t="s">
        <v>74</v>
      </c>
      <c r="Q18" t="s">
        <v>100</v>
      </c>
      <c r="S18" t="s">
        <v>53</v>
      </c>
      <c r="T18">
        <v>3</v>
      </c>
      <c r="U18">
        <v>1</v>
      </c>
      <c r="V18">
        <v>1</v>
      </c>
      <c r="W18" t="s">
        <v>54</v>
      </c>
      <c r="AA18" t="s">
        <v>48</v>
      </c>
      <c r="AB18">
        <v>3</v>
      </c>
      <c r="AD18">
        <v>1</v>
      </c>
      <c r="AE18" t="s">
        <v>89</v>
      </c>
      <c r="AI18">
        <v>9</v>
      </c>
      <c r="AJ18">
        <v>22</v>
      </c>
    </row>
    <row r="19" spans="1:36" x14ac:dyDescent="0.25">
      <c r="A19" t="s">
        <v>244</v>
      </c>
      <c r="B19">
        <v>23</v>
      </c>
      <c r="C19" t="s">
        <v>56</v>
      </c>
      <c r="D19">
        <v>2</v>
      </c>
      <c r="F19">
        <v>1</v>
      </c>
      <c r="G19" t="s">
        <v>57</v>
      </c>
      <c r="H19" t="s">
        <v>122</v>
      </c>
      <c r="K19" t="s">
        <v>45</v>
      </c>
      <c r="L19">
        <v>2</v>
      </c>
      <c r="N19">
        <v>1</v>
      </c>
      <c r="O19" t="s">
        <v>47</v>
      </c>
      <c r="S19" t="s">
        <v>53</v>
      </c>
      <c r="T19">
        <v>2</v>
      </c>
      <c r="U19">
        <v>1</v>
      </c>
      <c r="V19">
        <v>2</v>
      </c>
      <c r="W19" t="s">
        <v>54</v>
      </c>
      <c r="AA19" t="s">
        <v>48</v>
      </c>
      <c r="AB19">
        <v>1</v>
      </c>
      <c r="AD19">
        <v>1</v>
      </c>
      <c r="AE19" t="s">
        <v>89</v>
      </c>
      <c r="AI19">
        <v>5</v>
      </c>
      <c r="AJ19">
        <v>30</v>
      </c>
    </row>
    <row r="20" spans="1:36" x14ac:dyDescent="0.25">
      <c r="A20" t="s">
        <v>245</v>
      </c>
      <c r="B20">
        <v>24</v>
      </c>
      <c r="C20" t="s">
        <v>56</v>
      </c>
      <c r="D20">
        <v>2</v>
      </c>
      <c r="F20">
        <v>1</v>
      </c>
      <c r="G20" t="s">
        <v>57</v>
      </c>
      <c r="H20" t="s">
        <v>122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1</v>
      </c>
      <c r="U20">
        <v>1</v>
      </c>
      <c r="V20">
        <v>1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4</v>
      </c>
      <c r="AJ20">
        <v>21</v>
      </c>
    </row>
    <row r="21" spans="1:36" x14ac:dyDescent="0.25">
      <c r="A21" t="s">
        <v>246</v>
      </c>
      <c r="B21">
        <v>25</v>
      </c>
      <c r="C21" t="s">
        <v>53</v>
      </c>
      <c r="D21">
        <v>2</v>
      </c>
      <c r="E21">
        <v>1</v>
      </c>
      <c r="F21">
        <v>1</v>
      </c>
      <c r="G21" t="s">
        <v>54</v>
      </c>
      <c r="K21" t="s">
        <v>48</v>
      </c>
      <c r="L21">
        <v>2</v>
      </c>
      <c r="N21">
        <v>1</v>
      </c>
      <c r="O21" t="s">
        <v>49</v>
      </c>
      <c r="S21" t="s">
        <v>56</v>
      </c>
      <c r="T21">
        <v>1</v>
      </c>
      <c r="V21">
        <v>2</v>
      </c>
      <c r="W21" t="s">
        <v>57</v>
      </c>
      <c r="AA21" t="s">
        <v>38</v>
      </c>
      <c r="AB21">
        <v>1</v>
      </c>
      <c r="AC21">
        <v>1</v>
      </c>
      <c r="AD21">
        <v>2</v>
      </c>
      <c r="AE21" t="s">
        <v>152</v>
      </c>
      <c r="AI21">
        <v>4</v>
      </c>
      <c r="AJ21">
        <v>27</v>
      </c>
    </row>
    <row r="22" spans="1:36" x14ac:dyDescent="0.25">
      <c r="A22" t="s">
        <v>247</v>
      </c>
      <c r="B22">
        <v>27</v>
      </c>
      <c r="C22" t="s">
        <v>33</v>
      </c>
      <c r="D22">
        <v>1</v>
      </c>
      <c r="F22">
        <v>2</v>
      </c>
      <c r="G22" t="s">
        <v>46</v>
      </c>
      <c r="K22" t="s">
        <v>43</v>
      </c>
      <c r="L22">
        <v>1</v>
      </c>
      <c r="N22">
        <v>1</v>
      </c>
      <c r="O22" t="s">
        <v>135</v>
      </c>
      <c r="P22" t="s">
        <v>74</v>
      </c>
      <c r="Q22" t="s">
        <v>137</v>
      </c>
      <c r="S22" t="s">
        <v>53</v>
      </c>
      <c r="T22">
        <v>1</v>
      </c>
      <c r="U22">
        <v>2</v>
      </c>
      <c r="V22">
        <v>1</v>
      </c>
      <c r="W22" t="s">
        <v>111</v>
      </c>
      <c r="AA22" t="s">
        <v>48</v>
      </c>
      <c r="AB22">
        <v>1</v>
      </c>
      <c r="AD22">
        <v>1</v>
      </c>
      <c r="AE22" t="s">
        <v>89</v>
      </c>
      <c r="AI22">
        <v>4</v>
      </c>
      <c r="AJ22">
        <v>26</v>
      </c>
    </row>
    <row r="23" spans="1:36" x14ac:dyDescent="0.25">
      <c r="A23" t="s">
        <v>248</v>
      </c>
      <c r="B23">
        <v>28</v>
      </c>
      <c r="C23" t="s">
        <v>33</v>
      </c>
      <c r="D23">
        <v>1</v>
      </c>
      <c r="F23">
        <v>2</v>
      </c>
      <c r="G23" t="s">
        <v>46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3</v>
      </c>
      <c r="V23">
        <v>1</v>
      </c>
      <c r="W23" t="s">
        <v>111</v>
      </c>
      <c r="AA23" t="s">
        <v>48</v>
      </c>
      <c r="AB23">
        <v>1</v>
      </c>
      <c r="AD23">
        <v>1</v>
      </c>
      <c r="AE23" t="s">
        <v>89</v>
      </c>
      <c r="AI23">
        <v>4</v>
      </c>
      <c r="AJ23">
        <v>32</v>
      </c>
    </row>
    <row r="24" spans="1:36" x14ac:dyDescent="0.25">
      <c r="A24" t="s">
        <v>249</v>
      </c>
      <c r="B24">
        <v>29</v>
      </c>
      <c r="C24" t="s">
        <v>33</v>
      </c>
      <c r="D24">
        <v>2</v>
      </c>
      <c r="F24">
        <v>1</v>
      </c>
      <c r="G24" t="s">
        <v>46</v>
      </c>
      <c r="K24" t="s">
        <v>63</v>
      </c>
      <c r="L24">
        <v>2</v>
      </c>
      <c r="N24">
        <v>1</v>
      </c>
      <c r="O24" t="s">
        <v>103</v>
      </c>
      <c r="P24" t="s">
        <v>91</v>
      </c>
      <c r="S24" t="s">
        <v>53</v>
      </c>
      <c r="T24">
        <v>1</v>
      </c>
      <c r="U24">
        <v>1</v>
      </c>
      <c r="V24">
        <v>1</v>
      </c>
      <c r="W24" t="s">
        <v>111</v>
      </c>
      <c r="AA24" t="s">
        <v>48</v>
      </c>
      <c r="AB24">
        <v>2</v>
      </c>
      <c r="AD24">
        <v>1</v>
      </c>
      <c r="AE24" t="s">
        <v>49</v>
      </c>
      <c r="AF24" t="s">
        <v>71</v>
      </c>
      <c r="AI24">
        <v>5</v>
      </c>
      <c r="AJ24">
        <v>23</v>
      </c>
    </row>
    <row r="25" spans="1:36" x14ac:dyDescent="0.25">
      <c r="A25" t="s">
        <v>250</v>
      </c>
      <c r="B25">
        <v>30</v>
      </c>
      <c r="C25" t="s">
        <v>33</v>
      </c>
      <c r="D25">
        <v>2</v>
      </c>
      <c r="F25">
        <v>2</v>
      </c>
      <c r="G25" t="s">
        <v>46</v>
      </c>
      <c r="H25" t="s">
        <v>66</v>
      </c>
      <c r="K25" t="s">
        <v>38</v>
      </c>
      <c r="L25">
        <v>2</v>
      </c>
      <c r="M25">
        <v>1</v>
      </c>
      <c r="N25">
        <v>1</v>
      </c>
      <c r="O25" t="s">
        <v>152</v>
      </c>
      <c r="S25" t="s">
        <v>53</v>
      </c>
      <c r="T25">
        <v>2</v>
      </c>
      <c r="U25">
        <v>2</v>
      </c>
      <c r="V25">
        <v>1</v>
      </c>
      <c r="W25" t="s">
        <v>111</v>
      </c>
      <c r="AA25" t="s">
        <v>48</v>
      </c>
      <c r="AB25">
        <v>3</v>
      </c>
      <c r="AD25">
        <v>1</v>
      </c>
      <c r="AE25" t="s">
        <v>89</v>
      </c>
      <c r="AI25">
        <v>8</v>
      </c>
      <c r="AJ25">
        <v>24</v>
      </c>
    </row>
    <row r="26" spans="1:36" x14ac:dyDescent="0.25">
      <c r="A26" t="s">
        <v>251</v>
      </c>
      <c r="B26">
        <v>32</v>
      </c>
      <c r="C26" t="s">
        <v>43</v>
      </c>
      <c r="D26">
        <v>3</v>
      </c>
      <c r="F26">
        <v>3</v>
      </c>
      <c r="G26" t="s">
        <v>135</v>
      </c>
      <c r="H26" t="s">
        <v>74</v>
      </c>
      <c r="I26" t="s">
        <v>100</v>
      </c>
      <c r="K26" t="s">
        <v>45</v>
      </c>
      <c r="L26">
        <v>1</v>
      </c>
      <c r="N26">
        <v>1</v>
      </c>
      <c r="O26" t="s">
        <v>47</v>
      </c>
      <c r="S26" t="s">
        <v>53</v>
      </c>
      <c r="T26">
        <v>3</v>
      </c>
      <c r="U26">
        <v>1</v>
      </c>
      <c r="V26">
        <v>1</v>
      </c>
      <c r="W26" t="s">
        <v>111</v>
      </c>
      <c r="X26" t="s">
        <v>83</v>
      </c>
      <c r="AA26" t="s">
        <v>48</v>
      </c>
      <c r="AB26">
        <v>2</v>
      </c>
      <c r="AD26">
        <v>1</v>
      </c>
      <c r="AE26" t="s">
        <v>89</v>
      </c>
      <c r="AI26">
        <v>10</v>
      </c>
      <c r="AJ26">
        <v>25</v>
      </c>
    </row>
    <row r="27" spans="1:36" x14ac:dyDescent="0.25">
      <c r="A27" t="s">
        <v>252</v>
      </c>
      <c r="B27">
        <v>33</v>
      </c>
      <c r="C27" t="s">
        <v>53</v>
      </c>
      <c r="D27">
        <v>1</v>
      </c>
      <c r="E27">
        <v>1</v>
      </c>
      <c r="F27">
        <v>1</v>
      </c>
      <c r="G27" t="s">
        <v>111</v>
      </c>
      <c r="K27" t="s">
        <v>48</v>
      </c>
      <c r="L27">
        <v>3</v>
      </c>
      <c r="N27">
        <v>3</v>
      </c>
      <c r="O27" t="s">
        <v>49</v>
      </c>
      <c r="P27" t="s">
        <v>71</v>
      </c>
      <c r="S27" t="s">
        <v>43</v>
      </c>
      <c r="T27">
        <v>3</v>
      </c>
      <c r="V27">
        <v>1</v>
      </c>
      <c r="W27" t="s">
        <v>135</v>
      </c>
      <c r="X27" t="s">
        <v>74</v>
      </c>
      <c r="AA27" t="s">
        <v>63</v>
      </c>
      <c r="AB27">
        <v>1</v>
      </c>
      <c r="AD27">
        <v>1</v>
      </c>
      <c r="AE27" t="s">
        <v>103</v>
      </c>
      <c r="AI27">
        <v>8</v>
      </c>
      <c r="AJ27">
        <v>26</v>
      </c>
    </row>
    <row r="28" spans="1:36" x14ac:dyDescent="0.25">
      <c r="A28" t="s">
        <v>253</v>
      </c>
      <c r="B28">
        <v>34</v>
      </c>
      <c r="C28" t="s">
        <v>43</v>
      </c>
      <c r="D28">
        <v>3</v>
      </c>
      <c r="F28">
        <v>1</v>
      </c>
      <c r="G28" t="s">
        <v>135</v>
      </c>
      <c r="H28" t="s">
        <v>74</v>
      </c>
      <c r="K28" t="s">
        <v>38</v>
      </c>
      <c r="L28">
        <v>1</v>
      </c>
      <c r="M28">
        <v>1</v>
      </c>
      <c r="N28">
        <v>1</v>
      </c>
      <c r="O28" t="s">
        <v>152</v>
      </c>
      <c r="S28" t="s">
        <v>53</v>
      </c>
      <c r="T28">
        <v>1</v>
      </c>
      <c r="U28">
        <v>1</v>
      </c>
      <c r="V28">
        <v>1</v>
      </c>
      <c r="W28" t="s">
        <v>111</v>
      </c>
      <c r="X28" t="s">
        <v>55</v>
      </c>
      <c r="AA28" t="s">
        <v>48</v>
      </c>
      <c r="AB28">
        <v>1</v>
      </c>
      <c r="AD28">
        <v>1</v>
      </c>
      <c r="AE28" t="s">
        <v>89</v>
      </c>
      <c r="AI28">
        <v>4</v>
      </c>
      <c r="AJ28">
        <v>17</v>
      </c>
    </row>
    <row r="29" spans="1:36" x14ac:dyDescent="0.25">
      <c r="A29" t="s">
        <v>254</v>
      </c>
      <c r="B29">
        <v>36</v>
      </c>
      <c r="C29" t="s">
        <v>53</v>
      </c>
      <c r="D29">
        <v>2</v>
      </c>
      <c r="E29">
        <v>1</v>
      </c>
      <c r="F29">
        <v>1</v>
      </c>
      <c r="G29" t="s">
        <v>54</v>
      </c>
      <c r="K29" t="s">
        <v>48</v>
      </c>
      <c r="L29">
        <v>2</v>
      </c>
      <c r="N29">
        <v>1</v>
      </c>
      <c r="O29" t="s">
        <v>49</v>
      </c>
      <c r="S29" t="s">
        <v>45</v>
      </c>
      <c r="T29">
        <v>3</v>
      </c>
      <c r="V29">
        <v>2</v>
      </c>
      <c r="W29" t="s">
        <v>86</v>
      </c>
      <c r="AA29" t="s">
        <v>63</v>
      </c>
      <c r="AB29">
        <v>1</v>
      </c>
      <c r="AD29">
        <v>1</v>
      </c>
      <c r="AE29" t="s">
        <v>103</v>
      </c>
      <c r="AI29">
        <v>5</v>
      </c>
      <c r="AJ29">
        <v>25</v>
      </c>
    </row>
    <row r="30" spans="1:36" x14ac:dyDescent="0.25">
      <c r="A30" t="s">
        <v>255</v>
      </c>
      <c r="B30">
        <v>37</v>
      </c>
      <c r="C30" t="s">
        <v>45</v>
      </c>
      <c r="D30">
        <v>2</v>
      </c>
      <c r="F30">
        <v>1</v>
      </c>
      <c r="G30" t="s">
        <v>47</v>
      </c>
      <c r="K30" t="s">
        <v>38</v>
      </c>
      <c r="L30">
        <v>2</v>
      </c>
      <c r="M30">
        <v>1</v>
      </c>
      <c r="N30">
        <v>3</v>
      </c>
      <c r="O30" t="s">
        <v>152</v>
      </c>
      <c r="P30" t="s">
        <v>40</v>
      </c>
      <c r="S30" t="s">
        <v>53</v>
      </c>
      <c r="T30">
        <v>2</v>
      </c>
      <c r="U30">
        <v>1</v>
      </c>
      <c r="V30">
        <v>2</v>
      </c>
      <c r="W30" t="s">
        <v>111</v>
      </c>
      <c r="X30" t="s">
        <v>83</v>
      </c>
      <c r="AA30" t="s">
        <v>48</v>
      </c>
      <c r="AB30">
        <v>1</v>
      </c>
      <c r="AD30">
        <v>1</v>
      </c>
      <c r="AE30" t="s">
        <v>89</v>
      </c>
      <c r="AI30">
        <v>8</v>
      </c>
      <c r="AJ30">
        <v>38</v>
      </c>
    </row>
    <row r="31" spans="1:36" x14ac:dyDescent="0.25">
      <c r="A31" t="s">
        <v>256</v>
      </c>
      <c r="B31">
        <v>39</v>
      </c>
      <c r="C31" t="s">
        <v>53</v>
      </c>
      <c r="D31">
        <v>2</v>
      </c>
      <c r="E31">
        <v>1</v>
      </c>
      <c r="F31">
        <v>1</v>
      </c>
      <c r="G31" t="s">
        <v>111</v>
      </c>
      <c r="K31" t="s">
        <v>48</v>
      </c>
      <c r="L31">
        <v>2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 t="s">
        <v>63</v>
      </c>
      <c r="T31">
        <v>2</v>
      </c>
      <c r="V31">
        <v>1</v>
      </c>
      <c r="W31" t="s">
        <v>103</v>
      </c>
      <c r="X31" t="s">
        <v>91</v>
      </c>
      <c r="Y31" t="s">
        <v>147</v>
      </c>
      <c r="AA31" t="s">
        <v>38</v>
      </c>
      <c r="AB31">
        <v>1</v>
      </c>
      <c r="AC31">
        <v>1</v>
      </c>
      <c r="AD31">
        <v>1</v>
      </c>
      <c r="AE31" t="s">
        <v>152</v>
      </c>
      <c r="AI31">
        <v>8</v>
      </c>
      <c r="AJ31">
        <v>34</v>
      </c>
    </row>
    <row r="32" spans="1:36" x14ac:dyDescent="0.25">
      <c r="A32" t="s">
        <v>257</v>
      </c>
      <c r="B32">
        <v>42</v>
      </c>
      <c r="C32" t="s">
        <v>56</v>
      </c>
      <c r="D32">
        <v>1</v>
      </c>
      <c r="F32">
        <v>1</v>
      </c>
      <c r="G32" t="s">
        <v>57</v>
      </c>
      <c r="H32" t="s">
        <v>122</v>
      </c>
      <c r="I32" t="s">
        <v>123</v>
      </c>
      <c r="K32" t="s">
        <v>48</v>
      </c>
      <c r="L32">
        <v>3</v>
      </c>
      <c r="N32">
        <v>1</v>
      </c>
      <c r="O32" t="s">
        <v>49</v>
      </c>
      <c r="S32" t="s">
        <v>53</v>
      </c>
      <c r="T32">
        <v>2</v>
      </c>
      <c r="U32">
        <v>1</v>
      </c>
      <c r="V32">
        <v>1</v>
      </c>
      <c r="W32" t="s">
        <v>111</v>
      </c>
      <c r="X32" t="s">
        <v>55</v>
      </c>
      <c r="AA32" t="s">
        <v>33</v>
      </c>
      <c r="AB32">
        <v>2</v>
      </c>
      <c r="AD32">
        <v>1</v>
      </c>
      <c r="AE32" t="s">
        <v>46</v>
      </c>
      <c r="AI32">
        <v>7</v>
      </c>
      <c r="AJ32">
        <v>33</v>
      </c>
    </row>
    <row r="33" spans="1:36" x14ac:dyDescent="0.25">
      <c r="A33" t="s">
        <v>258</v>
      </c>
      <c r="B33">
        <v>43</v>
      </c>
      <c r="C33" t="s">
        <v>53</v>
      </c>
      <c r="D33">
        <v>2</v>
      </c>
      <c r="E33">
        <v>1</v>
      </c>
      <c r="F33">
        <v>1</v>
      </c>
      <c r="G33" t="s">
        <v>111</v>
      </c>
      <c r="K33" t="s">
        <v>33</v>
      </c>
      <c r="L33">
        <v>2</v>
      </c>
      <c r="N33">
        <v>1</v>
      </c>
      <c r="O33" t="s">
        <v>46</v>
      </c>
      <c r="S33" t="s">
        <v>56</v>
      </c>
      <c r="T33">
        <v>1</v>
      </c>
      <c r="V33">
        <v>1</v>
      </c>
      <c r="W33" t="s">
        <v>57</v>
      </c>
      <c r="AA33" t="s">
        <v>43</v>
      </c>
      <c r="AB33">
        <v>1</v>
      </c>
      <c r="AD33">
        <v>1</v>
      </c>
      <c r="AE33" t="s">
        <v>135</v>
      </c>
      <c r="AI33">
        <v>2</v>
      </c>
      <c r="AJ33">
        <v>17</v>
      </c>
    </row>
    <row r="34" spans="1:36" x14ac:dyDescent="0.25">
      <c r="A34" t="s">
        <v>259</v>
      </c>
      <c r="B34">
        <v>44</v>
      </c>
      <c r="C34" t="s">
        <v>53</v>
      </c>
      <c r="D34">
        <v>1</v>
      </c>
      <c r="E34">
        <v>1</v>
      </c>
      <c r="F34">
        <v>1</v>
      </c>
      <c r="G34" t="s">
        <v>111</v>
      </c>
      <c r="K34" t="s">
        <v>33</v>
      </c>
      <c r="L34">
        <v>2</v>
      </c>
      <c r="N34">
        <v>3</v>
      </c>
      <c r="O34" t="s">
        <v>46</v>
      </c>
      <c r="P34" t="s">
        <v>35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2</v>
      </c>
      <c r="AD34">
        <v>1</v>
      </c>
      <c r="AE34" t="s">
        <v>47</v>
      </c>
      <c r="AI34">
        <v>5</v>
      </c>
      <c r="AJ34">
        <v>19</v>
      </c>
    </row>
    <row r="35" spans="1:36" x14ac:dyDescent="0.25">
      <c r="A35" t="s">
        <v>260</v>
      </c>
      <c r="B35">
        <v>45</v>
      </c>
      <c r="C35" t="s">
        <v>53</v>
      </c>
      <c r="D35">
        <v>3</v>
      </c>
      <c r="E35">
        <v>1</v>
      </c>
      <c r="F35">
        <v>1</v>
      </c>
      <c r="G35" t="s">
        <v>111</v>
      </c>
      <c r="K35" t="s">
        <v>33</v>
      </c>
      <c r="L35">
        <v>2</v>
      </c>
      <c r="N35">
        <v>1</v>
      </c>
      <c r="O35" t="s">
        <v>46</v>
      </c>
      <c r="P35" t="s">
        <v>35</v>
      </c>
      <c r="S35" t="s">
        <v>56</v>
      </c>
      <c r="T35">
        <v>2</v>
      </c>
      <c r="V35">
        <v>1</v>
      </c>
      <c r="W35" t="s">
        <v>57</v>
      </c>
      <c r="AA35" t="s">
        <v>63</v>
      </c>
      <c r="AB35">
        <v>1</v>
      </c>
      <c r="AD35">
        <v>1</v>
      </c>
      <c r="AE35" t="s">
        <v>72</v>
      </c>
      <c r="AI35">
        <v>5</v>
      </c>
      <c r="AJ35">
        <v>20</v>
      </c>
    </row>
    <row r="36" spans="1:36" x14ac:dyDescent="0.25">
      <c r="A36" t="s">
        <v>261</v>
      </c>
      <c r="B36">
        <v>46</v>
      </c>
      <c r="C36" t="s">
        <v>53</v>
      </c>
      <c r="D36">
        <v>1</v>
      </c>
      <c r="E36">
        <v>1</v>
      </c>
      <c r="F36">
        <v>1</v>
      </c>
      <c r="G36" t="s">
        <v>111</v>
      </c>
      <c r="H36" t="s">
        <v>113</v>
      </c>
      <c r="K36" t="s">
        <v>33</v>
      </c>
      <c r="L36">
        <v>1</v>
      </c>
      <c r="N36">
        <v>3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1</v>
      </c>
      <c r="AC36">
        <v>2</v>
      </c>
      <c r="AD36">
        <v>1</v>
      </c>
      <c r="AE36" t="s">
        <v>152</v>
      </c>
      <c r="AF36" t="s">
        <v>70</v>
      </c>
      <c r="AG36" t="s">
        <v>41</v>
      </c>
      <c r="AH36" t="s">
        <v>42</v>
      </c>
      <c r="AI36">
        <v>7</v>
      </c>
      <c r="AJ36">
        <v>52</v>
      </c>
    </row>
    <row r="37" spans="1:36" x14ac:dyDescent="0.25">
      <c r="A37" t="s">
        <v>262</v>
      </c>
      <c r="B37">
        <v>48</v>
      </c>
      <c r="C37" t="s">
        <v>53</v>
      </c>
      <c r="D37">
        <v>2</v>
      </c>
      <c r="E37">
        <v>1</v>
      </c>
      <c r="F37">
        <v>1</v>
      </c>
      <c r="G37" t="s">
        <v>111</v>
      </c>
      <c r="H37" t="s">
        <v>113</v>
      </c>
      <c r="K37" t="s">
        <v>33</v>
      </c>
      <c r="L37">
        <v>3</v>
      </c>
      <c r="N37">
        <v>3</v>
      </c>
      <c r="O37" t="s">
        <v>46</v>
      </c>
      <c r="S37" t="s">
        <v>48</v>
      </c>
      <c r="T37">
        <v>3</v>
      </c>
      <c r="V37">
        <v>1</v>
      </c>
      <c r="W37" t="s">
        <v>49</v>
      </c>
      <c r="X37" t="s">
        <v>71</v>
      </c>
      <c r="AA37" t="s">
        <v>43</v>
      </c>
      <c r="AB37">
        <v>3</v>
      </c>
      <c r="AD37">
        <v>2</v>
      </c>
      <c r="AE37" t="s">
        <v>135</v>
      </c>
      <c r="AF37" t="s">
        <v>136</v>
      </c>
      <c r="AI37">
        <v>13</v>
      </c>
      <c r="AJ37">
        <v>28</v>
      </c>
    </row>
    <row r="38" spans="1:36" x14ac:dyDescent="0.25">
      <c r="A38" t="s">
        <v>263</v>
      </c>
      <c r="B38">
        <v>49</v>
      </c>
      <c r="C38" t="s">
        <v>48</v>
      </c>
      <c r="D38">
        <v>1</v>
      </c>
      <c r="F38">
        <v>2</v>
      </c>
      <c r="G38" t="s">
        <v>49</v>
      </c>
      <c r="H38" t="s">
        <v>84</v>
      </c>
      <c r="I38" t="s">
        <v>127</v>
      </c>
      <c r="K38" t="s">
        <v>45</v>
      </c>
      <c r="L38">
        <v>2</v>
      </c>
      <c r="N38">
        <v>1</v>
      </c>
      <c r="O38" t="s">
        <v>47</v>
      </c>
      <c r="S38" t="s">
        <v>53</v>
      </c>
      <c r="T38">
        <v>2</v>
      </c>
      <c r="U38">
        <v>1</v>
      </c>
      <c r="V38">
        <v>2</v>
      </c>
      <c r="W38" t="s">
        <v>111</v>
      </c>
      <c r="X38" t="s">
        <v>83</v>
      </c>
      <c r="AA38" t="s">
        <v>33</v>
      </c>
      <c r="AB38">
        <v>1</v>
      </c>
      <c r="AD38">
        <v>2</v>
      </c>
      <c r="AE38" t="s">
        <v>46</v>
      </c>
      <c r="AI38">
        <v>8</v>
      </c>
      <c r="AJ38">
        <v>31</v>
      </c>
    </row>
    <row r="39" spans="1:36" x14ac:dyDescent="0.25">
      <c r="A39" t="s">
        <v>264</v>
      </c>
      <c r="B39">
        <v>50</v>
      </c>
      <c r="C39" t="s">
        <v>53</v>
      </c>
      <c r="D39">
        <v>1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2</v>
      </c>
      <c r="O39" t="s">
        <v>46</v>
      </c>
      <c r="S39" t="s">
        <v>48</v>
      </c>
      <c r="T39">
        <v>2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72</v>
      </c>
      <c r="AI39">
        <v>3</v>
      </c>
      <c r="AJ39">
        <v>28</v>
      </c>
    </row>
    <row r="40" spans="1:36" x14ac:dyDescent="0.25">
      <c r="A40" t="s">
        <v>265</v>
      </c>
      <c r="B40">
        <v>51</v>
      </c>
      <c r="C40" t="s">
        <v>48</v>
      </c>
      <c r="D40">
        <v>2</v>
      </c>
      <c r="F40">
        <v>1</v>
      </c>
      <c r="G40" t="s">
        <v>49</v>
      </c>
      <c r="K40" t="s">
        <v>38</v>
      </c>
      <c r="L40">
        <v>2</v>
      </c>
      <c r="M40">
        <v>1</v>
      </c>
      <c r="N40">
        <v>3</v>
      </c>
      <c r="O40" t="s">
        <v>152</v>
      </c>
      <c r="P40" t="s">
        <v>70</v>
      </c>
      <c r="Q40" t="s">
        <v>154</v>
      </c>
      <c r="R40" t="s">
        <v>42</v>
      </c>
      <c r="S40" t="s">
        <v>53</v>
      </c>
      <c r="T40">
        <v>3</v>
      </c>
      <c r="U40">
        <v>1</v>
      </c>
      <c r="V40">
        <v>1</v>
      </c>
      <c r="W40" t="s">
        <v>111</v>
      </c>
      <c r="X40" t="s">
        <v>55</v>
      </c>
      <c r="AA40" t="s">
        <v>33</v>
      </c>
      <c r="AB40">
        <v>1</v>
      </c>
      <c r="AD40">
        <v>2</v>
      </c>
      <c r="AE40" t="s">
        <v>46</v>
      </c>
      <c r="AI40">
        <v>11</v>
      </c>
      <c r="AJ40">
        <v>31</v>
      </c>
    </row>
    <row r="41" spans="1:36" x14ac:dyDescent="0.25">
      <c r="A41" t="s">
        <v>266</v>
      </c>
      <c r="B41">
        <v>53</v>
      </c>
      <c r="C41" t="s">
        <v>53</v>
      </c>
      <c r="D41">
        <v>1</v>
      </c>
      <c r="E41">
        <v>1</v>
      </c>
      <c r="F41">
        <v>1</v>
      </c>
      <c r="G41" t="s">
        <v>111</v>
      </c>
      <c r="H41" t="s">
        <v>83</v>
      </c>
      <c r="I41" t="s">
        <v>114</v>
      </c>
      <c r="K41" t="s">
        <v>33</v>
      </c>
      <c r="L41">
        <v>1</v>
      </c>
      <c r="N41">
        <v>3</v>
      </c>
      <c r="O41" t="s">
        <v>46</v>
      </c>
      <c r="S41" t="s">
        <v>43</v>
      </c>
      <c r="T41">
        <v>2</v>
      </c>
      <c r="V41">
        <v>1</v>
      </c>
      <c r="W41" t="s">
        <v>135</v>
      </c>
      <c r="AA41" t="s">
        <v>45</v>
      </c>
      <c r="AB41">
        <v>3</v>
      </c>
      <c r="AD41">
        <v>1</v>
      </c>
      <c r="AE41" t="s">
        <v>47</v>
      </c>
      <c r="AI41">
        <v>7</v>
      </c>
      <c r="AJ41">
        <v>28</v>
      </c>
    </row>
    <row r="42" spans="1:36" x14ac:dyDescent="0.25">
      <c r="A42" t="s">
        <v>267</v>
      </c>
      <c r="B42">
        <v>54</v>
      </c>
      <c r="C42" t="s">
        <v>53</v>
      </c>
      <c r="D42">
        <v>1</v>
      </c>
      <c r="E42">
        <v>1</v>
      </c>
      <c r="F42">
        <v>1</v>
      </c>
      <c r="G42" t="s">
        <v>111</v>
      </c>
      <c r="K42" t="s">
        <v>33</v>
      </c>
      <c r="L42">
        <v>3</v>
      </c>
      <c r="N42">
        <v>3</v>
      </c>
      <c r="O42" t="s">
        <v>46</v>
      </c>
      <c r="P42" t="s">
        <v>35</v>
      </c>
      <c r="Q42" t="s">
        <v>131</v>
      </c>
      <c r="R42" t="s">
        <v>133</v>
      </c>
      <c r="S42" t="s">
        <v>43</v>
      </c>
      <c r="T42">
        <v>1</v>
      </c>
      <c r="V42">
        <v>1</v>
      </c>
      <c r="W42" t="s">
        <v>135</v>
      </c>
      <c r="X42" t="s">
        <v>136</v>
      </c>
      <c r="AA42" t="s">
        <v>63</v>
      </c>
      <c r="AB42">
        <v>2</v>
      </c>
      <c r="AD42">
        <v>1</v>
      </c>
      <c r="AE42" t="s">
        <v>103</v>
      </c>
      <c r="AF42" t="s">
        <v>95</v>
      </c>
      <c r="AG42" t="s">
        <v>104</v>
      </c>
      <c r="AI42">
        <v>11</v>
      </c>
      <c r="AJ42">
        <v>31</v>
      </c>
    </row>
    <row r="43" spans="1:36" x14ac:dyDescent="0.25">
      <c r="A43" t="s">
        <v>268</v>
      </c>
      <c r="B43">
        <v>55</v>
      </c>
      <c r="C43" t="s">
        <v>43</v>
      </c>
      <c r="D43">
        <v>3</v>
      </c>
      <c r="F43">
        <v>3</v>
      </c>
      <c r="G43" t="s">
        <v>135</v>
      </c>
      <c r="H43" t="s">
        <v>136</v>
      </c>
      <c r="I43" t="s">
        <v>100</v>
      </c>
      <c r="J43" t="s">
        <v>138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70</v>
      </c>
      <c r="S43" t="s">
        <v>53</v>
      </c>
      <c r="T43">
        <v>3</v>
      </c>
      <c r="U43">
        <v>1</v>
      </c>
      <c r="V43">
        <v>2</v>
      </c>
      <c r="W43" t="s">
        <v>111</v>
      </c>
      <c r="X43" t="s">
        <v>83</v>
      </c>
      <c r="Y43" t="s">
        <v>114</v>
      </c>
      <c r="AA43" t="s">
        <v>33</v>
      </c>
      <c r="AB43">
        <v>3</v>
      </c>
      <c r="AD43">
        <v>2</v>
      </c>
      <c r="AE43" t="s">
        <v>46</v>
      </c>
      <c r="AI43">
        <v>16</v>
      </c>
      <c r="AJ43">
        <v>41</v>
      </c>
    </row>
    <row r="44" spans="1:36" x14ac:dyDescent="0.25">
      <c r="A44" t="s">
        <v>269</v>
      </c>
      <c r="B44">
        <v>57</v>
      </c>
      <c r="C44" t="s">
        <v>53</v>
      </c>
      <c r="D44">
        <v>1</v>
      </c>
      <c r="E44">
        <v>1</v>
      </c>
      <c r="F44">
        <v>1</v>
      </c>
      <c r="G44" t="s">
        <v>111</v>
      </c>
      <c r="K44" t="s">
        <v>33</v>
      </c>
      <c r="L44">
        <v>2</v>
      </c>
      <c r="N44">
        <v>2</v>
      </c>
      <c r="O44" t="s">
        <v>46</v>
      </c>
      <c r="S44" t="s">
        <v>45</v>
      </c>
      <c r="T44">
        <v>2</v>
      </c>
      <c r="V44">
        <v>1</v>
      </c>
      <c r="W44" t="s">
        <v>47</v>
      </c>
      <c r="AA44" t="s">
        <v>63</v>
      </c>
      <c r="AB44">
        <v>1</v>
      </c>
      <c r="AD44">
        <v>1</v>
      </c>
      <c r="AE44" t="s">
        <v>103</v>
      </c>
      <c r="AI44">
        <v>3</v>
      </c>
      <c r="AJ44">
        <v>18</v>
      </c>
    </row>
    <row r="45" spans="1:36" x14ac:dyDescent="0.25">
      <c r="A45" t="s">
        <v>270</v>
      </c>
      <c r="B45">
        <v>58</v>
      </c>
      <c r="C45" t="s">
        <v>53</v>
      </c>
      <c r="D45">
        <v>1</v>
      </c>
      <c r="E45">
        <v>1</v>
      </c>
      <c r="F45">
        <v>1</v>
      </c>
      <c r="G45" t="s">
        <v>111</v>
      </c>
      <c r="K45" t="s">
        <v>33</v>
      </c>
      <c r="L45">
        <v>1</v>
      </c>
      <c r="N45">
        <v>2</v>
      </c>
      <c r="O45" t="s">
        <v>46</v>
      </c>
      <c r="S45" t="s">
        <v>45</v>
      </c>
      <c r="T45">
        <v>2</v>
      </c>
      <c r="V45">
        <v>1</v>
      </c>
      <c r="W45" t="s">
        <v>47</v>
      </c>
      <c r="AA45" t="s">
        <v>38</v>
      </c>
      <c r="AB45">
        <v>1</v>
      </c>
      <c r="AC45">
        <v>1</v>
      </c>
      <c r="AD45">
        <v>1</v>
      </c>
      <c r="AE45" t="s">
        <v>152</v>
      </c>
      <c r="AI45">
        <v>2</v>
      </c>
      <c r="AJ45">
        <v>20</v>
      </c>
    </row>
    <row r="46" spans="1:36" x14ac:dyDescent="0.25">
      <c r="A46" t="s">
        <v>271</v>
      </c>
      <c r="B46">
        <v>60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55</v>
      </c>
      <c r="K46" t="s">
        <v>33</v>
      </c>
      <c r="L46">
        <v>2</v>
      </c>
      <c r="N46">
        <v>1</v>
      </c>
      <c r="O46" t="s">
        <v>46</v>
      </c>
      <c r="P46" t="s">
        <v>35</v>
      </c>
      <c r="S46" t="s">
        <v>63</v>
      </c>
      <c r="T46">
        <v>1</v>
      </c>
      <c r="V46">
        <v>1</v>
      </c>
      <c r="W46" t="s">
        <v>72</v>
      </c>
      <c r="AA46" t="s">
        <v>38</v>
      </c>
      <c r="AB46">
        <v>2</v>
      </c>
      <c r="AC46">
        <v>1</v>
      </c>
      <c r="AD46">
        <v>1</v>
      </c>
      <c r="AE46" t="s">
        <v>152</v>
      </c>
      <c r="AF46" t="s">
        <v>96</v>
      </c>
      <c r="AI46">
        <v>5</v>
      </c>
      <c r="AJ46">
        <v>25</v>
      </c>
    </row>
    <row r="47" spans="1:36" x14ac:dyDescent="0.25">
      <c r="A47" t="s">
        <v>272</v>
      </c>
      <c r="B47">
        <v>63</v>
      </c>
      <c r="C47" t="s">
        <v>56</v>
      </c>
      <c r="D47">
        <v>1</v>
      </c>
      <c r="F47">
        <v>1</v>
      </c>
      <c r="G47" t="s">
        <v>57</v>
      </c>
      <c r="H47" t="s">
        <v>69</v>
      </c>
      <c r="K47" t="s">
        <v>48</v>
      </c>
      <c r="L47">
        <v>2</v>
      </c>
      <c r="N47">
        <v>1</v>
      </c>
      <c r="O47" t="s">
        <v>49</v>
      </c>
      <c r="P47" t="s">
        <v>71</v>
      </c>
      <c r="Q47" t="s">
        <v>127</v>
      </c>
      <c r="S47" t="s">
        <v>53</v>
      </c>
      <c r="T47">
        <v>2</v>
      </c>
      <c r="U47">
        <v>1</v>
      </c>
      <c r="V47">
        <v>2</v>
      </c>
      <c r="W47" t="s">
        <v>54</v>
      </c>
      <c r="AA47" t="s">
        <v>43</v>
      </c>
      <c r="AB47">
        <v>2</v>
      </c>
      <c r="AD47">
        <v>1</v>
      </c>
      <c r="AE47" t="s">
        <v>135</v>
      </c>
      <c r="AF47" t="s">
        <v>136</v>
      </c>
      <c r="AI47">
        <v>8</v>
      </c>
      <c r="AJ47">
        <v>26</v>
      </c>
    </row>
    <row r="48" spans="1:36" x14ac:dyDescent="0.25">
      <c r="A48" t="s">
        <v>273</v>
      </c>
      <c r="B48">
        <v>64</v>
      </c>
      <c r="C48" t="s">
        <v>56</v>
      </c>
      <c r="D48">
        <v>2</v>
      </c>
      <c r="F48">
        <v>1</v>
      </c>
      <c r="G48" t="s">
        <v>68</v>
      </c>
      <c r="K48" t="s">
        <v>33</v>
      </c>
      <c r="L48">
        <v>1</v>
      </c>
      <c r="N48">
        <v>2</v>
      </c>
      <c r="O48" t="s">
        <v>46</v>
      </c>
      <c r="S48" t="s">
        <v>53</v>
      </c>
      <c r="T48">
        <v>1</v>
      </c>
      <c r="U48">
        <v>1</v>
      </c>
      <c r="V48">
        <v>2</v>
      </c>
      <c r="W48" t="s">
        <v>111</v>
      </c>
      <c r="AA48" t="s">
        <v>43</v>
      </c>
      <c r="AB48">
        <v>3</v>
      </c>
      <c r="AD48">
        <v>1</v>
      </c>
      <c r="AE48" t="s">
        <v>135</v>
      </c>
      <c r="AF48" t="s">
        <v>136</v>
      </c>
      <c r="AI48">
        <v>6</v>
      </c>
      <c r="AJ48">
        <v>23</v>
      </c>
    </row>
    <row r="49" spans="1:36" x14ac:dyDescent="0.25">
      <c r="A49" t="s">
        <v>274</v>
      </c>
      <c r="B49">
        <v>65</v>
      </c>
      <c r="C49" t="s">
        <v>53</v>
      </c>
      <c r="D49">
        <v>3</v>
      </c>
      <c r="E49">
        <v>2</v>
      </c>
      <c r="F49">
        <v>1</v>
      </c>
      <c r="G49" t="s">
        <v>111</v>
      </c>
      <c r="H49" t="s">
        <v>55</v>
      </c>
      <c r="I49" t="s">
        <v>114</v>
      </c>
      <c r="K49" t="s">
        <v>43</v>
      </c>
      <c r="L49">
        <v>1</v>
      </c>
      <c r="N49">
        <v>1</v>
      </c>
      <c r="O49" t="s">
        <v>135</v>
      </c>
      <c r="S49" t="s">
        <v>56</v>
      </c>
      <c r="T49">
        <v>1</v>
      </c>
      <c r="V49">
        <v>1</v>
      </c>
      <c r="W49" t="s">
        <v>57</v>
      </c>
      <c r="AA49" t="s">
        <v>45</v>
      </c>
      <c r="AB49">
        <v>2</v>
      </c>
      <c r="AD49">
        <v>1</v>
      </c>
      <c r="AE49" t="s">
        <v>47</v>
      </c>
      <c r="AI49">
        <v>6</v>
      </c>
      <c r="AJ49">
        <v>28</v>
      </c>
    </row>
    <row r="50" spans="1:36" x14ac:dyDescent="0.25">
      <c r="A50" t="s">
        <v>275</v>
      </c>
      <c r="B50">
        <v>66</v>
      </c>
      <c r="C50" t="s">
        <v>56</v>
      </c>
      <c r="D50">
        <v>2</v>
      </c>
      <c r="F50">
        <v>1</v>
      </c>
      <c r="G50" t="s">
        <v>57</v>
      </c>
      <c r="H50" t="s">
        <v>122</v>
      </c>
      <c r="K50" t="s">
        <v>63</v>
      </c>
      <c r="L50">
        <v>1</v>
      </c>
      <c r="N50">
        <v>1</v>
      </c>
      <c r="O50" t="s">
        <v>72</v>
      </c>
      <c r="P50" t="s">
        <v>95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55</v>
      </c>
      <c r="AA50" t="s">
        <v>43</v>
      </c>
      <c r="AB50">
        <v>2</v>
      </c>
      <c r="AD50">
        <v>2</v>
      </c>
      <c r="AE50" t="s">
        <v>135</v>
      </c>
      <c r="AF50" t="s">
        <v>136</v>
      </c>
      <c r="AI50">
        <v>8</v>
      </c>
      <c r="AJ50">
        <v>32</v>
      </c>
    </row>
    <row r="51" spans="1:36" x14ac:dyDescent="0.25">
      <c r="A51" t="s">
        <v>276</v>
      </c>
      <c r="B51">
        <v>67</v>
      </c>
      <c r="C51" t="s">
        <v>53</v>
      </c>
      <c r="D51">
        <v>1</v>
      </c>
      <c r="E51">
        <v>1</v>
      </c>
      <c r="F51">
        <v>1</v>
      </c>
      <c r="G51" t="s">
        <v>111</v>
      </c>
      <c r="H51" t="s">
        <v>55</v>
      </c>
      <c r="K51" t="s">
        <v>43</v>
      </c>
      <c r="L51">
        <v>2</v>
      </c>
      <c r="N51">
        <v>2</v>
      </c>
      <c r="O51" t="s">
        <v>135</v>
      </c>
      <c r="P51" t="s">
        <v>99</v>
      </c>
      <c r="Q51" t="s">
        <v>137</v>
      </c>
      <c r="R51" t="s">
        <v>138</v>
      </c>
      <c r="S51" t="s">
        <v>56</v>
      </c>
      <c r="T51">
        <v>2</v>
      </c>
      <c r="V51">
        <v>1</v>
      </c>
      <c r="W51" t="s">
        <v>57</v>
      </c>
      <c r="X51" t="s">
        <v>122</v>
      </c>
      <c r="AA51" t="s">
        <v>38</v>
      </c>
      <c r="AB51">
        <v>2</v>
      </c>
      <c r="AC51">
        <v>1</v>
      </c>
      <c r="AD51">
        <v>2</v>
      </c>
      <c r="AE51" t="s">
        <v>152</v>
      </c>
      <c r="AF51" t="s">
        <v>96</v>
      </c>
      <c r="AG51" t="s">
        <v>41</v>
      </c>
      <c r="AI51">
        <v>12</v>
      </c>
      <c r="AJ51">
        <v>46</v>
      </c>
    </row>
    <row r="52" spans="1:36" x14ac:dyDescent="0.25">
      <c r="A52" t="s">
        <v>277</v>
      </c>
      <c r="B52">
        <v>69</v>
      </c>
      <c r="C52" t="s">
        <v>53</v>
      </c>
      <c r="D52">
        <v>1</v>
      </c>
      <c r="E52">
        <v>1</v>
      </c>
      <c r="F52">
        <v>1</v>
      </c>
      <c r="G52" t="s">
        <v>111</v>
      </c>
      <c r="K52" t="s">
        <v>43</v>
      </c>
      <c r="L52">
        <v>3</v>
      </c>
      <c r="N52">
        <v>2</v>
      </c>
      <c r="O52" t="s">
        <v>135</v>
      </c>
      <c r="P52" t="s">
        <v>136</v>
      </c>
      <c r="S52" t="s">
        <v>48</v>
      </c>
      <c r="T52">
        <v>1</v>
      </c>
      <c r="V52">
        <v>1</v>
      </c>
      <c r="W52" t="s">
        <v>49</v>
      </c>
      <c r="AA52" t="s">
        <v>33</v>
      </c>
      <c r="AB52">
        <v>3</v>
      </c>
      <c r="AD52">
        <v>2</v>
      </c>
      <c r="AE52" t="s">
        <v>46</v>
      </c>
      <c r="AI52">
        <v>7</v>
      </c>
      <c r="AJ52">
        <v>23</v>
      </c>
    </row>
    <row r="53" spans="1:36" x14ac:dyDescent="0.25">
      <c r="A53" t="s">
        <v>278</v>
      </c>
      <c r="B53">
        <v>70</v>
      </c>
      <c r="C53" t="s">
        <v>48</v>
      </c>
      <c r="D53">
        <v>2</v>
      </c>
      <c r="F53">
        <v>1</v>
      </c>
      <c r="G53" t="s">
        <v>49</v>
      </c>
      <c r="H53" t="s">
        <v>50</v>
      </c>
      <c r="I53" t="s">
        <v>127</v>
      </c>
      <c r="K53" t="s">
        <v>45</v>
      </c>
      <c r="L53">
        <v>2</v>
      </c>
      <c r="N53">
        <v>1</v>
      </c>
      <c r="O53" t="s">
        <v>47</v>
      </c>
      <c r="S53" t="s">
        <v>53</v>
      </c>
      <c r="T53">
        <v>1</v>
      </c>
      <c r="U53">
        <v>1</v>
      </c>
      <c r="V53">
        <v>3</v>
      </c>
      <c r="W53" t="s">
        <v>111</v>
      </c>
      <c r="AA53" t="s">
        <v>43</v>
      </c>
      <c r="AB53">
        <v>3</v>
      </c>
      <c r="AD53">
        <v>1</v>
      </c>
      <c r="AE53" t="s">
        <v>135</v>
      </c>
      <c r="AF53" t="s">
        <v>99</v>
      </c>
      <c r="AI53">
        <v>9</v>
      </c>
      <c r="AJ53">
        <v>50</v>
      </c>
    </row>
    <row r="54" spans="1:36" x14ac:dyDescent="0.25">
      <c r="A54" t="s">
        <v>279</v>
      </c>
      <c r="B54">
        <v>71</v>
      </c>
      <c r="C54" t="s">
        <v>48</v>
      </c>
      <c r="D54">
        <v>2</v>
      </c>
      <c r="F54">
        <v>1</v>
      </c>
      <c r="G54" t="s">
        <v>49</v>
      </c>
      <c r="K54" t="s">
        <v>63</v>
      </c>
      <c r="L54">
        <v>1</v>
      </c>
      <c r="N54">
        <v>1</v>
      </c>
      <c r="O54" t="s">
        <v>103</v>
      </c>
      <c r="P54" t="s">
        <v>95</v>
      </c>
      <c r="Q54" t="s">
        <v>104</v>
      </c>
      <c r="S54" t="s">
        <v>53</v>
      </c>
      <c r="T54">
        <v>1</v>
      </c>
      <c r="U54">
        <v>1</v>
      </c>
      <c r="V54">
        <v>1</v>
      </c>
      <c r="W54" t="s">
        <v>54</v>
      </c>
      <c r="AA54" t="s">
        <v>43</v>
      </c>
      <c r="AB54">
        <v>2</v>
      </c>
      <c r="AD54">
        <v>1</v>
      </c>
      <c r="AE54" t="s">
        <v>135</v>
      </c>
      <c r="AI54">
        <v>4</v>
      </c>
      <c r="AJ54">
        <v>17</v>
      </c>
    </row>
    <row r="55" spans="1:36" x14ac:dyDescent="0.25">
      <c r="A55" t="s">
        <v>280</v>
      </c>
      <c r="B55">
        <v>72</v>
      </c>
      <c r="C55" t="s">
        <v>53</v>
      </c>
      <c r="D55">
        <v>2</v>
      </c>
      <c r="E55">
        <v>1</v>
      </c>
      <c r="F55">
        <v>1</v>
      </c>
      <c r="G55" t="s">
        <v>111</v>
      </c>
      <c r="K55" t="s">
        <v>43</v>
      </c>
      <c r="L55">
        <v>1</v>
      </c>
      <c r="N55">
        <v>1</v>
      </c>
      <c r="O55" t="s">
        <v>135</v>
      </c>
      <c r="P55" t="s">
        <v>74</v>
      </c>
      <c r="S55" t="s">
        <v>48</v>
      </c>
      <c r="T55">
        <v>3</v>
      </c>
      <c r="V55">
        <v>2</v>
      </c>
      <c r="W55" t="s">
        <v>49</v>
      </c>
      <c r="AA55" t="s">
        <v>38</v>
      </c>
      <c r="AB55">
        <v>1</v>
      </c>
      <c r="AC55">
        <v>1</v>
      </c>
      <c r="AD55">
        <v>1</v>
      </c>
      <c r="AE55" t="s">
        <v>152</v>
      </c>
      <c r="AI55">
        <v>5</v>
      </c>
      <c r="AJ55">
        <v>25</v>
      </c>
    </row>
    <row r="56" spans="1:36" x14ac:dyDescent="0.25">
      <c r="A56" t="s">
        <v>281</v>
      </c>
      <c r="B56">
        <v>74</v>
      </c>
      <c r="C56" t="s">
        <v>33</v>
      </c>
      <c r="D56">
        <v>1</v>
      </c>
      <c r="F56">
        <v>1</v>
      </c>
      <c r="G56" t="s">
        <v>46</v>
      </c>
      <c r="K56" t="s">
        <v>45</v>
      </c>
      <c r="L56">
        <v>3</v>
      </c>
      <c r="N56">
        <v>1</v>
      </c>
      <c r="O56" t="s">
        <v>47</v>
      </c>
      <c r="S56" t="s">
        <v>53</v>
      </c>
      <c r="T56">
        <v>1</v>
      </c>
      <c r="U56">
        <v>1</v>
      </c>
      <c r="V56">
        <v>2</v>
      </c>
      <c r="W56" t="s">
        <v>111</v>
      </c>
      <c r="X56" t="s">
        <v>55</v>
      </c>
      <c r="AA56" t="s">
        <v>43</v>
      </c>
      <c r="AB56">
        <v>1</v>
      </c>
      <c r="AD56">
        <v>2</v>
      </c>
      <c r="AE56" t="s">
        <v>135</v>
      </c>
      <c r="AF56" t="s">
        <v>136</v>
      </c>
      <c r="AI56">
        <v>6</v>
      </c>
      <c r="AJ56">
        <v>30</v>
      </c>
    </row>
    <row r="57" spans="1:36" x14ac:dyDescent="0.25">
      <c r="A57" t="s">
        <v>282</v>
      </c>
      <c r="B57">
        <v>75</v>
      </c>
      <c r="C57" t="s">
        <v>53</v>
      </c>
      <c r="D57">
        <v>1</v>
      </c>
      <c r="E57">
        <v>1</v>
      </c>
      <c r="F57">
        <v>2</v>
      </c>
      <c r="G57" t="s">
        <v>111</v>
      </c>
      <c r="K57" t="s">
        <v>43</v>
      </c>
      <c r="L57">
        <v>3</v>
      </c>
      <c r="N57">
        <v>1</v>
      </c>
      <c r="O57" t="s">
        <v>135</v>
      </c>
      <c r="P57" t="s">
        <v>74</v>
      </c>
      <c r="S57" t="s">
        <v>33</v>
      </c>
      <c r="T57">
        <v>2</v>
      </c>
      <c r="V57">
        <v>3</v>
      </c>
      <c r="W57" t="s">
        <v>46</v>
      </c>
      <c r="AA57" t="s">
        <v>63</v>
      </c>
      <c r="AB57">
        <v>1</v>
      </c>
      <c r="AD57">
        <v>1</v>
      </c>
      <c r="AE57" t="s">
        <v>103</v>
      </c>
      <c r="AI57">
        <v>7</v>
      </c>
      <c r="AJ57">
        <v>22</v>
      </c>
    </row>
    <row r="58" spans="1:36" x14ac:dyDescent="0.25">
      <c r="A58" t="s">
        <v>283</v>
      </c>
      <c r="B58">
        <v>76</v>
      </c>
      <c r="C58" t="s">
        <v>33</v>
      </c>
      <c r="D58">
        <v>2</v>
      </c>
      <c r="F58">
        <v>1</v>
      </c>
      <c r="G58" t="s">
        <v>46</v>
      </c>
      <c r="K58" t="s">
        <v>38</v>
      </c>
      <c r="L58">
        <v>1</v>
      </c>
      <c r="M58">
        <v>1</v>
      </c>
      <c r="N58">
        <v>2</v>
      </c>
      <c r="O58" t="s">
        <v>152</v>
      </c>
      <c r="P58" t="s">
        <v>70</v>
      </c>
      <c r="S58" t="s">
        <v>53</v>
      </c>
      <c r="T58">
        <v>1</v>
      </c>
      <c r="U58">
        <v>1</v>
      </c>
      <c r="V58">
        <v>1</v>
      </c>
      <c r="W58" t="s">
        <v>111</v>
      </c>
      <c r="AA58" t="s">
        <v>43</v>
      </c>
      <c r="AB58">
        <v>1</v>
      </c>
      <c r="AD58">
        <v>3</v>
      </c>
      <c r="AE58" t="s">
        <v>135</v>
      </c>
      <c r="AI58">
        <v>5</v>
      </c>
      <c r="AJ58">
        <v>34</v>
      </c>
    </row>
    <row r="59" spans="1:36" x14ac:dyDescent="0.25">
      <c r="A59" t="s">
        <v>284</v>
      </c>
      <c r="B59">
        <v>78</v>
      </c>
      <c r="C59" t="s">
        <v>53</v>
      </c>
      <c r="D59">
        <v>2</v>
      </c>
      <c r="E59">
        <v>1</v>
      </c>
      <c r="F59">
        <v>1</v>
      </c>
      <c r="G59" t="s">
        <v>111</v>
      </c>
      <c r="H59" t="s">
        <v>55</v>
      </c>
      <c r="K59" t="s">
        <v>43</v>
      </c>
      <c r="L59">
        <v>2</v>
      </c>
      <c r="N59">
        <v>1</v>
      </c>
      <c r="O59" t="s">
        <v>135</v>
      </c>
      <c r="P59" t="s">
        <v>74</v>
      </c>
      <c r="S59" t="s">
        <v>45</v>
      </c>
      <c r="T59">
        <v>3</v>
      </c>
      <c r="V59">
        <v>1</v>
      </c>
      <c r="W59" t="s">
        <v>86</v>
      </c>
      <c r="AA59" t="s">
        <v>63</v>
      </c>
      <c r="AB59">
        <v>1</v>
      </c>
      <c r="AD59">
        <v>1</v>
      </c>
      <c r="AE59" t="s">
        <v>103</v>
      </c>
      <c r="AF59" t="s">
        <v>91</v>
      </c>
      <c r="AI59">
        <v>7</v>
      </c>
      <c r="AJ59">
        <v>28</v>
      </c>
    </row>
    <row r="60" spans="1:36" x14ac:dyDescent="0.25">
      <c r="A60" t="s">
        <v>285</v>
      </c>
      <c r="B60">
        <v>79</v>
      </c>
      <c r="C60" t="s">
        <v>53</v>
      </c>
      <c r="D60">
        <v>1</v>
      </c>
      <c r="E60">
        <v>1</v>
      </c>
      <c r="F60">
        <v>1</v>
      </c>
      <c r="G60" t="s">
        <v>111</v>
      </c>
      <c r="H60" t="s">
        <v>113</v>
      </c>
      <c r="K60" t="s">
        <v>43</v>
      </c>
      <c r="L60">
        <v>3</v>
      </c>
      <c r="N60">
        <v>1</v>
      </c>
      <c r="O60" t="s">
        <v>135</v>
      </c>
      <c r="P60" t="s">
        <v>99</v>
      </c>
      <c r="Q60" t="s">
        <v>137</v>
      </c>
      <c r="S60" t="s">
        <v>45</v>
      </c>
      <c r="T60">
        <v>3</v>
      </c>
      <c r="V60">
        <v>3</v>
      </c>
      <c r="W60" t="s">
        <v>47</v>
      </c>
      <c r="AA60" t="s">
        <v>38</v>
      </c>
      <c r="AB60">
        <v>1</v>
      </c>
      <c r="AC60">
        <v>1</v>
      </c>
      <c r="AD60">
        <v>1</v>
      </c>
      <c r="AE60" t="s">
        <v>152</v>
      </c>
      <c r="AI60">
        <v>9</v>
      </c>
      <c r="AJ60">
        <v>24</v>
      </c>
    </row>
    <row r="61" spans="1:36" x14ac:dyDescent="0.25">
      <c r="A61" t="s">
        <v>286</v>
      </c>
      <c r="B61">
        <v>81</v>
      </c>
      <c r="C61" t="s">
        <v>53</v>
      </c>
      <c r="D61">
        <v>2</v>
      </c>
      <c r="E61">
        <v>1</v>
      </c>
      <c r="F61">
        <v>1</v>
      </c>
      <c r="G61" t="s">
        <v>54</v>
      </c>
      <c r="H61" t="s">
        <v>55</v>
      </c>
      <c r="I61" t="s">
        <v>114</v>
      </c>
      <c r="J61" t="s">
        <v>98</v>
      </c>
      <c r="K61" t="s">
        <v>43</v>
      </c>
      <c r="L61">
        <v>3</v>
      </c>
      <c r="N61">
        <v>1</v>
      </c>
      <c r="O61" t="s">
        <v>135</v>
      </c>
      <c r="P61" t="s">
        <v>74</v>
      </c>
      <c r="S61" t="s">
        <v>63</v>
      </c>
      <c r="T61">
        <v>2</v>
      </c>
      <c r="V61">
        <v>2</v>
      </c>
      <c r="W61" t="s">
        <v>103</v>
      </c>
      <c r="AA61" t="s">
        <v>38</v>
      </c>
      <c r="AB61">
        <v>1</v>
      </c>
      <c r="AC61">
        <v>1</v>
      </c>
      <c r="AD61">
        <v>1</v>
      </c>
      <c r="AE61" t="s">
        <v>152</v>
      </c>
      <c r="AF61" t="s">
        <v>70</v>
      </c>
      <c r="AG61" t="s">
        <v>154</v>
      </c>
      <c r="AH61" t="s">
        <v>42</v>
      </c>
      <c r="AI61">
        <v>12</v>
      </c>
      <c r="AJ61">
        <v>50</v>
      </c>
    </row>
    <row r="62" spans="1:36" x14ac:dyDescent="0.25">
      <c r="A62" t="s">
        <v>287</v>
      </c>
      <c r="B62">
        <v>84</v>
      </c>
      <c r="C62" t="s">
        <v>56</v>
      </c>
      <c r="D62">
        <v>1</v>
      </c>
      <c r="F62">
        <v>1</v>
      </c>
      <c r="G62" t="s">
        <v>57</v>
      </c>
      <c r="K62" t="s">
        <v>48</v>
      </c>
      <c r="L62">
        <v>1</v>
      </c>
      <c r="N62">
        <v>2</v>
      </c>
      <c r="O62" t="s">
        <v>49</v>
      </c>
      <c r="P62" t="s">
        <v>50</v>
      </c>
      <c r="Q62" t="s">
        <v>127</v>
      </c>
      <c r="R62" t="s">
        <v>52</v>
      </c>
      <c r="S62" t="s">
        <v>53</v>
      </c>
      <c r="T62">
        <v>3</v>
      </c>
      <c r="U62">
        <v>2</v>
      </c>
      <c r="V62">
        <v>2</v>
      </c>
      <c r="W62" t="s">
        <v>54</v>
      </c>
      <c r="AA62" t="s">
        <v>45</v>
      </c>
      <c r="AB62">
        <v>2</v>
      </c>
      <c r="AD62">
        <v>1</v>
      </c>
      <c r="AE62" t="s">
        <v>47</v>
      </c>
      <c r="AI62">
        <v>9</v>
      </c>
      <c r="AJ62">
        <v>35</v>
      </c>
    </row>
    <row r="63" spans="1:36" x14ac:dyDescent="0.25">
      <c r="A63" t="s">
        <v>288</v>
      </c>
      <c r="B63">
        <v>85</v>
      </c>
      <c r="C63" t="s">
        <v>56</v>
      </c>
      <c r="D63">
        <v>2</v>
      </c>
      <c r="F63">
        <v>3</v>
      </c>
      <c r="G63" t="s">
        <v>68</v>
      </c>
      <c r="K63" t="s">
        <v>33</v>
      </c>
      <c r="L63">
        <v>1</v>
      </c>
      <c r="N63">
        <v>3</v>
      </c>
      <c r="O63" t="s">
        <v>46</v>
      </c>
      <c r="S63" t="s">
        <v>53</v>
      </c>
      <c r="T63">
        <v>1</v>
      </c>
      <c r="U63">
        <v>1</v>
      </c>
      <c r="V63">
        <v>1</v>
      </c>
      <c r="W63" t="s">
        <v>111</v>
      </c>
      <c r="AA63" t="s">
        <v>45</v>
      </c>
      <c r="AB63">
        <v>3</v>
      </c>
      <c r="AD63">
        <v>2</v>
      </c>
      <c r="AE63" t="s">
        <v>47</v>
      </c>
      <c r="AI63">
        <v>8</v>
      </c>
      <c r="AJ63">
        <v>29</v>
      </c>
    </row>
    <row r="64" spans="1:36" x14ac:dyDescent="0.25">
      <c r="A64" t="s">
        <v>289</v>
      </c>
      <c r="B64">
        <v>86</v>
      </c>
      <c r="C64" t="s">
        <v>53</v>
      </c>
      <c r="D64">
        <v>3</v>
      </c>
      <c r="E64">
        <v>1</v>
      </c>
      <c r="F64">
        <v>1</v>
      </c>
      <c r="G64" t="s">
        <v>54</v>
      </c>
      <c r="K64" t="s">
        <v>45</v>
      </c>
      <c r="L64">
        <v>3</v>
      </c>
      <c r="N64">
        <v>1</v>
      </c>
      <c r="O64" t="s">
        <v>47</v>
      </c>
      <c r="S64" t="s">
        <v>56</v>
      </c>
      <c r="T64">
        <v>2</v>
      </c>
      <c r="V64">
        <v>1</v>
      </c>
      <c r="W64" t="s">
        <v>57</v>
      </c>
      <c r="X64" t="s">
        <v>122</v>
      </c>
      <c r="Y64" t="s">
        <v>85</v>
      </c>
      <c r="AA64" t="s">
        <v>43</v>
      </c>
      <c r="AB64">
        <v>1</v>
      </c>
      <c r="AD64">
        <v>1</v>
      </c>
      <c r="AE64" t="s">
        <v>135</v>
      </c>
      <c r="AI64">
        <v>7</v>
      </c>
      <c r="AJ64">
        <v>18</v>
      </c>
    </row>
    <row r="65" spans="1:36" x14ac:dyDescent="0.25">
      <c r="A65" t="s">
        <v>290</v>
      </c>
      <c r="B65">
        <v>87</v>
      </c>
      <c r="C65" t="s">
        <v>56</v>
      </c>
      <c r="D65">
        <v>3</v>
      </c>
      <c r="F65">
        <v>1</v>
      </c>
      <c r="G65" t="s">
        <v>57</v>
      </c>
      <c r="K65" t="s">
        <v>63</v>
      </c>
      <c r="L65">
        <v>1</v>
      </c>
      <c r="N65">
        <v>1</v>
      </c>
      <c r="O65" t="s">
        <v>72</v>
      </c>
      <c r="S65" t="s">
        <v>53</v>
      </c>
      <c r="T65">
        <v>2</v>
      </c>
      <c r="U65">
        <v>1</v>
      </c>
      <c r="V65">
        <v>1</v>
      </c>
      <c r="W65" t="s">
        <v>54</v>
      </c>
      <c r="X65" t="s">
        <v>83</v>
      </c>
      <c r="AA65" t="s">
        <v>45</v>
      </c>
      <c r="AB65">
        <v>2</v>
      </c>
      <c r="AD65">
        <v>1</v>
      </c>
      <c r="AE65" t="s">
        <v>47</v>
      </c>
      <c r="AI65">
        <v>5</v>
      </c>
      <c r="AJ65">
        <v>22</v>
      </c>
    </row>
    <row r="66" spans="1:36" x14ac:dyDescent="0.25">
      <c r="A66" t="s">
        <v>291</v>
      </c>
      <c r="B66">
        <v>88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113</v>
      </c>
      <c r="K66" t="s">
        <v>45</v>
      </c>
      <c r="L66">
        <v>2</v>
      </c>
      <c r="N66">
        <v>1</v>
      </c>
      <c r="O66" t="s">
        <v>47</v>
      </c>
      <c r="S66" t="s">
        <v>56</v>
      </c>
      <c r="T66">
        <v>1</v>
      </c>
      <c r="V66">
        <v>1</v>
      </c>
      <c r="W66" t="s">
        <v>57</v>
      </c>
      <c r="X66" t="s">
        <v>122</v>
      </c>
      <c r="AA66" t="s">
        <v>38</v>
      </c>
      <c r="AB66">
        <v>1</v>
      </c>
      <c r="AC66">
        <v>1</v>
      </c>
      <c r="AD66">
        <v>2</v>
      </c>
      <c r="AE66" t="s">
        <v>152</v>
      </c>
      <c r="AI66">
        <v>5</v>
      </c>
      <c r="AJ66">
        <v>24</v>
      </c>
    </row>
    <row r="67" spans="1:36" x14ac:dyDescent="0.25">
      <c r="A67" t="s">
        <v>292</v>
      </c>
      <c r="B67">
        <v>90</v>
      </c>
      <c r="C67" t="s">
        <v>48</v>
      </c>
      <c r="D67">
        <v>3</v>
      </c>
      <c r="F67">
        <v>3</v>
      </c>
      <c r="G67" t="s">
        <v>49</v>
      </c>
      <c r="H67" t="s">
        <v>84</v>
      </c>
      <c r="K67" t="s">
        <v>33</v>
      </c>
      <c r="L67">
        <v>1</v>
      </c>
      <c r="N67">
        <v>2</v>
      </c>
      <c r="O67" t="s">
        <v>46</v>
      </c>
      <c r="S67" t="s">
        <v>53</v>
      </c>
      <c r="T67">
        <v>3</v>
      </c>
      <c r="U67">
        <v>1</v>
      </c>
      <c r="V67">
        <v>2</v>
      </c>
      <c r="W67" t="s">
        <v>111</v>
      </c>
      <c r="X67" t="s">
        <v>55</v>
      </c>
      <c r="Y67" t="s">
        <v>114</v>
      </c>
      <c r="Z67" t="s">
        <v>98</v>
      </c>
      <c r="AA67" t="s">
        <v>45</v>
      </c>
      <c r="AB67">
        <v>1</v>
      </c>
      <c r="AD67">
        <v>1</v>
      </c>
      <c r="AE67" t="s">
        <v>47</v>
      </c>
      <c r="AI67">
        <v>12</v>
      </c>
      <c r="AJ67">
        <v>41</v>
      </c>
    </row>
    <row r="68" spans="1:36" x14ac:dyDescent="0.25">
      <c r="A68" t="s">
        <v>293</v>
      </c>
      <c r="B68">
        <v>91</v>
      </c>
      <c r="C68" t="s">
        <v>53</v>
      </c>
      <c r="D68">
        <v>1</v>
      </c>
      <c r="E68">
        <v>1</v>
      </c>
      <c r="F68">
        <v>1</v>
      </c>
      <c r="G68" t="s">
        <v>111</v>
      </c>
      <c r="H68" t="s">
        <v>113</v>
      </c>
      <c r="I68" t="s">
        <v>114</v>
      </c>
      <c r="K68" t="s">
        <v>45</v>
      </c>
      <c r="L68">
        <v>3</v>
      </c>
      <c r="N68">
        <v>1</v>
      </c>
      <c r="O68" t="s">
        <v>86</v>
      </c>
      <c r="S68" t="s">
        <v>48</v>
      </c>
      <c r="T68">
        <v>3</v>
      </c>
      <c r="V68">
        <v>1</v>
      </c>
      <c r="W68" t="s">
        <v>49</v>
      </c>
      <c r="AA68" t="s">
        <v>43</v>
      </c>
      <c r="AB68">
        <v>2</v>
      </c>
      <c r="AD68">
        <v>1</v>
      </c>
      <c r="AE68" t="s">
        <v>135</v>
      </c>
      <c r="AF68" t="s">
        <v>99</v>
      </c>
      <c r="AI68">
        <v>8</v>
      </c>
      <c r="AJ68">
        <v>27</v>
      </c>
    </row>
    <row r="69" spans="1:36" x14ac:dyDescent="0.25">
      <c r="A69" t="s">
        <v>294</v>
      </c>
      <c r="B69">
        <v>92</v>
      </c>
      <c r="C69" t="s">
        <v>53</v>
      </c>
      <c r="D69">
        <v>3</v>
      </c>
      <c r="E69">
        <v>1</v>
      </c>
      <c r="F69">
        <v>1</v>
      </c>
      <c r="G69" t="s">
        <v>54</v>
      </c>
      <c r="K69" t="s">
        <v>45</v>
      </c>
      <c r="L69">
        <v>3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Y69" t="s">
        <v>127</v>
      </c>
      <c r="Z69" t="s">
        <v>128</v>
      </c>
      <c r="AA69" t="s">
        <v>63</v>
      </c>
      <c r="AB69">
        <v>1</v>
      </c>
      <c r="AD69">
        <v>1</v>
      </c>
      <c r="AE69" t="s">
        <v>72</v>
      </c>
      <c r="AF69" t="s">
        <v>91</v>
      </c>
      <c r="AI69">
        <v>8</v>
      </c>
      <c r="AJ69">
        <v>26</v>
      </c>
    </row>
    <row r="70" spans="1:36" x14ac:dyDescent="0.25">
      <c r="A70" t="s">
        <v>295</v>
      </c>
      <c r="B70">
        <v>93</v>
      </c>
      <c r="C70" t="s">
        <v>53</v>
      </c>
      <c r="D70">
        <v>1</v>
      </c>
      <c r="E70">
        <v>1</v>
      </c>
      <c r="F70">
        <v>2</v>
      </c>
      <c r="G70" t="s">
        <v>111</v>
      </c>
      <c r="H70" t="s">
        <v>83</v>
      </c>
      <c r="K70" t="s">
        <v>45</v>
      </c>
      <c r="L70">
        <v>3</v>
      </c>
      <c r="N70">
        <v>1</v>
      </c>
      <c r="O70" t="s">
        <v>47</v>
      </c>
      <c r="S70" t="s">
        <v>48</v>
      </c>
      <c r="T70">
        <v>2</v>
      </c>
      <c r="V70">
        <v>1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F70" t="s">
        <v>96</v>
      </c>
      <c r="AI70">
        <v>6</v>
      </c>
      <c r="AJ70">
        <v>21</v>
      </c>
    </row>
    <row r="71" spans="1:36" x14ac:dyDescent="0.25">
      <c r="A71" t="s">
        <v>296</v>
      </c>
      <c r="B71">
        <v>95</v>
      </c>
      <c r="C71" t="s">
        <v>33</v>
      </c>
      <c r="D71">
        <v>1</v>
      </c>
      <c r="F71">
        <v>1</v>
      </c>
      <c r="G71" t="s">
        <v>46</v>
      </c>
      <c r="H71" t="s">
        <v>66</v>
      </c>
      <c r="K71" t="s">
        <v>43</v>
      </c>
      <c r="L71">
        <v>2</v>
      </c>
      <c r="N71">
        <v>1</v>
      </c>
      <c r="O71" t="s">
        <v>135</v>
      </c>
      <c r="P71" t="s">
        <v>74</v>
      </c>
      <c r="S71" t="s">
        <v>53</v>
      </c>
      <c r="T71">
        <v>1</v>
      </c>
      <c r="U71">
        <v>2</v>
      </c>
      <c r="V71">
        <v>1</v>
      </c>
      <c r="W71" t="s">
        <v>111</v>
      </c>
      <c r="X71" t="s">
        <v>83</v>
      </c>
      <c r="AA71" t="s">
        <v>45</v>
      </c>
      <c r="AB71">
        <v>2</v>
      </c>
      <c r="AD71">
        <v>1</v>
      </c>
      <c r="AE71" t="s">
        <v>47</v>
      </c>
      <c r="AI71">
        <v>6</v>
      </c>
      <c r="AJ71">
        <v>35</v>
      </c>
    </row>
    <row r="72" spans="1:36" x14ac:dyDescent="0.25">
      <c r="A72" t="s">
        <v>297</v>
      </c>
      <c r="B72">
        <v>96</v>
      </c>
      <c r="C72" t="s">
        <v>33</v>
      </c>
      <c r="D72">
        <v>1</v>
      </c>
      <c r="F72">
        <v>2</v>
      </c>
      <c r="G72" t="s">
        <v>46</v>
      </c>
      <c r="H72" t="s">
        <v>66</v>
      </c>
      <c r="K72" t="s">
        <v>63</v>
      </c>
      <c r="L72">
        <v>1</v>
      </c>
      <c r="N72">
        <v>1</v>
      </c>
      <c r="O72" t="s">
        <v>103</v>
      </c>
      <c r="P72" t="s">
        <v>91</v>
      </c>
      <c r="Q72" t="s">
        <v>147</v>
      </c>
      <c r="R72" t="s">
        <v>149</v>
      </c>
      <c r="S72" t="s">
        <v>53</v>
      </c>
      <c r="T72">
        <v>1</v>
      </c>
      <c r="U72">
        <v>1</v>
      </c>
      <c r="V72">
        <v>1</v>
      </c>
      <c r="W72" t="s">
        <v>54</v>
      </c>
      <c r="X72" t="s">
        <v>113</v>
      </c>
      <c r="Y72" t="s">
        <v>114</v>
      </c>
      <c r="AA72" t="s">
        <v>45</v>
      </c>
      <c r="AB72">
        <v>2</v>
      </c>
      <c r="AD72">
        <v>1</v>
      </c>
      <c r="AE72" t="s">
        <v>47</v>
      </c>
      <c r="AI72">
        <v>8</v>
      </c>
      <c r="AJ72">
        <v>37</v>
      </c>
    </row>
    <row r="73" spans="1:36" x14ac:dyDescent="0.25">
      <c r="A73" t="s">
        <v>298</v>
      </c>
      <c r="B73">
        <v>97</v>
      </c>
      <c r="C73" t="s">
        <v>33</v>
      </c>
      <c r="D73">
        <v>1</v>
      </c>
      <c r="F73">
        <v>2</v>
      </c>
      <c r="G73" t="s">
        <v>46</v>
      </c>
      <c r="H73" t="s">
        <v>66</v>
      </c>
      <c r="K73" t="s">
        <v>38</v>
      </c>
      <c r="L73">
        <v>1</v>
      </c>
      <c r="M73">
        <v>1</v>
      </c>
      <c r="N73">
        <v>1</v>
      </c>
      <c r="O73" t="s">
        <v>152</v>
      </c>
      <c r="P73" t="s">
        <v>40</v>
      </c>
      <c r="S73" t="s">
        <v>53</v>
      </c>
      <c r="T73">
        <v>1</v>
      </c>
      <c r="U73">
        <v>1</v>
      </c>
      <c r="V73">
        <v>1</v>
      </c>
      <c r="W73" t="s">
        <v>111</v>
      </c>
      <c r="AA73" t="s">
        <v>45</v>
      </c>
      <c r="AB73">
        <v>1</v>
      </c>
      <c r="AD73">
        <v>1</v>
      </c>
      <c r="AE73" t="s">
        <v>47</v>
      </c>
      <c r="AI73">
        <v>3</v>
      </c>
      <c r="AJ73">
        <v>26</v>
      </c>
    </row>
    <row r="74" spans="1:36" x14ac:dyDescent="0.25">
      <c r="A74" t="s">
        <v>299</v>
      </c>
      <c r="B74">
        <v>99</v>
      </c>
      <c r="C74" t="s">
        <v>53</v>
      </c>
      <c r="D74">
        <v>2</v>
      </c>
      <c r="E74">
        <v>2</v>
      </c>
      <c r="F74">
        <v>1</v>
      </c>
      <c r="G74" t="s">
        <v>54</v>
      </c>
      <c r="K74" t="s">
        <v>45</v>
      </c>
      <c r="L74">
        <v>3</v>
      </c>
      <c r="N74">
        <v>2</v>
      </c>
      <c r="O74" t="s">
        <v>47</v>
      </c>
      <c r="S74" t="s">
        <v>43</v>
      </c>
      <c r="T74">
        <v>1</v>
      </c>
      <c r="V74">
        <v>2</v>
      </c>
      <c r="W74" t="s">
        <v>135</v>
      </c>
      <c r="X74" t="s">
        <v>136</v>
      </c>
      <c r="AA74" t="s">
        <v>63</v>
      </c>
      <c r="AB74">
        <v>1</v>
      </c>
      <c r="AD74">
        <v>1</v>
      </c>
      <c r="AE74" t="s">
        <v>103</v>
      </c>
      <c r="AF74" t="s">
        <v>95</v>
      </c>
      <c r="AI74">
        <v>8</v>
      </c>
      <c r="AJ74">
        <v>28</v>
      </c>
    </row>
    <row r="75" spans="1:36" x14ac:dyDescent="0.25">
      <c r="A75" t="s">
        <v>300</v>
      </c>
      <c r="B75">
        <v>100</v>
      </c>
      <c r="C75" t="s">
        <v>43</v>
      </c>
      <c r="D75">
        <v>1</v>
      </c>
      <c r="F75">
        <v>1</v>
      </c>
      <c r="G75" t="s">
        <v>135</v>
      </c>
      <c r="K75" t="s">
        <v>38</v>
      </c>
      <c r="L75">
        <v>2</v>
      </c>
      <c r="M75">
        <v>2</v>
      </c>
      <c r="N75">
        <v>2</v>
      </c>
      <c r="O75" t="s">
        <v>152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55</v>
      </c>
      <c r="AA75" t="s">
        <v>45</v>
      </c>
      <c r="AB75">
        <v>2</v>
      </c>
      <c r="AD75">
        <v>1</v>
      </c>
      <c r="AE75" t="s">
        <v>86</v>
      </c>
      <c r="AI75">
        <v>6</v>
      </c>
      <c r="AJ75">
        <v>29</v>
      </c>
    </row>
    <row r="76" spans="1:36" x14ac:dyDescent="0.25">
      <c r="A76" t="s">
        <v>301</v>
      </c>
      <c r="B76">
        <v>102</v>
      </c>
      <c r="C76" t="s">
        <v>53</v>
      </c>
      <c r="D76">
        <v>3</v>
      </c>
      <c r="E76">
        <v>1</v>
      </c>
      <c r="F76">
        <v>2</v>
      </c>
      <c r="G76" t="s">
        <v>54</v>
      </c>
      <c r="H76" t="s">
        <v>83</v>
      </c>
      <c r="I76" t="s">
        <v>97</v>
      </c>
      <c r="J76" t="s">
        <v>98</v>
      </c>
      <c r="K76" t="s">
        <v>45</v>
      </c>
      <c r="L76">
        <v>1</v>
      </c>
      <c r="N76">
        <v>1</v>
      </c>
      <c r="O76" t="s">
        <v>47</v>
      </c>
      <c r="S76" t="s">
        <v>63</v>
      </c>
      <c r="T76">
        <v>2</v>
      </c>
      <c r="V76">
        <v>1</v>
      </c>
      <c r="W76" t="s">
        <v>103</v>
      </c>
      <c r="X76" t="s">
        <v>95</v>
      </c>
      <c r="AA76" t="s">
        <v>38</v>
      </c>
      <c r="AB76">
        <v>2</v>
      </c>
      <c r="AC76">
        <v>1</v>
      </c>
      <c r="AD76">
        <v>1</v>
      </c>
      <c r="AE76" t="s">
        <v>152</v>
      </c>
      <c r="AF76" t="s">
        <v>70</v>
      </c>
      <c r="AI76">
        <v>10</v>
      </c>
      <c r="AJ76">
        <v>29</v>
      </c>
    </row>
    <row r="77" spans="1:36" x14ac:dyDescent="0.25">
      <c r="A77" t="s">
        <v>302</v>
      </c>
      <c r="B77">
        <v>105</v>
      </c>
      <c r="C77" t="s">
        <v>53</v>
      </c>
      <c r="D77">
        <v>2</v>
      </c>
      <c r="E77">
        <v>1</v>
      </c>
      <c r="F77">
        <v>1</v>
      </c>
      <c r="G77" t="s">
        <v>111</v>
      </c>
      <c r="K77" t="s">
        <v>63</v>
      </c>
      <c r="L77">
        <v>1</v>
      </c>
      <c r="N77">
        <v>1</v>
      </c>
      <c r="O77" t="s">
        <v>72</v>
      </c>
      <c r="S77" t="s">
        <v>56</v>
      </c>
      <c r="T77">
        <v>1</v>
      </c>
      <c r="V77">
        <v>1</v>
      </c>
      <c r="W77" t="s">
        <v>57</v>
      </c>
      <c r="AA77" t="s">
        <v>48</v>
      </c>
      <c r="AB77">
        <v>2</v>
      </c>
      <c r="AD77">
        <v>1</v>
      </c>
      <c r="AE77" t="s">
        <v>49</v>
      </c>
      <c r="AI77">
        <v>2</v>
      </c>
      <c r="AJ77">
        <v>30</v>
      </c>
    </row>
    <row r="78" spans="1:36" x14ac:dyDescent="0.25">
      <c r="A78" t="s">
        <v>303</v>
      </c>
      <c r="B78">
        <v>106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2</v>
      </c>
      <c r="N78">
        <v>3</v>
      </c>
      <c r="O78" t="s">
        <v>46</v>
      </c>
      <c r="S78" t="s">
        <v>53</v>
      </c>
      <c r="T78">
        <v>3</v>
      </c>
      <c r="U78">
        <v>1</v>
      </c>
      <c r="V78">
        <v>2</v>
      </c>
      <c r="W78" t="s">
        <v>54</v>
      </c>
      <c r="AA78" t="s">
        <v>63</v>
      </c>
      <c r="AB78">
        <v>1</v>
      </c>
      <c r="AD78">
        <v>1</v>
      </c>
      <c r="AE78" t="s">
        <v>72</v>
      </c>
      <c r="AI78">
        <v>7</v>
      </c>
      <c r="AJ78">
        <v>24</v>
      </c>
    </row>
    <row r="79" spans="1:36" x14ac:dyDescent="0.25">
      <c r="A79" t="s">
        <v>304</v>
      </c>
      <c r="B79">
        <v>107</v>
      </c>
      <c r="C79" t="s">
        <v>56</v>
      </c>
      <c r="D79">
        <v>1</v>
      </c>
      <c r="F79">
        <v>1</v>
      </c>
      <c r="G79" t="s">
        <v>57</v>
      </c>
      <c r="K79" t="s">
        <v>43</v>
      </c>
      <c r="L79">
        <v>2</v>
      </c>
      <c r="N79">
        <v>1</v>
      </c>
      <c r="O79" t="s">
        <v>135</v>
      </c>
      <c r="P79" t="s">
        <v>74</v>
      </c>
      <c r="S79" t="s">
        <v>53</v>
      </c>
      <c r="T79">
        <v>2</v>
      </c>
      <c r="U79">
        <v>1</v>
      </c>
      <c r="V79">
        <v>1</v>
      </c>
      <c r="W79" t="s">
        <v>111</v>
      </c>
      <c r="X79" t="s">
        <v>83</v>
      </c>
      <c r="AA79" t="s">
        <v>63</v>
      </c>
      <c r="AB79">
        <v>1</v>
      </c>
      <c r="AD79">
        <v>1</v>
      </c>
      <c r="AE79" t="s">
        <v>72</v>
      </c>
      <c r="AI79">
        <v>4</v>
      </c>
      <c r="AJ79">
        <v>24</v>
      </c>
    </row>
    <row r="80" spans="1:36" x14ac:dyDescent="0.25">
      <c r="A80" t="s">
        <v>305</v>
      </c>
      <c r="B80">
        <v>108</v>
      </c>
      <c r="C80" t="s">
        <v>53</v>
      </c>
      <c r="D80">
        <v>2</v>
      </c>
      <c r="E80">
        <v>1</v>
      </c>
      <c r="F80">
        <v>2</v>
      </c>
      <c r="G80" t="s">
        <v>54</v>
      </c>
      <c r="K80" t="s">
        <v>63</v>
      </c>
      <c r="L80">
        <v>1</v>
      </c>
      <c r="N80">
        <v>1</v>
      </c>
      <c r="O80" t="s">
        <v>72</v>
      </c>
      <c r="S80" t="s">
        <v>56</v>
      </c>
      <c r="T80">
        <v>2</v>
      </c>
      <c r="V80">
        <v>1</v>
      </c>
      <c r="W80" t="s">
        <v>57</v>
      </c>
      <c r="X80" t="s">
        <v>122</v>
      </c>
      <c r="AA80" t="s">
        <v>45</v>
      </c>
      <c r="AB80">
        <v>2</v>
      </c>
      <c r="AD80">
        <v>1</v>
      </c>
      <c r="AE80" t="s">
        <v>86</v>
      </c>
      <c r="AI80">
        <v>5</v>
      </c>
      <c r="AJ80">
        <v>23</v>
      </c>
    </row>
    <row r="81" spans="1:36" x14ac:dyDescent="0.25">
      <c r="A81" t="s">
        <v>306</v>
      </c>
      <c r="B81">
        <v>109</v>
      </c>
      <c r="C81" t="s">
        <v>56</v>
      </c>
      <c r="D81">
        <v>1</v>
      </c>
      <c r="F81">
        <v>1</v>
      </c>
      <c r="G81" t="s">
        <v>57</v>
      </c>
      <c r="K81" t="s">
        <v>38</v>
      </c>
      <c r="L81">
        <v>3</v>
      </c>
      <c r="M81">
        <v>1</v>
      </c>
      <c r="N81">
        <v>3</v>
      </c>
      <c r="O81" t="s">
        <v>152</v>
      </c>
      <c r="P81" t="s">
        <v>96</v>
      </c>
      <c r="Q81" t="s">
        <v>154</v>
      </c>
      <c r="R81" t="s">
        <v>42</v>
      </c>
      <c r="S81" t="s">
        <v>53</v>
      </c>
      <c r="T81">
        <v>3</v>
      </c>
      <c r="U81">
        <v>2</v>
      </c>
      <c r="V81">
        <v>3</v>
      </c>
      <c r="W81" t="s">
        <v>111</v>
      </c>
      <c r="X81" t="s">
        <v>55</v>
      </c>
      <c r="Y81" t="s">
        <v>114</v>
      </c>
      <c r="Z81" t="s">
        <v>98</v>
      </c>
      <c r="AA81" t="s">
        <v>63</v>
      </c>
      <c r="AB81">
        <v>1</v>
      </c>
      <c r="AD81">
        <v>1</v>
      </c>
      <c r="AE81" t="s">
        <v>72</v>
      </c>
      <c r="AF81" t="s">
        <v>95</v>
      </c>
      <c r="AI81">
        <v>16</v>
      </c>
      <c r="AJ81">
        <v>44</v>
      </c>
    </row>
    <row r="82" spans="1:36" x14ac:dyDescent="0.25">
      <c r="A82" t="s">
        <v>307</v>
      </c>
      <c r="B82">
        <v>111</v>
      </c>
      <c r="C82" t="s">
        <v>48</v>
      </c>
      <c r="D82">
        <v>3</v>
      </c>
      <c r="F82">
        <v>2</v>
      </c>
      <c r="G82" t="s">
        <v>49</v>
      </c>
      <c r="K82" t="s">
        <v>33</v>
      </c>
      <c r="L82">
        <v>2</v>
      </c>
      <c r="N82">
        <v>1</v>
      </c>
      <c r="O82" t="s">
        <v>46</v>
      </c>
      <c r="S82" t="s">
        <v>53</v>
      </c>
      <c r="T82">
        <v>2</v>
      </c>
      <c r="U82">
        <v>2</v>
      </c>
      <c r="V82">
        <v>2</v>
      </c>
      <c r="W82" t="s">
        <v>111</v>
      </c>
      <c r="AA82" t="s">
        <v>63</v>
      </c>
      <c r="AB82">
        <v>1</v>
      </c>
      <c r="AD82">
        <v>1</v>
      </c>
      <c r="AE82" t="s">
        <v>72</v>
      </c>
      <c r="AI82">
        <v>7</v>
      </c>
      <c r="AJ82">
        <v>32</v>
      </c>
    </row>
    <row r="83" spans="1:36" x14ac:dyDescent="0.25">
      <c r="A83" t="s">
        <v>308</v>
      </c>
      <c r="B83">
        <v>112</v>
      </c>
      <c r="C83" t="s">
        <v>48</v>
      </c>
      <c r="D83">
        <v>3</v>
      </c>
      <c r="F83">
        <v>2</v>
      </c>
      <c r="G83" t="s">
        <v>49</v>
      </c>
      <c r="H83" t="s">
        <v>71</v>
      </c>
      <c r="I83" t="s">
        <v>127</v>
      </c>
      <c r="J83" t="s">
        <v>52</v>
      </c>
      <c r="K83" t="s">
        <v>43</v>
      </c>
      <c r="L83">
        <v>1</v>
      </c>
      <c r="N83">
        <v>1</v>
      </c>
      <c r="O83" t="s">
        <v>135</v>
      </c>
      <c r="P83" t="s">
        <v>99</v>
      </c>
      <c r="S83" t="s">
        <v>53</v>
      </c>
      <c r="T83">
        <v>2</v>
      </c>
      <c r="U83">
        <v>2</v>
      </c>
      <c r="V83">
        <v>1</v>
      </c>
      <c r="W83" t="s">
        <v>111</v>
      </c>
      <c r="AA83" t="s">
        <v>63</v>
      </c>
      <c r="AB83">
        <v>3</v>
      </c>
      <c r="AD83">
        <v>1</v>
      </c>
      <c r="AE83" t="s">
        <v>72</v>
      </c>
      <c r="AF83" t="s">
        <v>91</v>
      </c>
      <c r="AG83" t="s">
        <v>147</v>
      </c>
      <c r="AI83">
        <v>13</v>
      </c>
      <c r="AJ83">
        <v>31</v>
      </c>
    </row>
    <row r="84" spans="1:36" x14ac:dyDescent="0.25">
      <c r="A84" t="s">
        <v>309</v>
      </c>
      <c r="B84">
        <v>113</v>
      </c>
      <c r="C84" t="s">
        <v>48</v>
      </c>
      <c r="D84">
        <v>3</v>
      </c>
      <c r="F84">
        <v>1</v>
      </c>
      <c r="G84" t="s">
        <v>49</v>
      </c>
      <c r="K84" t="s">
        <v>45</v>
      </c>
      <c r="L84">
        <v>3</v>
      </c>
      <c r="N84">
        <v>1</v>
      </c>
      <c r="O84" t="s">
        <v>47</v>
      </c>
      <c r="S84" t="s">
        <v>53</v>
      </c>
      <c r="T84">
        <v>2</v>
      </c>
      <c r="U84">
        <v>1</v>
      </c>
      <c r="V84">
        <v>3</v>
      </c>
      <c r="W84" t="s">
        <v>111</v>
      </c>
      <c r="X84" t="s">
        <v>55</v>
      </c>
      <c r="AA84" t="s">
        <v>63</v>
      </c>
      <c r="AB84">
        <v>1</v>
      </c>
      <c r="AD84">
        <v>1</v>
      </c>
      <c r="AE84" t="s">
        <v>72</v>
      </c>
      <c r="AI84">
        <v>8</v>
      </c>
      <c r="AJ84">
        <v>26</v>
      </c>
    </row>
    <row r="85" spans="1:36" x14ac:dyDescent="0.25">
      <c r="A85" t="s">
        <v>310</v>
      </c>
      <c r="B85">
        <v>114</v>
      </c>
      <c r="C85" t="s">
        <v>53</v>
      </c>
      <c r="D85">
        <v>2</v>
      </c>
      <c r="E85">
        <v>1</v>
      </c>
      <c r="F85">
        <v>1</v>
      </c>
      <c r="G85" t="s">
        <v>54</v>
      </c>
      <c r="K85" t="s">
        <v>63</v>
      </c>
      <c r="L85">
        <v>1</v>
      </c>
      <c r="N85">
        <v>1</v>
      </c>
      <c r="O85" t="s">
        <v>72</v>
      </c>
      <c r="P85" t="s">
        <v>95</v>
      </c>
      <c r="S85" t="s">
        <v>48</v>
      </c>
      <c r="T85">
        <v>1</v>
      </c>
      <c r="V85">
        <v>1</v>
      </c>
      <c r="W85" t="s">
        <v>49</v>
      </c>
      <c r="AA85" t="s">
        <v>38</v>
      </c>
      <c r="AB85">
        <v>3</v>
      </c>
      <c r="AC85">
        <v>1</v>
      </c>
      <c r="AD85">
        <v>1</v>
      </c>
      <c r="AE85" t="s">
        <v>152</v>
      </c>
      <c r="AI85">
        <v>4</v>
      </c>
      <c r="AJ85">
        <v>22</v>
      </c>
    </row>
    <row r="86" spans="1:36" x14ac:dyDescent="0.25">
      <c r="A86" t="s">
        <v>311</v>
      </c>
      <c r="B86">
        <v>116</v>
      </c>
      <c r="C86" t="s">
        <v>33</v>
      </c>
      <c r="D86">
        <v>2</v>
      </c>
      <c r="F86">
        <v>1</v>
      </c>
      <c r="G86" t="s">
        <v>46</v>
      </c>
      <c r="H86" t="s">
        <v>35</v>
      </c>
      <c r="K86" t="s">
        <v>43</v>
      </c>
      <c r="L86">
        <v>1</v>
      </c>
      <c r="N86">
        <v>1</v>
      </c>
      <c r="O86" t="s">
        <v>135</v>
      </c>
      <c r="P86" t="s">
        <v>99</v>
      </c>
      <c r="Q86" t="s">
        <v>100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1</v>
      </c>
      <c r="AE86" t="s">
        <v>72</v>
      </c>
      <c r="AF86" t="s">
        <v>146</v>
      </c>
      <c r="AI86">
        <v>5</v>
      </c>
      <c r="AJ86">
        <v>27</v>
      </c>
    </row>
    <row r="87" spans="1:36" x14ac:dyDescent="0.25">
      <c r="A87" t="s">
        <v>312</v>
      </c>
      <c r="B87">
        <v>117</v>
      </c>
      <c r="C87" t="s">
        <v>33</v>
      </c>
      <c r="D87">
        <v>2</v>
      </c>
      <c r="F87">
        <v>2</v>
      </c>
      <c r="G87" t="s">
        <v>46</v>
      </c>
      <c r="K87" t="s">
        <v>45</v>
      </c>
      <c r="L87">
        <v>1</v>
      </c>
      <c r="N87">
        <v>1</v>
      </c>
      <c r="O87" t="s">
        <v>47</v>
      </c>
      <c r="S87" t="s">
        <v>53</v>
      </c>
      <c r="T87">
        <v>1</v>
      </c>
      <c r="U87">
        <v>3</v>
      </c>
      <c r="V87">
        <v>1</v>
      </c>
      <c r="W87" t="s">
        <v>111</v>
      </c>
      <c r="AA87" t="s">
        <v>63</v>
      </c>
      <c r="AB87">
        <v>1</v>
      </c>
      <c r="AD87">
        <v>1</v>
      </c>
      <c r="AE87" t="s">
        <v>72</v>
      </c>
      <c r="AI87">
        <v>4</v>
      </c>
      <c r="AJ87">
        <v>37</v>
      </c>
    </row>
    <row r="88" spans="1:36" x14ac:dyDescent="0.25">
      <c r="A88" t="s">
        <v>313</v>
      </c>
      <c r="B88">
        <v>118</v>
      </c>
      <c r="C88" t="s">
        <v>53</v>
      </c>
      <c r="D88">
        <v>1</v>
      </c>
      <c r="E88">
        <v>1</v>
      </c>
      <c r="F88">
        <v>1</v>
      </c>
      <c r="G88" t="s">
        <v>111</v>
      </c>
      <c r="K88" t="s">
        <v>63</v>
      </c>
      <c r="L88">
        <v>3</v>
      </c>
      <c r="N88">
        <v>1</v>
      </c>
      <c r="O88" t="s">
        <v>72</v>
      </c>
      <c r="P88" t="s">
        <v>91</v>
      </c>
      <c r="Q88" t="s">
        <v>104</v>
      </c>
      <c r="R88" t="s">
        <v>151</v>
      </c>
      <c r="S88" t="s">
        <v>33</v>
      </c>
      <c r="T88">
        <v>1</v>
      </c>
      <c r="V88">
        <v>2</v>
      </c>
      <c r="W88" t="s">
        <v>46</v>
      </c>
      <c r="AA88" t="s">
        <v>38</v>
      </c>
      <c r="AB88">
        <v>2</v>
      </c>
      <c r="AC88">
        <v>1</v>
      </c>
      <c r="AD88">
        <v>1</v>
      </c>
      <c r="AE88" t="s">
        <v>152</v>
      </c>
      <c r="AI88">
        <v>7</v>
      </c>
      <c r="AJ88">
        <v>35</v>
      </c>
    </row>
    <row r="89" spans="1:36" x14ac:dyDescent="0.25">
      <c r="A89" t="s">
        <v>314</v>
      </c>
      <c r="B89">
        <v>120</v>
      </c>
      <c r="C89" t="s">
        <v>43</v>
      </c>
      <c r="D89">
        <v>1</v>
      </c>
      <c r="F89">
        <v>1</v>
      </c>
      <c r="G89" t="s">
        <v>135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1</v>
      </c>
      <c r="U89">
        <v>1</v>
      </c>
      <c r="V89">
        <v>1</v>
      </c>
      <c r="W89" t="s">
        <v>111</v>
      </c>
      <c r="AA89" t="s">
        <v>63</v>
      </c>
      <c r="AB89">
        <v>2</v>
      </c>
      <c r="AD89">
        <v>1</v>
      </c>
      <c r="AE89" t="s">
        <v>72</v>
      </c>
      <c r="AF89" t="s">
        <v>91</v>
      </c>
      <c r="AI89">
        <v>4</v>
      </c>
      <c r="AJ89">
        <v>27</v>
      </c>
    </row>
    <row r="90" spans="1:36" x14ac:dyDescent="0.25">
      <c r="A90" t="s">
        <v>315</v>
      </c>
      <c r="B90">
        <v>121</v>
      </c>
      <c r="C90" t="s">
        <v>43</v>
      </c>
      <c r="D90">
        <v>3</v>
      </c>
      <c r="F90">
        <v>3</v>
      </c>
      <c r="G90" t="s">
        <v>135</v>
      </c>
      <c r="H90" t="s">
        <v>74</v>
      </c>
      <c r="I90" t="s">
        <v>75</v>
      </c>
      <c r="J90" t="s">
        <v>139</v>
      </c>
      <c r="K90" t="s">
        <v>38</v>
      </c>
      <c r="L90">
        <v>1</v>
      </c>
      <c r="M90">
        <v>1</v>
      </c>
      <c r="N90">
        <v>1</v>
      </c>
      <c r="O90" t="s">
        <v>152</v>
      </c>
      <c r="P90" t="s">
        <v>70</v>
      </c>
      <c r="S90" t="s">
        <v>53</v>
      </c>
      <c r="T90">
        <v>1</v>
      </c>
      <c r="U90">
        <v>3</v>
      </c>
      <c r="V90">
        <v>2</v>
      </c>
      <c r="W90" t="s">
        <v>111</v>
      </c>
      <c r="X90" t="s">
        <v>83</v>
      </c>
      <c r="AA90" t="s">
        <v>63</v>
      </c>
      <c r="AB90">
        <v>1</v>
      </c>
      <c r="AD90">
        <v>1</v>
      </c>
      <c r="AE90" t="s">
        <v>72</v>
      </c>
      <c r="AI90">
        <v>14</v>
      </c>
      <c r="AJ90">
        <v>47</v>
      </c>
    </row>
    <row r="91" spans="1:36" x14ac:dyDescent="0.25">
      <c r="A91" t="s">
        <v>316</v>
      </c>
      <c r="B91">
        <v>123</v>
      </c>
      <c r="C91" t="s">
        <v>53</v>
      </c>
      <c r="D91">
        <v>3</v>
      </c>
      <c r="E91">
        <v>1</v>
      </c>
      <c r="F91">
        <v>1</v>
      </c>
      <c r="G91" t="s">
        <v>111</v>
      </c>
      <c r="H91" t="s">
        <v>55</v>
      </c>
      <c r="I91" t="s">
        <v>97</v>
      </c>
      <c r="K91" t="s">
        <v>63</v>
      </c>
      <c r="L91">
        <v>1</v>
      </c>
      <c r="N91">
        <v>1</v>
      </c>
      <c r="O91" t="s">
        <v>72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3</v>
      </c>
      <c r="AC91">
        <v>1</v>
      </c>
      <c r="AD91">
        <v>1</v>
      </c>
      <c r="AE91" t="s">
        <v>152</v>
      </c>
      <c r="AI91">
        <v>8</v>
      </c>
      <c r="AJ91">
        <v>39</v>
      </c>
    </row>
    <row r="92" spans="1:36" x14ac:dyDescent="0.25">
      <c r="A92" t="s">
        <v>317</v>
      </c>
      <c r="B92">
        <v>126</v>
      </c>
      <c r="C92" t="s">
        <v>56</v>
      </c>
      <c r="D92">
        <v>3</v>
      </c>
      <c r="F92">
        <v>1</v>
      </c>
      <c r="G92" t="s">
        <v>57</v>
      </c>
      <c r="H92" t="s">
        <v>122</v>
      </c>
      <c r="I92" t="s">
        <v>123</v>
      </c>
      <c r="J92" t="s">
        <v>124</v>
      </c>
      <c r="K92" t="s">
        <v>48</v>
      </c>
      <c r="L92">
        <v>3</v>
      </c>
      <c r="N92">
        <v>1</v>
      </c>
      <c r="O92" t="s">
        <v>49</v>
      </c>
      <c r="S92" t="s">
        <v>53</v>
      </c>
      <c r="T92">
        <v>3</v>
      </c>
      <c r="U92">
        <v>3</v>
      </c>
      <c r="V92">
        <v>3</v>
      </c>
      <c r="W92" t="s">
        <v>111</v>
      </c>
      <c r="X92" t="s">
        <v>55</v>
      </c>
      <c r="Y92" t="s">
        <v>97</v>
      </c>
      <c r="Z92" t="s">
        <v>115</v>
      </c>
      <c r="AA92" t="s">
        <v>38</v>
      </c>
      <c r="AB92">
        <v>1</v>
      </c>
      <c r="AC92">
        <v>1</v>
      </c>
      <c r="AD92">
        <v>2</v>
      </c>
      <c r="AE92" t="s">
        <v>152</v>
      </c>
      <c r="AF92" t="s">
        <v>40</v>
      </c>
      <c r="AI92">
        <v>18</v>
      </c>
      <c r="AJ92">
        <v>48</v>
      </c>
    </row>
    <row r="93" spans="1:36" x14ac:dyDescent="0.25">
      <c r="A93" t="s">
        <v>318</v>
      </c>
      <c r="B93">
        <v>127</v>
      </c>
      <c r="C93" t="s">
        <v>53</v>
      </c>
      <c r="D93">
        <v>2</v>
      </c>
      <c r="E93">
        <v>1</v>
      </c>
      <c r="F93">
        <v>1</v>
      </c>
      <c r="G93" t="s">
        <v>111</v>
      </c>
      <c r="K93" t="s">
        <v>38</v>
      </c>
      <c r="L93">
        <v>1</v>
      </c>
      <c r="M93">
        <v>1</v>
      </c>
      <c r="N93">
        <v>2</v>
      </c>
      <c r="O93" t="s">
        <v>67</v>
      </c>
      <c r="S93" t="s">
        <v>56</v>
      </c>
      <c r="T93">
        <v>1</v>
      </c>
      <c r="V93">
        <v>1</v>
      </c>
      <c r="W93" t="s">
        <v>57</v>
      </c>
      <c r="X93" t="s">
        <v>122</v>
      </c>
      <c r="AA93" t="s">
        <v>33</v>
      </c>
      <c r="AB93">
        <v>1</v>
      </c>
      <c r="AD93">
        <v>3</v>
      </c>
      <c r="AE93" t="s">
        <v>46</v>
      </c>
      <c r="AI93">
        <v>5</v>
      </c>
      <c r="AJ93">
        <v>21</v>
      </c>
    </row>
    <row r="94" spans="1:36" x14ac:dyDescent="0.25">
      <c r="A94" t="s">
        <v>319</v>
      </c>
      <c r="B94">
        <v>128</v>
      </c>
      <c r="C94" t="s">
        <v>53</v>
      </c>
      <c r="D94">
        <v>2</v>
      </c>
      <c r="E94">
        <v>1</v>
      </c>
      <c r="F94">
        <v>1</v>
      </c>
      <c r="G94" t="s">
        <v>54</v>
      </c>
      <c r="H94" t="s">
        <v>55</v>
      </c>
      <c r="I94" t="s">
        <v>114</v>
      </c>
      <c r="K94" t="s">
        <v>38</v>
      </c>
      <c r="L94">
        <v>1</v>
      </c>
      <c r="M94">
        <v>1</v>
      </c>
      <c r="N94">
        <v>2</v>
      </c>
      <c r="O94" t="s">
        <v>67</v>
      </c>
      <c r="S94" t="s">
        <v>56</v>
      </c>
      <c r="T94">
        <v>1</v>
      </c>
      <c r="V94">
        <v>2</v>
      </c>
      <c r="W94" t="s">
        <v>57</v>
      </c>
      <c r="AA94" t="s">
        <v>43</v>
      </c>
      <c r="AB94">
        <v>1</v>
      </c>
      <c r="AD94">
        <v>1</v>
      </c>
      <c r="AE94" t="s">
        <v>135</v>
      </c>
      <c r="AI94">
        <v>5</v>
      </c>
      <c r="AJ94">
        <v>29</v>
      </c>
    </row>
    <row r="95" spans="1:36" x14ac:dyDescent="0.25">
      <c r="A95" t="s">
        <v>320</v>
      </c>
      <c r="B95">
        <v>129</v>
      </c>
      <c r="C95" t="s">
        <v>56</v>
      </c>
      <c r="D95">
        <v>1</v>
      </c>
      <c r="F95">
        <v>1</v>
      </c>
      <c r="G95" t="s">
        <v>57</v>
      </c>
      <c r="H95" t="s">
        <v>122</v>
      </c>
      <c r="K95" t="s">
        <v>45</v>
      </c>
      <c r="L95">
        <v>2</v>
      </c>
      <c r="N95">
        <v>1</v>
      </c>
      <c r="O95" t="s">
        <v>47</v>
      </c>
      <c r="S95" t="s">
        <v>53</v>
      </c>
      <c r="T95">
        <v>1</v>
      </c>
      <c r="U95">
        <v>2</v>
      </c>
      <c r="V95">
        <v>1</v>
      </c>
      <c r="W95" t="s">
        <v>54</v>
      </c>
      <c r="AA95" t="s">
        <v>38</v>
      </c>
      <c r="AB95">
        <v>1</v>
      </c>
      <c r="AC95">
        <v>1</v>
      </c>
      <c r="AD95">
        <v>1</v>
      </c>
      <c r="AE95" t="s">
        <v>67</v>
      </c>
      <c r="AI95">
        <v>3</v>
      </c>
      <c r="AJ95">
        <v>27</v>
      </c>
    </row>
    <row r="96" spans="1:36" x14ac:dyDescent="0.25">
      <c r="A96" t="s">
        <v>321</v>
      </c>
      <c r="B96">
        <v>130</v>
      </c>
      <c r="C96" t="s">
        <v>53</v>
      </c>
      <c r="D96">
        <v>2</v>
      </c>
      <c r="E96">
        <v>1</v>
      </c>
      <c r="F96">
        <v>1</v>
      </c>
      <c r="G96" t="s">
        <v>54</v>
      </c>
      <c r="H96" t="s">
        <v>55</v>
      </c>
      <c r="K96" t="s">
        <v>38</v>
      </c>
      <c r="L96">
        <v>3</v>
      </c>
      <c r="M96">
        <v>2</v>
      </c>
      <c r="N96">
        <v>3</v>
      </c>
      <c r="O96" t="s">
        <v>152</v>
      </c>
      <c r="P96" t="s">
        <v>70</v>
      </c>
      <c r="Q96" t="s">
        <v>154</v>
      </c>
      <c r="R96" t="s">
        <v>42</v>
      </c>
      <c r="S96" t="s">
        <v>56</v>
      </c>
      <c r="T96">
        <v>1</v>
      </c>
      <c r="V96">
        <v>1</v>
      </c>
      <c r="W96" t="s">
        <v>57</v>
      </c>
      <c r="AA96" t="s">
        <v>63</v>
      </c>
      <c r="AB96">
        <v>3</v>
      </c>
      <c r="AD96">
        <v>2</v>
      </c>
      <c r="AE96" t="s">
        <v>103</v>
      </c>
      <c r="AF96" t="s">
        <v>95</v>
      </c>
      <c r="AI96">
        <v>14</v>
      </c>
      <c r="AJ96">
        <v>57</v>
      </c>
    </row>
    <row r="97" spans="1:36" x14ac:dyDescent="0.25">
      <c r="A97" t="s">
        <v>322</v>
      </c>
      <c r="B97">
        <v>132</v>
      </c>
      <c r="C97" t="s">
        <v>48</v>
      </c>
      <c r="D97">
        <v>3</v>
      </c>
      <c r="F97">
        <v>1</v>
      </c>
      <c r="G97" t="s">
        <v>49</v>
      </c>
      <c r="K97" t="s">
        <v>33</v>
      </c>
      <c r="L97">
        <v>2</v>
      </c>
      <c r="N97">
        <v>2</v>
      </c>
      <c r="O97" t="s">
        <v>46</v>
      </c>
      <c r="S97" t="s">
        <v>53</v>
      </c>
      <c r="T97">
        <v>1</v>
      </c>
      <c r="U97">
        <v>1</v>
      </c>
      <c r="V97">
        <v>2</v>
      </c>
      <c r="W97" t="s">
        <v>111</v>
      </c>
      <c r="X97" t="s">
        <v>55</v>
      </c>
      <c r="AA97" t="s">
        <v>38</v>
      </c>
      <c r="AB97">
        <v>1</v>
      </c>
      <c r="AC97">
        <v>1</v>
      </c>
      <c r="AD97">
        <v>1</v>
      </c>
      <c r="AE97" t="s">
        <v>67</v>
      </c>
      <c r="AI97">
        <v>6</v>
      </c>
      <c r="AJ97">
        <v>25</v>
      </c>
    </row>
    <row r="98" spans="1:36" x14ac:dyDescent="0.25">
      <c r="A98" t="s">
        <v>323</v>
      </c>
      <c r="B98">
        <v>133</v>
      </c>
      <c r="C98" t="s">
        <v>53</v>
      </c>
      <c r="D98">
        <v>2</v>
      </c>
      <c r="E98">
        <v>1</v>
      </c>
      <c r="F98">
        <v>1</v>
      </c>
      <c r="G98" t="s">
        <v>54</v>
      </c>
      <c r="H98" t="s">
        <v>83</v>
      </c>
      <c r="I98" t="s">
        <v>114</v>
      </c>
      <c r="K98" t="s">
        <v>38</v>
      </c>
      <c r="L98">
        <v>1</v>
      </c>
      <c r="M98">
        <v>1</v>
      </c>
      <c r="N98">
        <v>2</v>
      </c>
      <c r="O98" t="s">
        <v>67</v>
      </c>
      <c r="P98" t="s">
        <v>40</v>
      </c>
      <c r="S98" t="s">
        <v>48</v>
      </c>
      <c r="T98">
        <v>3</v>
      </c>
      <c r="V98">
        <v>2</v>
      </c>
      <c r="W98" t="s">
        <v>49</v>
      </c>
      <c r="AA98" t="s">
        <v>43</v>
      </c>
      <c r="AB98">
        <v>1</v>
      </c>
      <c r="AD98">
        <v>1</v>
      </c>
      <c r="AE98" t="s">
        <v>135</v>
      </c>
      <c r="AI98">
        <v>8</v>
      </c>
      <c r="AJ98">
        <v>36</v>
      </c>
    </row>
    <row r="99" spans="1:36" x14ac:dyDescent="0.25">
      <c r="A99" t="s">
        <v>324</v>
      </c>
      <c r="B99">
        <v>134</v>
      </c>
      <c r="C99" t="s">
        <v>48</v>
      </c>
      <c r="D99">
        <v>1</v>
      </c>
      <c r="F99">
        <v>2</v>
      </c>
      <c r="G99" t="s">
        <v>49</v>
      </c>
      <c r="H99" t="s">
        <v>84</v>
      </c>
      <c r="I99" t="s">
        <v>127</v>
      </c>
      <c r="K99" t="s">
        <v>45</v>
      </c>
      <c r="L99">
        <v>3</v>
      </c>
      <c r="N99">
        <v>1</v>
      </c>
      <c r="O99" t="s">
        <v>86</v>
      </c>
      <c r="S99" t="s">
        <v>53</v>
      </c>
      <c r="T99">
        <v>2</v>
      </c>
      <c r="U99">
        <v>1</v>
      </c>
      <c r="V99">
        <v>1</v>
      </c>
      <c r="W99" t="s">
        <v>54</v>
      </c>
      <c r="X99" t="s">
        <v>83</v>
      </c>
      <c r="AA99" t="s">
        <v>38</v>
      </c>
      <c r="AB99">
        <v>2</v>
      </c>
      <c r="AC99">
        <v>1</v>
      </c>
      <c r="AD99">
        <v>1</v>
      </c>
      <c r="AE99" t="s">
        <v>67</v>
      </c>
      <c r="AI99">
        <v>8</v>
      </c>
      <c r="AJ99">
        <v>29</v>
      </c>
    </row>
    <row r="100" spans="1:36" x14ac:dyDescent="0.25">
      <c r="A100" t="s">
        <v>325</v>
      </c>
      <c r="B100">
        <v>135</v>
      </c>
      <c r="C100" t="s">
        <v>48</v>
      </c>
      <c r="D100">
        <v>2</v>
      </c>
      <c r="F100">
        <v>1</v>
      </c>
      <c r="G100" t="s">
        <v>49</v>
      </c>
      <c r="K100" t="s">
        <v>63</v>
      </c>
      <c r="L100">
        <v>1</v>
      </c>
      <c r="N100">
        <v>1</v>
      </c>
      <c r="O100" t="s">
        <v>103</v>
      </c>
      <c r="P100" t="s">
        <v>95</v>
      </c>
      <c r="S100" t="s">
        <v>53</v>
      </c>
      <c r="T100">
        <v>1</v>
      </c>
      <c r="U100">
        <v>3</v>
      </c>
      <c r="V100">
        <v>1</v>
      </c>
      <c r="W100" t="s">
        <v>111</v>
      </c>
      <c r="AA100" t="s">
        <v>38</v>
      </c>
      <c r="AB100">
        <v>1</v>
      </c>
      <c r="AC100">
        <v>1</v>
      </c>
      <c r="AD100">
        <v>1</v>
      </c>
      <c r="AE100" t="s">
        <v>152</v>
      </c>
      <c r="AI100">
        <v>4</v>
      </c>
      <c r="AJ100">
        <v>30</v>
      </c>
    </row>
    <row r="101" spans="1:36" x14ac:dyDescent="0.25">
      <c r="A101" t="s">
        <v>326</v>
      </c>
      <c r="B101">
        <v>137</v>
      </c>
      <c r="C101" t="s">
        <v>53</v>
      </c>
      <c r="D101">
        <v>1</v>
      </c>
      <c r="E101">
        <v>1</v>
      </c>
      <c r="F101">
        <v>2</v>
      </c>
      <c r="G101" t="s">
        <v>111</v>
      </c>
      <c r="K101" t="s">
        <v>38</v>
      </c>
      <c r="L101">
        <v>1</v>
      </c>
      <c r="M101">
        <v>1</v>
      </c>
      <c r="N101">
        <v>2</v>
      </c>
      <c r="O101" t="s">
        <v>67</v>
      </c>
      <c r="P101" t="s">
        <v>70</v>
      </c>
      <c r="S101" t="s">
        <v>33</v>
      </c>
      <c r="T101">
        <v>1</v>
      </c>
      <c r="V101">
        <v>2</v>
      </c>
      <c r="W101" t="s">
        <v>46</v>
      </c>
      <c r="AA101" t="s">
        <v>43</v>
      </c>
      <c r="AB101">
        <v>1</v>
      </c>
      <c r="AD101">
        <v>1</v>
      </c>
      <c r="AE101" t="s">
        <v>135</v>
      </c>
      <c r="AF101" t="s">
        <v>74</v>
      </c>
      <c r="AI101">
        <v>5</v>
      </c>
      <c r="AJ101">
        <v>21</v>
      </c>
    </row>
    <row r="102" spans="1:36" x14ac:dyDescent="0.25">
      <c r="A102" t="s">
        <v>327</v>
      </c>
      <c r="B102">
        <v>138</v>
      </c>
      <c r="C102" t="s">
        <v>33</v>
      </c>
      <c r="D102">
        <v>1</v>
      </c>
      <c r="F102">
        <v>3</v>
      </c>
      <c r="G102" t="s">
        <v>46</v>
      </c>
      <c r="K102" t="s">
        <v>45</v>
      </c>
      <c r="L102">
        <v>1</v>
      </c>
      <c r="N102">
        <v>1</v>
      </c>
      <c r="O102" t="s">
        <v>47</v>
      </c>
      <c r="S102" t="s">
        <v>53</v>
      </c>
      <c r="T102">
        <v>2</v>
      </c>
      <c r="U102">
        <v>1</v>
      </c>
      <c r="V102">
        <v>2</v>
      </c>
      <c r="W102" t="s">
        <v>111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I102">
        <v>5</v>
      </c>
      <c r="AJ102">
        <v>27</v>
      </c>
    </row>
    <row r="103" spans="1:36" x14ac:dyDescent="0.25">
      <c r="A103" t="s">
        <v>328</v>
      </c>
      <c r="B103">
        <v>139</v>
      </c>
      <c r="C103" t="s">
        <v>33</v>
      </c>
      <c r="D103">
        <v>2</v>
      </c>
      <c r="F103">
        <v>1</v>
      </c>
      <c r="G103" t="s">
        <v>46</v>
      </c>
      <c r="K103" t="s">
        <v>63</v>
      </c>
      <c r="L103">
        <v>2</v>
      </c>
      <c r="N103">
        <v>1</v>
      </c>
      <c r="O103" t="s">
        <v>103</v>
      </c>
      <c r="S103" t="s">
        <v>53</v>
      </c>
      <c r="T103">
        <v>3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1</v>
      </c>
      <c r="AD103">
        <v>1</v>
      </c>
      <c r="AE103" t="s">
        <v>152</v>
      </c>
      <c r="AF103" t="s">
        <v>96</v>
      </c>
      <c r="AI103">
        <v>5</v>
      </c>
      <c r="AJ103">
        <v>23</v>
      </c>
    </row>
    <row r="104" spans="1:36" x14ac:dyDescent="0.25">
      <c r="A104" t="s">
        <v>329</v>
      </c>
      <c r="B104">
        <v>141</v>
      </c>
      <c r="C104" t="s">
        <v>53</v>
      </c>
      <c r="D104">
        <v>1</v>
      </c>
      <c r="E104">
        <v>1</v>
      </c>
      <c r="F104">
        <v>1</v>
      </c>
      <c r="G104" t="s">
        <v>54</v>
      </c>
      <c r="K104" t="s">
        <v>38</v>
      </c>
      <c r="L104">
        <v>2</v>
      </c>
      <c r="M104">
        <v>1</v>
      </c>
      <c r="N104">
        <v>2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135</v>
      </c>
      <c r="X104" t="s">
        <v>136</v>
      </c>
      <c r="AA104" t="s">
        <v>45</v>
      </c>
      <c r="AB104">
        <v>2</v>
      </c>
      <c r="AD104">
        <v>2</v>
      </c>
      <c r="AE104" t="s">
        <v>47</v>
      </c>
      <c r="AI104">
        <v>6</v>
      </c>
      <c r="AJ104">
        <v>27</v>
      </c>
    </row>
    <row r="105" spans="1:36" x14ac:dyDescent="0.25">
      <c r="A105" t="s">
        <v>330</v>
      </c>
      <c r="B105">
        <v>142</v>
      </c>
      <c r="C105" t="s">
        <v>43</v>
      </c>
      <c r="D105">
        <v>2</v>
      </c>
      <c r="F105">
        <v>1</v>
      </c>
      <c r="G105" t="s">
        <v>135</v>
      </c>
      <c r="H105" t="s">
        <v>99</v>
      </c>
      <c r="K105" t="s">
        <v>63</v>
      </c>
      <c r="L105">
        <v>1</v>
      </c>
      <c r="N105">
        <v>1</v>
      </c>
      <c r="O105" t="s">
        <v>103</v>
      </c>
      <c r="P105" t="s">
        <v>91</v>
      </c>
      <c r="S105" t="s">
        <v>53</v>
      </c>
      <c r="T105">
        <v>2</v>
      </c>
      <c r="U105">
        <v>1</v>
      </c>
      <c r="V105">
        <v>1</v>
      </c>
      <c r="W105" t="s">
        <v>54</v>
      </c>
      <c r="X105" t="s">
        <v>83</v>
      </c>
      <c r="Y105" t="s">
        <v>97</v>
      </c>
      <c r="AA105" t="s">
        <v>38</v>
      </c>
      <c r="AB105">
        <v>1</v>
      </c>
      <c r="AC105">
        <v>1</v>
      </c>
      <c r="AD105">
        <v>1</v>
      </c>
      <c r="AE105" t="s">
        <v>67</v>
      </c>
      <c r="AI105">
        <v>6</v>
      </c>
      <c r="AJ105">
        <v>32</v>
      </c>
    </row>
    <row r="106" spans="1:36" x14ac:dyDescent="0.25">
      <c r="A106" t="s">
        <v>331</v>
      </c>
      <c r="B106">
        <v>144</v>
      </c>
      <c r="C106" t="s">
        <v>45</v>
      </c>
      <c r="D106">
        <v>3</v>
      </c>
      <c r="F106">
        <v>1</v>
      </c>
      <c r="G106" t="s">
        <v>47</v>
      </c>
      <c r="K106" t="s">
        <v>63</v>
      </c>
      <c r="L106">
        <v>2</v>
      </c>
      <c r="N106">
        <v>1</v>
      </c>
      <c r="O106" t="s">
        <v>103</v>
      </c>
      <c r="S106" t="s">
        <v>53</v>
      </c>
      <c r="T106">
        <v>2</v>
      </c>
      <c r="U106">
        <v>1</v>
      </c>
      <c r="V106">
        <v>1</v>
      </c>
      <c r="W106" t="s">
        <v>54</v>
      </c>
      <c r="X106" t="s">
        <v>83</v>
      </c>
      <c r="AA106" t="s">
        <v>38</v>
      </c>
      <c r="AB106">
        <v>1</v>
      </c>
      <c r="AC106">
        <v>1</v>
      </c>
      <c r="AD106">
        <v>2</v>
      </c>
      <c r="AE106" t="s">
        <v>67</v>
      </c>
      <c r="AI106">
        <v>6</v>
      </c>
      <c r="AJ106">
        <v>23</v>
      </c>
    </row>
    <row r="107" spans="1:36" x14ac:dyDescent="0.25">
      <c r="A107" t="s">
        <v>332</v>
      </c>
      <c r="B107">
        <v>168</v>
      </c>
      <c r="C107" t="s">
        <v>33</v>
      </c>
      <c r="D107">
        <v>1</v>
      </c>
      <c r="F107">
        <v>2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74</v>
      </c>
      <c r="Q107" t="s">
        <v>100</v>
      </c>
      <c r="S107" t="s">
        <v>56</v>
      </c>
      <c r="T107">
        <v>3</v>
      </c>
      <c r="V107">
        <v>1</v>
      </c>
      <c r="W107" t="s">
        <v>68</v>
      </c>
      <c r="X107" t="s">
        <v>122</v>
      </c>
      <c r="AA107" t="s">
        <v>48</v>
      </c>
      <c r="AB107">
        <v>2</v>
      </c>
      <c r="AD107">
        <v>1</v>
      </c>
      <c r="AE107" t="s">
        <v>89</v>
      </c>
      <c r="AI107">
        <v>7</v>
      </c>
      <c r="AJ107">
        <v>25</v>
      </c>
    </row>
    <row r="108" spans="1:36" x14ac:dyDescent="0.25">
      <c r="A108" t="s">
        <v>333</v>
      </c>
      <c r="B108">
        <v>169</v>
      </c>
      <c r="C108" t="s">
        <v>33</v>
      </c>
      <c r="D108">
        <v>1</v>
      </c>
      <c r="F108">
        <v>2</v>
      </c>
      <c r="G108" t="s">
        <v>46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2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F108" t="s">
        <v>84</v>
      </c>
      <c r="AI108">
        <v>4</v>
      </c>
      <c r="AJ108">
        <v>27</v>
      </c>
    </row>
    <row r="109" spans="1:36" x14ac:dyDescent="0.25">
      <c r="A109" t="s">
        <v>334</v>
      </c>
      <c r="B109">
        <v>170</v>
      </c>
      <c r="C109" t="s">
        <v>33</v>
      </c>
      <c r="D109">
        <v>3</v>
      </c>
      <c r="F109">
        <v>3</v>
      </c>
      <c r="G109" t="s">
        <v>46</v>
      </c>
      <c r="H109" t="s">
        <v>35</v>
      </c>
      <c r="K109" t="s">
        <v>63</v>
      </c>
      <c r="L109">
        <v>1</v>
      </c>
      <c r="N109">
        <v>1</v>
      </c>
      <c r="O109" t="s">
        <v>72</v>
      </c>
      <c r="S109" t="s">
        <v>56</v>
      </c>
      <c r="T109">
        <v>2</v>
      </c>
      <c r="V109">
        <v>1</v>
      </c>
      <c r="W109" t="s">
        <v>68</v>
      </c>
      <c r="AA109" t="s">
        <v>48</v>
      </c>
      <c r="AB109">
        <v>3</v>
      </c>
      <c r="AD109">
        <v>1</v>
      </c>
      <c r="AE109" t="s">
        <v>49</v>
      </c>
      <c r="AI109">
        <v>8</v>
      </c>
      <c r="AJ109">
        <v>24</v>
      </c>
    </row>
    <row r="110" spans="1:36" x14ac:dyDescent="0.25">
      <c r="A110" t="s">
        <v>335</v>
      </c>
      <c r="B110">
        <v>171</v>
      </c>
      <c r="C110" t="s">
        <v>56</v>
      </c>
      <c r="D110">
        <v>1</v>
      </c>
      <c r="F110">
        <v>1</v>
      </c>
      <c r="G110" t="s">
        <v>68</v>
      </c>
      <c r="H110" t="s">
        <v>69</v>
      </c>
      <c r="K110" t="s">
        <v>48</v>
      </c>
      <c r="L110">
        <v>3</v>
      </c>
      <c r="N110">
        <v>1</v>
      </c>
      <c r="O110" t="s">
        <v>89</v>
      </c>
      <c r="P110" t="s">
        <v>71</v>
      </c>
      <c r="S110" t="s">
        <v>33</v>
      </c>
      <c r="T110">
        <v>2</v>
      </c>
      <c r="V110">
        <v>2</v>
      </c>
      <c r="W110" t="s">
        <v>46</v>
      </c>
      <c r="AA110" t="s">
        <v>38</v>
      </c>
      <c r="AB110">
        <v>1</v>
      </c>
      <c r="AC110">
        <v>1</v>
      </c>
      <c r="AD110">
        <v>1</v>
      </c>
      <c r="AE110" t="s">
        <v>152</v>
      </c>
      <c r="AI110">
        <v>6</v>
      </c>
      <c r="AJ110">
        <v>31</v>
      </c>
    </row>
    <row r="111" spans="1:36" x14ac:dyDescent="0.25">
      <c r="A111" t="s">
        <v>336</v>
      </c>
      <c r="B111">
        <v>173</v>
      </c>
      <c r="C111" t="s">
        <v>56</v>
      </c>
      <c r="D111">
        <v>1</v>
      </c>
      <c r="F111">
        <v>1</v>
      </c>
      <c r="G111" t="s">
        <v>68</v>
      </c>
      <c r="H111" t="s">
        <v>122</v>
      </c>
      <c r="K111" t="s">
        <v>48</v>
      </c>
      <c r="L111">
        <v>3</v>
      </c>
      <c r="N111">
        <v>1</v>
      </c>
      <c r="O111" t="s">
        <v>89</v>
      </c>
      <c r="S111" t="s">
        <v>43</v>
      </c>
      <c r="T111">
        <v>1</v>
      </c>
      <c r="V111">
        <v>1</v>
      </c>
      <c r="W111" t="s">
        <v>135</v>
      </c>
      <c r="AA111" t="s">
        <v>45</v>
      </c>
      <c r="AB111">
        <v>2</v>
      </c>
      <c r="AD111">
        <v>1</v>
      </c>
      <c r="AE111" t="s">
        <v>47</v>
      </c>
      <c r="AI111">
        <v>4</v>
      </c>
      <c r="AJ111">
        <v>21</v>
      </c>
    </row>
    <row r="112" spans="1:36" x14ac:dyDescent="0.25">
      <c r="A112" t="s">
        <v>337</v>
      </c>
      <c r="B112">
        <v>174</v>
      </c>
      <c r="C112" t="s">
        <v>43</v>
      </c>
      <c r="D112">
        <v>2</v>
      </c>
      <c r="F112">
        <v>1</v>
      </c>
      <c r="G112" t="s">
        <v>135</v>
      </c>
      <c r="H112" t="s">
        <v>99</v>
      </c>
      <c r="K112" t="s">
        <v>63</v>
      </c>
      <c r="L112">
        <v>2</v>
      </c>
      <c r="N112">
        <v>1</v>
      </c>
      <c r="O112" t="s">
        <v>103</v>
      </c>
      <c r="P112" t="s">
        <v>91</v>
      </c>
      <c r="Q112" t="s">
        <v>104</v>
      </c>
      <c r="S112" t="s">
        <v>56</v>
      </c>
      <c r="T112">
        <v>2</v>
      </c>
      <c r="V112">
        <v>2</v>
      </c>
      <c r="W112" t="s">
        <v>68</v>
      </c>
      <c r="AA112" t="s">
        <v>48</v>
      </c>
      <c r="AB112">
        <v>3</v>
      </c>
      <c r="AD112">
        <v>1</v>
      </c>
      <c r="AE112" t="s">
        <v>49</v>
      </c>
      <c r="AI112">
        <v>9</v>
      </c>
      <c r="AJ112">
        <v>28</v>
      </c>
    </row>
    <row r="113" spans="1:36" x14ac:dyDescent="0.25">
      <c r="A113" t="s">
        <v>338</v>
      </c>
      <c r="B113">
        <v>175</v>
      </c>
      <c r="C113" t="s">
        <v>43</v>
      </c>
      <c r="D113">
        <v>1</v>
      </c>
      <c r="F113">
        <v>2</v>
      </c>
      <c r="G113" t="s">
        <v>135</v>
      </c>
      <c r="H113" t="s">
        <v>99</v>
      </c>
      <c r="I113" t="s">
        <v>100</v>
      </c>
      <c r="K113" t="s">
        <v>38</v>
      </c>
      <c r="L113">
        <v>2</v>
      </c>
      <c r="M113">
        <v>1</v>
      </c>
      <c r="N113">
        <v>2</v>
      </c>
      <c r="O113" t="s">
        <v>152</v>
      </c>
      <c r="S113" t="s">
        <v>56</v>
      </c>
      <c r="T113">
        <v>3</v>
      </c>
      <c r="V113">
        <v>1</v>
      </c>
      <c r="W113" t="s">
        <v>68</v>
      </c>
      <c r="X113" t="s">
        <v>122</v>
      </c>
      <c r="AA113" t="s">
        <v>48</v>
      </c>
      <c r="AB113">
        <v>2</v>
      </c>
      <c r="AD113">
        <v>1</v>
      </c>
      <c r="AE113" t="s">
        <v>89</v>
      </c>
      <c r="AI113">
        <v>9</v>
      </c>
      <c r="AJ113">
        <v>31</v>
      </c>
    </row>
    <row r="114" spans="1:36" x14ac:dyDescent="0.25">
      <c r="A114" t="s">
        <v>339</v>
      </c>
      <c r="B114">
        <v>177</v>
      </c>
      <c r="C114" t="s">
        <v>56</v>
      </c>
      <c r="D114">
        <v>1</v>
      </c>
      <c r="F114">
        <v>1</v>
      </c>
      <c r="G114" t="s">
        <v>68</v>
      </c>
      <c r="K114" t="s">
        <v>48</v>
      </c>
      <c r="L114">
        <v>3</v>
      </c>
      <c r="N114">
        <v>2</v>
      </c>
      <c r="O114" t="s">
        <v>49</v>
      </c>
      <c r="P114" t="s">
        <v>84</v>
      </c>
      <c r="Q114" t="s">
        <v>90</v>
      </c>
      <c r="S114" t="s">
        <v>45</v>
      </c>
      <c r="T114">
        <v>3</v>
      </c>
      <c r="V114">
        <v>1</v>
      </c>
      <c r="W114" t="s">
        <v>47</v>
      </c>
      <c r="AA114" t="s">
        <v>63</v>
      </c>
      <c r="AB114">
        <v>1</v>
      </c>
      <c r="AD114">
        <v>1</v>
      </c>
      <c r="AE114" t="s">
        <v>72</v>
      </c>
      <c r="AI114">
        <v>7</v>
      </c>
      <c r="AJ114">
        <v>37</v>
      </c>
    </row>
    <row r="115" spans="1:36" x14ac:dyDescent="0.25">
      <c r="A115" t="s">
        <v>340</v>
      </c>
      <c r="B115">
        <v>178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3</v>
      </c>
      <c r="N115">
        <v>2</v>
      </c>
      <c r="O115" t="s">
        <v>89</v>
      </c>
      <c r="S115" t="s">
        <v>45</v>
      </c>
      <c r="T115">
        <v>2</v>
      </c>
      <c r="V115">
        <v>1</v>
      </c>
      <c r="W115" t="s">
        <v>47</v>
      </c>
      <c r="AA115" t="s">
        <v>38</v>
      </c>
      <c r="AB115">
        <v>1</v>
      </c>
      <c r="AC115">
        <v>1</v>
      </c>
      <c r="AD115">
        <v>1</v>
      </c>
      <c r="AE115" t="s">
        <v>152</v>
      </c>
      <c r="AF115" t="s">
        <v>96</v>
      </c>
      <c r="AI115">
        <v>5</v>
      </c>
      <c r="AJ115">
        <v>22</v>
      </c>
    </row>
    <row r="116" spans="1:36" x14ac:dyDescent="0.25">
      <c r="A116" t="s">
        <v>341</v>
      </c>
      <c r="B116">
        <v>180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K116" t="s">
        <v>48</v>
      </c>
      <c r="L116">
        <v>3</v>
      </c>
      <c r="N116">
        <v>1</v>
      </c>
      <c r="O116" t="s">
        <v>49</v>
      </c>
      <c r="S116" t="s">
        <v>63</v>
      </c>
      <c r="T116">
        <v>1</v>
      </c>
      <c r="V116">
        <v>1</v>
      </c>
      <c r="W116" t="s">
        <v>72</v>
      </c>
      <c r="AA116" t="s">
        <v>38</v>
      </c>
      <c r="AB116">
        <v>1</v>
      </c>
      <c r="AC116">
        <v>1</v>
      </c>
      <c r="AD116">
        <v>2</v>
      </c>
      <c r="AE116" t="s">
        <v>152</v>
      </c>
      <c r="AI116">
        <v>4</v>
      </c>
      <c r="AJ116">
        <v>23</v>
      </c>
    </row>
    <row r="117" spans="1:36" x14ac:dyDescent="0.25">
      <c r="A117" t="s">
        <v>342</v>
      </c>
      <c r="B117">
        <v>183</v>
      </c>
      <c r="C117" t="s">
        <v>48</v>
      </c>
      <c r="D117">
        <v>3</v>
      </c>
      <c r="F117">
        <v>3</v>
      </c>
      <c r="G117" t="s">
        <v>49</v>
      </c>
      <c r="H117" t="s">
        <v>84</v>
      </c>
      <c r="I117" t="s">
        <v>127</v>
      </c>
      <c r="J117" t="s">
        <v>128</v>
      </c>
      <c r="K117" t="s">
        <v>43</v>
      </c>
      <c r="L117">
        <v>3</v>
      </c>
      <c r="N117">
        <v>1</v>
      </c>
      <c r="O117" t="s">
        <v>135</v>
      </c>
      <c r="P117" t="s">
        <v>136</v>
      </c>
      <c r="S117" t="s">
        <v>56</v>
      </c>
      <c r="T117">
        <v>3</v>
      </c>
      <c r="V117">
        <v>2</v>
      </c>
      <c r="W117" t="s">
        <v>68</v>
      </c>
      <c r="AA117" t="s">
        <v>33</v>
      </c>
      <c r="AB117">
        <v>3</v>
      </c>
      <c r="AD117">
        <v>3</v>
      </c>
      <c r="AE117" t="s">
        <v>46</v>
      </c>
      <c r="AI117">
        <v>17</v>
      </c>
      <c r="AJ117">
        <v>50</v>
      </c>
    </row>
    <row r="118" spans="1:36" x14ac:dyDescent="0.25">
      <c r="A118" t="s">
        <v>343</v>
      </c>
      <c r="B118">
        <v>184</v>
      </c>
      <c r="C118" t="s">
        <v>56</v>
      </c>
      <c r="D118">
        <v>1</v>
      </c>
      <c r="F118">
        <v>3</v>
      </c>
      <c r="G118" t="s">
        <v>68</v>
      </c>
      <c r="H118" t="s">
        <v>69</v>
      </c>
      <c r="I118" t="s">
        <v>85</v>
      </c>
      <c r="J118" t="s">
        <v>125</v>
      </c>
      <c r="K118" t="s">
        <v>33</v>
      </c>
      <c r="L118">
        <v>2</v>
      </c>
      <c r="N118">
        <v>3</v>
      </c>
      <c r="O118" t="s">
        <v>46</v>
      </c>
      <c r="S118" t="s">
        <v>48</v>
      </c>
      <c r="T118">
        <v>1</v>
      </c>
      <c r="V118">
        <v>1</v>
      </c>
      <c r="W118" t="s">
        <v>49</v>
      </c>
      <c r="AA118" t="s">
        <v>45</v>
      </c>
      <c r="AB118">
        <v>3</v>
      </c>
      <c r="AD118">
        <v>1</v>
      </c>
      <c r="AE118" t="s">
        <v>47</v>
      </c>
      <c r="AI118">
        <v>10</v>
      </c>
      <c r="AJ118">
        <v>31</v>
      </c>
    </row>
    <row r="119" spans="1:36" x14ac:dyDescent="0.25">
      <c r="A119" t="s">
        <v>344</v>
      </c>
      <c r="B119">
        <v>185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1</v>
      </c>
      <c r="N119">
        <v>2</v>
      </c>
      <c r="O119" t="s">
        <v>46</v>
      </c>
      <c r="S119" t="s">
        <v>48</v>
      </c>
      <c r="T119">
        <v>1</v>
      </c>
      <c r="V119">
        <v>1</v>
      </c>
      <c r="W119" t="s">
        <v>89</v>
      </c>
      <c r="AA119" t="s">
        <v>63</v>
      </c>
      <c r="AB119">
        <v>1</v>
      </c>
      <c r="AD119">
        <v>1</v>
      </c>
      <c r="AE119" t="s">
        <v>72</v>
      </c>
      <c r="AF119" t="s">
        <v>91</v>
      </c>
      <c r="AI119">
        <v>2</v>
      </c>
      <c r="AJ119">
        <v>23</v>
      </c>
    </row>
    <row r="120" spans="1:36" x14ac:dyDescent="0.25">
      <c r="A120" t="s">
        <v>345</v>
      </c>
      <c r="B120">
        <v>186</v>
      </c>
      <c r="C120" t="s">
        <v>48</v>
      </c>
      <c r="D120">
        <v>1</v>
      </c>
      <c r="F120">
        <v>1</v>
      </c>
      <c r="G120" t="s">
        <v>89</v>
      </c>
      <c r="H120" t="s">
        <v>50</v>
      </c>
      <c r="K120" t="s">
        <v>38</v>
      </c>
      <c r="L120">
        <v>2</v>
      </c>
      <c r="M120">
        <v>1</v>
      </c>
      <c r="N120">
        <v>3</v>
      </c>
      <c r="O120" t="s">
        <v>152</v>
      </c>
      <c r="P120" t="s">
        <v>70</v>
      </c>
      <c r="S120" t="s">
        <v>56</v>
      </c>
      <c r="T120">
        <v>1</v>
      </c>
      <c r="V120">
        <v>2</v>
      </c>
      <c r="W120" t="s">
        <v>68</v>
      </c>
      <c r="X120" t="s">
        <v>122</v>
      </c>
      <c r="AA120" t="s">
        <v>33</v>
      </c>
      <c r="AB120">
        <v>1</v>
      </c>
      <c r="AD120">
        <v>3</v>
      </c>
      <c r="AE120" t="s">
        <v>46</v>
      </c>
      <c r="AI120">
        <v>9</v>
      </c>
      <c r="AJ120">
        <v>29</v>
      </c>
    </row>
    <row r="121" spans="1:36" x14ac:dyDescent="0.25">
      <c r="A121" t="s">
        <v>346</v>
      </c>
      <c r="B121">
        <v>188</v>
      </c>
      <c r="C121" t="s">
        <v>56</v>
      </c>
      <c r="D121">
        <v>2</v>
      </c>
      <c r="F121">
        <v>1</v>
      </c>
      <c r="G121" t="s">
        <v>68</v>
      </c>
      <c r="K121" t="s">
        <v>33</v>
      </c>
      <c r="L121">
        <v>2</v>
      </c>
      <c r="N121">
        <v>2</v>
      </c>
      <c r="O121" t="s">
        <v>46</v>
      </c>
      <c r="S121" t="s">
        <v>43</v>
      </c>
      <c r="T121">
        <v>3</v>
      </c>
      <c r="V121">
        <v>1</v>
      </c>
      <c r="W121" t="s">
        <v>135</v>
      </c>
      <c r="X121" t="s">
        <v>136</v>
      </c>
      <c r="AA121" t="s">
        <v>45</v>
      </c>
      <c r="AB121">
        <v>2</v>
      </c>
      <c r="AD121">
        <v>1</v>
      </c>
      <c r="AE121" t="s">
        <v>47</v>
      </c>
      <c r="AI121">
        <v>7</v>
      </c>
      <c r="AJ121">
        <v>24</v>
      </c>
    </row>
    <row r="122" spans="1:36" x14ac:dyDescent="0.25">
      <c r="A122" t="s">
        <v>347</v>
      </c>
      <c r="B122">
        <v>189</v>
      </c>
      <c r="C122" t="s">
        <v>56</v>
      </c>
      <c r="D122">
        <v>1</v>
      </c>
      <c r="F122">
        <v>1</v>
      </c>
      <c r="G122" t="s">
        <v>68</v>
      </c>
      <c r="K122" t="s">
        <v>33</v>
      </c>
      <c r="L122">
        <v>1</v>
      </c>
      <c r="N122">
        <v>2</v>
      </c>
      <c r="O122" t="s">
        <v>46</v>
      </c>
      <c r="S122" t="s">
        <v>43</v>
      </c>
      <c r="T122">
        <v>1</v>
      </c>
      <c r="V122">
        <v>1</v>
      </c>
      <c r="W122" t="s">
        <v>135</v>
      </c>
      <c r="X122" t="s">
        <v>136</v>
      </c>
      <c r="AA122" t="s">
        <v>63</v>
      </c>
      <c r="AB122">
        <v>1</v>
      </c>
      <c r="AD122">
        <v>1</v>
      </c>
      <c r="AE122" t="s">
        <v>72</v>
      </c>
      <c r="AF122" t="s">
        <v>91</v>
      </c>
      <c r="AI122">
        <v>3</v>
      </c>
      <c r="AJ122">
        <v>25</v>
      </c>
    </row>
    <row r="123" spans="1:36" x14ac:dyDescent="0.25">
      <c r="A123" t="s">
        <v>348</v>
      </c>
      <c r="B123">
        <v>190</v>
      </c>
      <c r="C123" t="s">
        <v>43</v>
      </c>
      <c r="D123">
        <v>3</v>
      </c>
      <c r="F123">
        <v>1</v>
      </c>
      <c r="G123" t="s">
        <v>135</v>
      </c>
      <c r="H123" t="s">
        <v>99</v>
      </c>
      <c r="K123" t="s">
        <v>38</v>
      </c>
      <c r="L123">
        <v>2</v>
      </c>
      <c r="M123">
        <v>1</v>
      </c>
      <c r="N123">
        <v>2</v>
      </c>
      <c r="O123" t="s">
        <v>67</v>
      </c>
      <c r="S123" t="s">
        <v>56</v>
      </c>
      <c r="T123">
        <v>2</v>
      </c>
      <c r="V123">
        <v>1</v>
      </c>
      <c r="W123" t="s">
        <v>68</v>
      </c>
      <c r="AA123" t="s">
        <v>33</v>
      </c>
      <c r="AB123">
        <v>1</v>
      </c>
      <c r="AD123">
        <v>2</v>
      </c>
      <c r="AE123" t="s">
        <v>46</v>
      </c>
      <c r="AI123">
        <v>7</v>
      </c>
      <c r="AJ123">
        <v>25</v>
      </c>
    </row>
    <row r="124" spans="1:36" x14ac:dyDescent="0.25">
      <c r="A124" t="s">
        <v>349</v>
      </c>
      <c r="B124">
        <v>192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1</v>
      </c>
      <c r="N124">
        <v>2</v>
      </c>
      <c r="O124" t="s">
        <v>46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1</v>
      </c>
      <c r="AD124">
        <v>1</v>
      </c>
      <c r="AE124" t="s">
        <v>72</v>
      </c>
      <c r="AI124">
        <v>2</v>
      </c>
      <c r="AJ124">
        <v>17</v>
      </c>
    </row>
    <row r="125" spans="1:36" x14ac:dyDescent="0.25">
      <c r="A125" t="s">
        <v>350</v>
      </c>
      <c r="B125">
        <v>193</v>
      </c>
      <c r="C125" t="s">
        <v>45</v>
      </c>
      <c r="D125">
        <v>2</v>
      </c>
      <c r="F125">
        <v>1</v>
      </c>
      <c r="G125" t="s">
        <v>47</v>
      </c>
      <c r="K125" t="s">
        <v>38</v>
      </c>
      <c r="L125">
        <v>1</v>
      </c>
      <c r="M125">
        <v>2</v>
      </c>
      <c r="N125">
        <v>2</v>
      </c>
      <c r="O125" t="s">
        <v>152</v>
      </c>
      <c r="S125" t="s">
        <v>56</v>
      </c>
      <c r="T125">
        <v>1</v>
      </c>
      <c r="V125">
        <v>2</v>
      </c>
      <c r="W125" t="s">
        <v>68</v>
      </c>
      <c r="AA125" t="s">
        <v>33</v>
      </c>
      <c r="AB125">
        <v>1</v>
      </c>
      <c r="AD125">
        <v>2</v>
      </c>
      <c r="AE125" t="s">
        <v>46</v>
      </c>
      <c r="AI125">
        <v>5</v>
      </c>
      <c r="AJ125">
        <v>28</v>
      </c>
    </row>
    <row r="126" spans="1:36" x14ac:dyDescent="0.25">
      <c r="A126" t="s">
        <v>351</v>
      </c>
      <c r="B126">
        <v>195</v>
      </c>
      <c r="C126" t="s">
        <v>56</v>
      </c>
      <c r="D126">
        <v>2</v>
      </c>
      <c r="F126">
        <v>1</v>
      </c>
      <c r="G126" t="s">
        <v>68</v>
      </c>
      <c r="H126" t="s">
        <v>122</v>
      </c>
      <c r="I126" t="s">
        <v>85</v>
      </c>
      <c r="K126" t="s">
        <v>33</v>
      </c>
      <c r="L126">
        <v>1</v>
      </c>
      <c r="N126">
        <v>2</v>
      </c>
      <c r="O126" t="s">
        <v>46</v>
      </c>
      <c r="S126" t="s">
        <v>63</v>
      </c>
      <c r="T126">
        <v>1</v>
      </c>
      <c r="V126">
        <v>1</v>
      </c>
      <c r="W126" t="s">
        <v>72</v>
      </c>
      <c r="AA126" t="s">
        <v>38</v>
      </c>
      <c r="AB126">
        <v>1</v>
      </c>
      <c r="AC126">
        <v>2</v>
      </c>
      <c r="AD126">
        <v>3</v>
      </c>
      <c r="AE126" t="s">
        <v>67</v>
      </c>
      <c r="AI126">
        <v>7</v>
      </c>
      <c r="AJ126">
        <v>23</v>
      </c>
    </row>
    <row r="127" spans="1:36" x14ac:dyDescent="0.25">
      <c r="A127" t="s">
        <v>352</v>
      </c>
      <c r="B127">
        <v>198</v>
      </c>
      <c r="C127" t="s">
        <v>48</v>
      </c>
      <c r="D127">
        <v>1</v>
      </c>
      <c r="F127">
        <v>1</v>
      </c>
      <c r="G127" t="s">
        <v>49</v>
      </c>
      <c r="H127" t="s">
        <v>71</v>
      </c>
      <c r="K127" t="s">
        <v>33</v>
      </c>
      <c r="L127">
        <v>2</v>
      </c>
      <c r="N127">
        <v>1</v>
      </c>
      <c r="O127" t="s">
        <v>46</v>
      </c>
      <c r="P127" t="s">
        <v>35</v>
      </c>
      <c r="S127" t="s">
        <v>56</v>
      </c>
      <c r="T127">
        <v>1</v>
      </c>
      <c r="V127">
        <v>2</v>
      </c>
      <c r="W127" t="s">
        <v>68</v>
      </c>
      <c r="AA127" t="s">
        <v>43</v>
      </c>
      <c r="AB127">
        <v>2</v>
      </c>
      <c r="AD127">
        <v>1</v>
      </c>
      <c r="AE127" t="s">
        <v>135</v>
      </c>
      <c r="AI127">
        <v>5</v>
      </c>
      <c r="AJ127">
        <v>21</v>
      </c>
    </row>
    <row r="128" spans="1:36" x14ac:dyDescent="0.25">
      <c r="A128" t="s">
        <v>353</v>
      </c>
      <c r="B128">
        <v>199</v>
      </c>
      <c r="C128" t="s">
        <v>48</v>
      </c>
      <c r="D128">
        <v>2</v>
      </c>
      <c r="F128">
        <v>2</v>
      </c>
      <c r="G128" t="s">
        <v>49</v>
      </c>
      <c r="K128" t="s">
        <v>45</v>
      </c>
      <c r="L128">
        <v>2</v>
      </c>
      <c r="N128">
        <v>1</v>
      </c>
      <c r="O128" t="s">
        <v>47</v>
      </c>
      <c r="S128" t="s">
        <v>56</v>
      </c>
      <c r="T128">
        <v>3</v>
      </c>
      <c r="V128">
        <v>1</v>
      </c>
      <c r="W128" t="s">
        <v>68</v>
      </c>
      <c r="X128" t="s">
        <v>122</v>
      </c>
      <c r="AA128" t="s">
        <v>43</v>
      </c>
      <c r="AB128">
        <v>2</v>
      </c>
      <c r="AD128">
        <v>1</v>
      </c>
      <c r="AE128" t="s">
        <v>135</v>
      </c>
      <c r="AF128" t="s">
        <v>136</v>
      </c>
      <c r="AI128">
        <v>8</v>
      </c>
      <c r="AJ128">
        <v>31</v>
      </c>
    </row>
    <row r="129" spans="1:36" x14ac:dyDescent="0.25">
      <c r="A129" t="s">
        <v>354</v>
      </c>
      <c r="B129">
        <v>200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2</v>
      </c>
      <c r="N129">
        <v>1</v>
      </c>
      <c r="O129" t="s">
        <v>135</v>
      </c>
      <c r="S129" t="s">
        <v>48</v>
      </c>
      <c r="T129">
        <v>1</v>
      </c>
      <c r="V129">
        <v>1</v>
      </c>
      <c r="W129" t="s">
        <v>49</v>
      </c>
      <c r="AA129" t="s">
        <v>63</v>
      </c>
      <c r="AB129">
        <v>1</v>
      </c>
      <c r="AD129">
        <v>1</v>
      </c>
      <c r="AE129" t="s">
        <v>72</v>
      </c>
      <c r="AI129">
        <v>1</v>
      </c>
      <c r="AJ129">
        <v>24</v>
      </c>
    </row>
    <row r="130" spans="1:36" x14ac:dyDescent="0.25">
      <c r="A130" t="s">
        <v>355</v>
      </c>
      <c r="B130">
        <v>201</v>
      </c>
      <c r="C130" t="s">
        <v>48</v>
      </c>
      <c r="D130">
        <v>1</v>
      </c>
      <c r="F130">
        <v>2</v>
      </c>
      <c r="G130" t="s">
        <v>49</v>
      </c>
      <c r="H130" t="s">
        <v>84</v>
      </c>
      <c r="I130" t="s">
        <v>90</v>
      </c>
      <c r="J130" t="s">
        <v>129</v>
      </c>
      <c r="K130" t="s">
        <v>38</v>
      </c>
      <c r="L130">
        <v>1</v>
      </c>
      <c r="M130">
        <v>2</v>
      </c>
      <c r="N130">
        <v>1</v>
      </c>
      <c r="O130" t="s">
        <v>152</v>
      </c>
      <c r="P130" t="s">
        <v>70</v>
      </c>
      <c r="S130" t="s">
        <v>56</v>
      </c>
      <c r="T130">
        <v>3</v>
      </c>
      <c r="V130">
        <v>1</v>
      </c>
      <c r="W130" t="s">
        <v>68</v>
      </c>
      <c r="X130" t="s">
        <v>122</v>
      </c>
      <c r="AA130" t="s">
        <v>43</v>
      </c>
      <c r="AB130">
        <v>1</v>
      </c>
      <c r="AD130">
        <v>1</v>
      </c>
      <c r="AE130" t="s">
        <v>135</v>
      </c>
      <c r="AI130">
        <v>9</v>
      </c>
      <c r="AJ130">
        <v>35</v>
      </c>
    </row>
    <row r="131" spans="1:36" x14ac:dyDescent="0.25">
      <c r="A131" t="s">
        <v>356</v>
      </c>
      <c r="B131">
        <v>203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1</v>
      </c>
      <c r="N131">
        <v>3</v>
      </c>
      <c r="O131" t="s">
        <v>135</v>
      </c>
      <c r="P131" t="s">
        <v>136</v>
      </c>
      <c r="S131" t="s">
        <v>33</v>
      </c>
      <c r="T131">
        <v>1</v>
      </c>
      <c r="V131">
        <v>1</v>
      </c>
      <c r="W131" t="s">
        <v>46</v>
      </c>
      <c r="AA131" t="s">
        <v>45</v>
      </c>
      <c r="AB131">
        <v>2</v>
      </c>
      <c r="AD131">
        <v>1</v>
      </c>
      <c r="AE131" t="s">
        <v>47</v>
      </c>
      <c r="AI131">
        <v>4</v>
      </c>
      <c r="AJ131">
        <v>19</v>
      </c>
    </row>
    <row r="132" spans="1:36" x14ac:dyDescent="0.25">
      <c r="A132" t="s">
        <v>357</v>
      </c>
      <c r="B132">
        <v>204</v>
      </c>
      <c r="C132" t="s">
        <v>33</v>
      </c>
      <c r="D132">
        <v>2</v>
      </c>
      <c r="F132">
        <v>3</v>
      </c>
      <c r="G132" t="s">
        <v>46</v>
      </c>
      <c r="H132" t="s">
        <v>66</v>
      </c>
      <c r="K132" t="s">
        <v>63</v>
      </c>
      <c r="L132">
        <v>1</v>
      </c>
      <c r="N132">
        <v>1</v>
      </c>
      <c r="O132" t="s">
        <v>145</v>
      </c>
      <c r="S132" t="s">
        <v>56</v>
      </c>
      <c r="T132">
        <v>1</v>
      </c>
      <c r="V132">
        <v>1</v>
      </c>
      <c r="W132" t="s">
        <v>68</v>
      </c>
      <c r="AA132" t="s">
        <v>43</v>
      </c>
      <c r="AB132">
        <v>3</v>
      </c>
      <c r="AD132">
        <v>1</v>
      </c>
      <c r="AE132" t="s">
        <v>135</v>
      </c>
      <c r="AF132" t="s">
        <v>74</v>
      </c>
      <c r="AI132">
        <v>7</v>
      </c>
      <c r="AJ132">
        <v>23</v>
      </c>
    </row>
    <row r="133" spans="1:36" x14ac:dyDescent="0.25">
      <c r="A133" t="s">
        <v>358</v>
      </c>
      <c r="B133">
        <v>205</v>
      </c>
      <c r="C133" t="s">
        <v>33</v>
      </c>
      <c r="D133">
        <v>1</v>
      </c>
      <c r="F133">
        <v>2</v>
      </c>
      <c r="G133" t="s">
        <v>46</v>
      </c>
      <c r="K133" t="s">
        <v>38</v>
      </c>
      <c r="L133">
        <v>1</v>
      </c>
      <c r="M133">
        <v>1</v>
      </c>
      <c r="N133">
        <v>3</v>
      </c>
      <c r="O133" t="s">
        <v>67</v>
      </c>
      <c r="P133" t="s">
        <v>70</v>
      </c>
      <c r="S133" t="s">
        <v>56</v>
      </c>
      <c r="T133">
        <v>2</v>
      </c>
      <c r="V133">
        <v>1</v>
      </c>
      <c r="W133" t="s">
        <v>68</v>
      </c>
      <c r="X133" t="s">
        <v>122</v>
      </c>
      <c r="AA133" t="s">
        <v>43</v>
      </c>
      <c r="AB133">
        <v>1</v>
      </c>
      <c r="AD133">
        <v>1</v>
      </c>
      <c r="AE133" t="s">
        <v>135</v>
      </c>
      <c r="AI133">
        <v>6</v>
      </c>
      <c r="AJ133">
        <v>24</v>
      </c>
    </row>
    <row r="134" spans="1:36" x14ac:dyDescent="0.25">
      <c r="A134" t="s">
        <v>359</v>
      </c>
      <c r="B134">
        <v>207</v>
      </c>
      <c r="C134" t="s">
        <v>45</v>
      </c>
      <c r="D134">
        <v>2</v>
      </c>
      <c r="F134">
        <v>1</v>
      </c>
      <c r="G134" t="s">
        <v>47</v>
      </c>
      <c r="K134" t="s">
        <v>63</v>
      </c>
      <c r="L134">
        <v>3</v>
      </c>
      <c r="N134">
        <v>1</v>
      </c>
      <c r="O134" t="s">
        <v>72</v>
      </c>
      <c r="P134" t="s">
        <v>146</v>
      </c>
      <c r="S134" t="s">
        <v>56</v>
      </c>
      <c r="T134">
        <v>2</v>
      </c>
      <c r="V134">
        <v>1</v>
      </c>
      <c r="W134" t="s">
        <v>68</v>
      </c>
      <c r="AA134" t="s">
        <v>43</v>
      </c>
      <c r="AB134">
        <v>2</v>
      </c>
      <c r="AD134">
        <v>3</v>
      </c>
      <c r="AE134" t="s">
        <v>135</v>
      </c>
      <c r="AF134" t="s">
        <v>136</v>
      </c>
      <c r="AG134" t="s">
        <v>100</v>
      </c>
      <c r="AI134">
        <v>10</v>
      </c>
      <c r="AJ134">
        <v>37</v>
      </c>
    </row>
    <row r="135" spans="1:36" x14ac:dyDescent="0.25">
      <c r="A135" t="s">
        <v>360</v>
      </c>
      <c r="B135">
        <v>208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1</v>
      </c>
      <c r="M135">
        <v>1</v>
      </c>
      <c r="N135">
        <v>1</v>
      </c>
      <c r="O135" t="s">
        <v>152</v>
      </c>
      <c r="P135" t="s">
        <v>70</v>
      </c>
      <c r="S135" t="s">
        <v>56</v>
      </c>
      <c r="T135">
        <v>2</v>
      </c>
      <c r="V135">
        <v>1</v>
      </c>
      <c r="W135" t="s">
        <v>68</v>
      </c>
      <c r="AA135" t="s">
        <v>43</v>
      </c>
      <c r="AB135">
        <v>2</v>
      </c>
      <c r="AD135">
        <v>1</v>
      </c>
      <c r="AE135" t="s">
        <v>135</v>
      </c>
      <c r="AF135" t="s">
        <v>99</v>
      </c>
      <c r="AI135">
        <v>6</v>
      </c>
      <c r="AJ135">
        <v>21</v>
      </c>
    </row>
    <row r="136" spans="1:36" x14ac:dyDescent="0.25">
      <c r="A136" t="s">
        <v>361</v>
      </c>
      <c r="B136">
        <v>210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I136" t="s">
        <v>85</v>
      </c>
      <c r="K136" t="s">
        <v>43</v>
      </c>
      <c r="L136">
        <v>2</v>
      </c>
      <c r="N136">
        <v>1</v>
      </c>
      <c r="O136" t="s">
        <v>135</v>
      </c>
      <c r="P136" t="s">
        <v>74</v>
      </c>
      <c r="S136" t="s">
        <v>63</v>
      </c>
      <c r="T136">
        <v>1</v>
      </c>
      <c r="V136">
        <v>1</v>
      </c>
      <c r="W136" t="s">
        <v>72</v>
      </c>
      <c r="AA136" t="s">
        <v>38</v>
      </c>
      <c r="AB136">
        <v>1</v>
      </c>
      <c r="AC136">
        <v>2</v>
      </c>
      <c r="AD136">
        <v>2</v>
      </c>
      <c r="AE136" t="s">
        <v>152</v>
      </c>
      <c r="AI136">
        <v>6</v>
      </c>
      <c r="AJ136">
        <v>18</v>
      </c>
    </row>
    <row r="137" spans="1:36" x14ac:dyDescent="0.25">
      <c r="A137" t="s">
        <v>362</v>
      </c>
      <c r="B137">
        <v>213</v>
      </c>
      <c r="C137" t="s">
        <v>48</v>
      </c>
      <c r="D137">
        <v>1</v>
      </c>
      <c r="F137">
        <v>1</v>
      </c>
      <c r="G137" t="s">
        <v>49</v>
      </c>
      <c r="K137" t="s">
        <v>33</v>
      </c>
      <c r="L137">
        <v>1</v>
      </c>
      <c r="N137">
        <v>2</v>
      </c>
      <c r="O137" t="s">
        <v>46</v>
      </c>
      <c r="S137" t="s">
        <v>56</v>
      </c>
      <c r="T137">
        <v>1</v>
      </c>
      <c r="V137">
        <v>1</v>
      </c>
      <c r="W137" t="s">
        <v>68</v>
      </c>
      <c r="AA137" t="s">
        <v>45</v>
      </c>
      <c r="AB137">
        <v>1</v>
      </c>
      <c r="AD137">
        <v>1</v>
      </c>
      <c r="AE137" t="s">
        <v>47</v>
      </c>
      <c r="AI137">
        <v>1</v>
      </c>
      <c r="AJ137">
        <v>19</v>
      </c>
    </row>
    <row r="138" spans="1:36" x14ac:dyDescent="0.25">
      <c r="A138" t="s">
        <v>363</v>
      </c>
      <c r="B138">
        <v>214</v>
      </c>
      <c r="C138" t="s">
        <v>56</v>
      </c>
      <c r="D138">
        <v>2</v>
      </c>
      <c r="F138">
        <v>3</v>
      </c>
      <c r="G138" t="s">
        <v>68</v>
      </c>
      <c r="K138" t="s">
        <v>45</v>
      </c>
      <c r="L138">
        <v>2</v>
      </c>
      <c r="N138">
        <v>1</v>
      </c>
      <c r="O138" t="s">
        <v>47</v>
      </c>
      <c r="S138" t="s">
        <v>48</v>
      </c>
      <c r="T138">
        <v>1</v>
      </c>
      <c r="V138">
        <v>1</v>
      </c>
      <c r="W138" t="s">
        <v>49</v>
      </c>
      <c r="AA138" t="s">
        <v>43</v>
      </c>
      <c r="AB138">
        <v>2</v>
      </c>
      <c r="AD138">
        <v>1</v>
      </c>
      <c r="AE138" t="s">
        <v>135</v>
      </c>
      <c r="AF138" t="s">
        <v>99</v>
      </c>
      <c r="AG138" t="s">
        <v>100</v>
      </c>
      <c r="AH138" t="s">
        <v>139</v>
      </c>
      <c r="AI138">
        <v>8</v>
      </c>
      <c r="AJ138">
        <v>37</v>
      </c>
    </row>
    <row r="139" spans="1:36" x14ac:dyDescent="0.25">
      <c r="A139" t="s">
        <v>364</v>
      </c>
      <c r="B139">
        <v>215</v>
      </c>
      <c r="C139" t="s">
        <v>56</v>
      </c>
      <c r="D139">
        <v>1</v>
      </c>
      <c r="F139">
        <v>2</v>
      </c>
      <c r="G139" t="s">
        <v>57</v>
      </c>
      <c r="K139" t="s">
        <v>45</v>
      </c>
      <c r="L139">
        <v>2</v>
      </c>
      <c r="N139">
        <v>1</v>
      </c>
      <c r="O139" t="s">
        <v>47</v>
      </c>
      <c r="S139" t="s">
        <v>48</v>
      </c>
      <c r="T139">
        <v>2</v>
      </c>
      <c r="V139">
        <v>1</v>
      </c>
      <c r="W139" t="s">
        <v>89</v>
      </c>
      <c r="AA139" t="s">
        <v>63</v>
      </c>
      <c r="AB139">
        <v>1</v>
      </c>
      <c r="AD139">
        <v>1</v>
      </c>
      <c r="AE139" t="s">
        <v>72</v>
      </c>
      <c r="AI139">
        <v>3</v>
      </c>
      <c r="AJ139">
        <v>20</v>
      </c>
    </row>
    <row r="140" spans="1:36" x14ac:dyDescent="0.25">
      <c r="A140" t="s">
        <v>365</v>
      </c>
      <c r="B140">
        <v>216</v>
      </c>
      <c r="C140" t="s">
        <v>56</v>
      </c>
      <c r="D140">
        <v>1</v>
      </c>
      <c r="F140">
        <v>1</v>
      </c>
      <c r="G140" t="s">
        <v>57</v>
      </c>
      <c r="K140" t="s">
        <v>45</v>
      </c>
      <c r="L140">
        <v>3</v>
      </c>
      <c r="N140">
        <v>1</v>
      </c>
      <c r="O140" t="s">
        <v>47</v>
      </c>
      <c r="S140" t="s">
        <v>48</v>
      </c>
      <c r="T140">
        <v>1</v>
      </c>
      <c r="V140">
        <v>1</v>
      </c>
      <c r="W140" t="s">
        <v>49</v>
      </c>
      <c r="AA140" t="s">
        <v>38</v>
      </c>
      <c r="AB140">
        <v>1</v>
      </c>
      <c r="AC140">
        <v>1</v>
      </c>
      <c r="AD140">
        <v>2</v>
      </c>
      <c r="AE140" t="s">
        <v>152</v>
      </c>
      <c r="AI140">
        <v>3</v>
      </c>
      <c r="AJ140">
        <v>20</v>
      </c>
    </row>
    <row r="141" spans="1:36" x14ac:dyDescent="0.25">
      <c r="A141" t="s">
        <v>366</v>
      </c>
      <c r="B141">
        <v>218</v>
      </c>
      <c r="C141" t="s">
        <v>56</v>
      </c>
      <c r="D141">
        <v>1</v>
      </c>
      <c r="F141">
        <v>2</v>
      </c>
      <c r="G141" t="s">
        <v>120</v>
      </c>
      <c r="K141" t="s">
        <v>45</v>
      </c>
      <c r="L141">
        <v>2</v>
      </c>
      <c r="N141">
        <v>1</v>
      </c>
      <c r="O141" t="s">
        <v>140</v>
      </c>
      <c r="S141" t="s">
        <v>33</v>
      </c>
      <c r="T141">
        <v>1</v>
      </c>
      <c r="V141">
        <v>1</v>
      </c>
      <c r="W141" t="s">
        <v>46</v>
      </c>
      <c r="AA141" t="s">
        <v>43</v>
      </c>
      <c r="AB141">
        <v>3</v>
      </c>
      <c r="AD141">
        <v>1</v>
      </c>
      <c r="AE141" t="s">
        <v>135</v>
      </c>
      <c r="AF141" t="s">
        <v>74</v>
      </c>
      <c r="AI141">
        <v>5</v>
      </c>
      <c r="AJ141">
        <v>16</v>
      </c>
    </row>
    <row r="142" spans="1:36" x14ac:dyDescent="0.25">
      <c r="A142" t="s">
        <v>367</v>
      </c>
      <c r="B142">
        <v>219</v>
      </c>
      <c r="C142" t="s">
        <v>33</v>
      </c>
      <c r="D142">
        <v>1</v>
      </c>
      <c r="F142">
        <v>2</v>
      </c>
      <c r="G142" t="s">
        <v>46</v>
      </c>
      <c r="K142" t="s">
        <v>63</v>
      </c>
      <c r="L142">
        <v>1</v>
      </c>
      <c r="N142">
        <v>1</v>
      </c>
      <c r="O142" t="s">
        <v>72</v>
      </c>
      <c r="P142" t="s">
        <v>95</v>
      </c>
      <c r="Q142" t="s">
        <v>104</v>
      </c>
      <c r="S142" t="s">
        <v>56</v>
      </c>
      <c r="T142">
        <v>2</v>
      </c>
      <c r="V142">
        <v>1</v>
      </c>
      <c r="W142" t="s">
        <v>57</v>
      </c>
      <c r="X142" t="s">
        <v>122</v>
      </c>
      <c r="Y142" t="s">
        <v>85</v>
      </c>
      <c r="AA142" t="s">
        <v>45</v>
      </c>
      <c r="AB142">
        <v>2</v>
      </c>
      <c r="AD142">
        <v>1</v>
      </c>
      <c r="AE142" t="s">
        <v>47</v>
      </c>
      <c r="AI142">
        <v>7</v>
      </c>
      <c r="AJ142">
        <v>28</v>
      </c>
    </row>
    <row r="143" spans="1:36" x14ac:dyDescent="0.25">
      <c r="A143" t="s">
        <v>368</v>
      </c>
      <c r="B143">
        <v>220</v>
      </c>
      <c r="C143" t="s">
        <v>33</v>
      </c>
      <c r="D143">
        <v>1</v>
      </c>
      <c r="F143">
        <v>3</v>
      </c>
      <c r="G143" t="s">
        <v>46</v>
      </c>
      <c r="H143" t="s">
        <v>35</v>
      </c>
      <c r="K143" t="s">
        <v>38</v>
      </c>
      <c r="L143">
        <v>1</v>
      </c>
      <c r="M143">
        <v>1</v>
      </c>
      <c r="N143">
        <v>2</v>
      </c>
      <c r="O143" t="s">
        <v>67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2</v>
      </c>
      <c r="AD143">
        <v>1</v>
      </c>
      <c r="AE143" t="s">
        <v>47</v>
      </c>
      <c r="AI143">
        <v>6</v>
      </c>
      <c r="AJ143">
        <v>22</v>
      </c>
    </row>
    <row r="144" spans="1:36" x14ac:dyDescent="0.25">
      <c r="A144" s="39" t="s">
        <v>369</v>
      </c>
      <c r="B144">
        <v>222</v>
      </c>
      <c r="C144" t="s">
        <v>43</v>
      </c>
      <c r="D144">
        <v>2</v>
      </c>
      <c r="F144">
        <v>1</v>
      </c>
      <c r="G144" t="s">
        <v>135</v>
      </c>
      <c r="H144" t="s">
        <v>99</v>
      </c>
      <c r="K144" t="s">
        <v>63</v>
      </c>
      <c r="L144">
        <v>1</v>
      </c>
      <c r="N144">
        <v>1</v>
      </c>
      <c r="O144" t="s">
        <v>72</v>
      </c>
      <c r="P144" t="s">
        <v>95</v>
      </c>
      <c r="S144" t="s">
        <v>56</v>
      </c>
      <c r="T144">
        <v>1</v>
      </c>
      <c r="V144">
        <v>1</v>
      </c>
      <c r="W144" t="s">
        <v>68</v>
      </c>
      <c r="AA144" t="s">
        <v>45</v>
      </c>
      <c r="AB144">
        <v>2</v>
      </c>
      <c r="AD144">
        <v>1</v>
      </c>
      <c r="AE144" t="s">
        <v>47</v>
      </c>
      <c r="AI144">
        <v>4</v>
      </c>
      <c r="AJ144">
        <v>19</v>
      </c>
    </row>
    <row r="145" spans="1:36" x14ac:dyDescent="0.25">
      <c r="A145" t="s">
        <v>370</v>
      </c>
      <c r="B145">
        <v>223</v>
      </c>
      <c r="C145" t="s">
        <v>43</v>
      </c>
      <c r="D145">
        <v>1</v>
      </c>
      <c r="F145">
        <v>1</v>
      </c>
      <c r="G145" t="s">
        <v>135</v>
      </c>
      <c r="H145" t="s">
        <v>74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1</v>
      </c>
      <c r="V145">
        <v>2</v>
      </c>
      <c r="W145" t="s">
        <v>68</v>
      </c>
      <c r="AA145" t="s">
        <v>45</v>
      </c>
      <c r="AB145">
        <v>1</v>
      </c>
      <c r="AD145">
        <v>1</v>
      </c>
      <c r="AE145" t="s">
        <v>47</v>
      </c>
      <c r="AI145">
        <v>3</v>
      </c>
      <c r="AJ145">
        <v>23</v>
      </c>
    </row>
    <row r="146" spans="1:36" x14ac:dyDescent="0.25">
      <c r="A146" t="s">
        <v>371</v>
      </c>
      <c r="B146">
        <v>225</v>
      </c>
      <c r="C146" t="s">
        <v>56</v>
      </c>
      <c r="D146">
        <v>2</v>
      </c>
      <c r="F146">
        <v>1</v>
      </c>
      <c r="G146" t="s">
        <v>57</v>
      </c>
      <c r="H146" t="s">
        <v>122</v>
      </c>
      <c r="I146" t="s">
        <v>85</v>
      </c>
      <c r="K146" t="s">
        <v>45</v>
      </c>
      <c r="L146">
        <v>3</v>
      </c>
      <c r="N146">
        <v>1</v>
      </c>
      <c r="O146" t="s">
        <v>47</v>
      </c>
      <c r="S146" t="s">
        <v>63</v>
      </c>
      <c r="T146">
        <v>1</v>
      </c>
      <c r="V146">
        <v>1</v>
      </c>
      <c r="W146" t="s">
        <v>72</v>
      </c>
      <c r="X146" t="s">
        <v>91</v>
      </c>
      <c r="AA146" t="s">
        <v>38</v>
      </c>
      <c r="AB146">
        <v>1</v>
      </c>
      <c r="AC146">
        <v>2</v>
      </c>
      <c r="AD146">
        <v>2</v>
      </c>
      <c r="AE146" t="s">
        <v>152</v>
      </c>
      <c r="AF146" t="s">
        <v>96</v>
      </c>
      <c r="AI146">
        <v>9</v>
      </c>
      <c r="AJ146">
        <v>33</v>
      </c>
    </row>
    <row r="147" spans="1:36" x14ac:dyDescent="0.25">
      <c r="A147" t="s">
        <v>372</v>
      </c>
      <c r="B147">
        <v>228</v>
      </c>
      <c r="C147" t="s">
        <v>56</v>
      </c>
      <c r="D147">
        <v>1</v>
      </c>
      <c r="F147">
        <v>1</v>
      </c>
      <c r="G147" t="s">
        <v>57</v>
      </c>
      <c r="K147" t="s">
        <v>63</v>
      </c>
      <c r="L147">
        <v>2</v>
      </c>
      <c r="N147">
        <v>1</v>
      </c>
      <c r="O147" t="s">
        <v>72</v>
      </c>
      <c r="P147" t="s">
        <v>146</v>
      </c>
      <c r="S147" t="s">
        <v>48</v>
      </c>
      <c r="T147">
        <v>1</v>
      </c>
      <c r="V147">
        <v>1</v>
      </c>
      <c r="W147" t="s">
        <v>49</v>
      </c>
      <c r="X147" t="s">
        <v>84</v>
      </c>
      <c r="AA147" t="s">
        <v>33</v>
      </c>
      <c r="AB147">
        <v>1</v>
      </c>
      <c r="AD147">
        <v>2</v>
      </c>
      <c r="AE147" t="s">
        <v>46</v>
      </c>
      <c r="AI147">
        <v>4</v>
      </c>
      <c r="AJ147">
        <v>22</v>
      </c>
    </row>
    <row r="148" spans="1:36" x14ac:dyDescent="0.25">
      <c r="A148" t="s">
        <v>373</v>
      </c>
      <c r="B148">
        <v>229</v>
      </c>
      <c r="C148" t="s">
        <v>48</v>
      </c>
      <c r="D148">
        <v>2</v>
      </c>
      <c r="F148">
        <v>1</v>
      </c>
      <c r="G148" t="s">
        <v>49</v>
      </c>
      <c r="K148" t="s">
        <v>43</v>
      </c>
      <c r="L148">
        <v>3</v>
      </c>
      <c r="N148">
        <v>1</v>
      </c>
      <c r="O148" t="s">
        <v>135</v>
      </c>
      <c r="P148" t="s">
        <v>74</v>
      </c>
      <c r="Q148" t="s">
        <v>75</v>
      </c>
      <c r="R148" t="s">
        <v>138</v>
      </c>
      <c r="S148" t="s">
        <v>56</v>
      </c>
      <c r="T148">
        <v>2</v>
      </c>
      <c r="V148">
        <v>2</v>
      </c>
      <c r="W148" t="s">
        <v>57</v>
      </c>
      <c r="AA148" t="s">
        <v>63</v>
      </c>
      <c r="AB148">
        <v>1</v>
      </c>
      <c r="AD148">
        <v>1</v>
      </c>
      <c r="AE148" t="s">
        <v>72</v>
      </c>
      <c r="AF148" t="s">
        <v>91</v>
      </c>
      <c r="AI148">
        <v>9</v>
      </c>
      <c r="AJ148">
        <v>33</v>
      </c>
    </row>
    <row r="149" spans="1:36" x14ac:dyDescent="0.25">
      <c r="A149" t="s">
        <v>374</v>
      </c>
      <c r="B149">
        <v>230</v>
      </c>
      <c r="C149" t="s">
        <v>56</v>
      </c>
      <c r="D149">
        <v>1</v>
      </c>
      <c r="F149">
        <v>1</v>
      </c>
      <c r="G149" t="s">
        <v>68</v>
      </c>
      <c r="K149" t="s">
        <v>63</v>
      </c>
      <c r="L149">
        <v>1</v>
      </c>
      <c r="N149">
        <v>1</v>
      </c>
      <c r="O149" t="s">
        <v>72</v>
      </c>
      <c r="P149" t="s">
        <v>91</v>
      </c>
      <c r="S149" t="s">
        <v>48</v>
      </c>
      <c r="T149">
        <v>1</v>
      </c>
      <c r="V149">
        <v>1</v>
      </c>
      <c r="W149" t="s">
        <v>49</v>
      </c>
      <c r="AA149" t="s">
        <v>45</v>
      </c>
      <c r="AB149">
        <v>2</v>
      </c>
      <c r="AD149">
        <v>1</v>
      </c>
      <c r="AE149" t="s">
        <v>47</v>
      </c>
      <c r="AI149">
        <v>2</v>
      </c>
      <c r="AJ149">
        <v>26</v>
      </c>
    </row>
    <row r="150" spans="1:36" x14ac:dyDescent="0.25">
      <c r="A150" t="s">
        <v>375</v>
      </c>
      <c r="B150">
        <v>231</v>
      </c>
      <c r="C150" t="s">
        <v>48</v>
      </c>
      <c r="D150">
        <v>3</v>
      </c>
      <c r="F150">
        <v>1</v>
      </c>
      <c r="G150" t="s">
        <v>49</v>
      </c>
      <c r="K150" t="s">
        <v>38</v>
      </c>
      <c r="L150">
        <v>1</v>
      </c>
      <c r="M150">
        <v>2</v>
      </c>
      <c r="N150">
        <v>3</v>
      </c>
      <c r="O150" t="s">
        <v>152</v>
      </c>
      <c r="P150" t="s">
        <v>96</v>
      </c>
      <c r="S150" t="s">
        <v>56</v>
      </c>
      <c r="T150">
        <v>1</v>
      </c>
      <c r="V150">
        <v>2</v>
      </c>
      <c r="W150" t="s">
        <v>57</v>
      </c>
      <c r="X150" t="s">
        <v>122</v>
      </c>
      <c r="AA150" t="s">
        <v>63</v>
      </c>
      <c r="AB150">
        <v>2</v>
      </c>
      <c r="AD150">
        <v>1</v>
      </c>
      <c r="AE150" t="s">
        <v>72</v>
      </c>
      <c r="AI150">
        <v>9</v>
      </c>
      <c r="AJ150">
        <v>28</v>
      </c>
    </row>
    <row r="151" spans="1:36" x14ac:dyDescent="0.25">
      <c r="A151" t="s">
        <v>376</v>
      </c>
      <c r="B151">
        <v>233</v>
      </c>
      <c r="C151" t="s">
        <v>33</v>
      </c>
      <c r="D151">
        <v>2</v>
      </c>
      <c r="F151">
        <v>1</v>
      </c>
      <c r="G151" t="s">
        <v>46</v>
      </c>
      <c r="K151" t="s">
        <v>43</v>
      </c>
      <c r="L151">
        <v>1</v>
      </c>
      <c r="N151">
        <v>1</v>
      </c>
      <c r="O151" t="s">
        <v>135</v>
      </c>
      <c r="P151" t="s">
        <v>74</v>
      </c>
      <c r="S151" t="s">
        <v>56</v>
      </c>
      <c r="T151">
        <v>1</v>
      </c>
      <c r="V151">
        <v>1</v>
      </c>
      <c r="W151" t="s">
        <v>120</v>
      </c>
      <c r="AA151" t="s">
        <v>63</v>
      </c>
      <c r="AB151">
        <v>1</v>
      </c>
      <c r="AD151">
        <v>1</v>
      </c>
      <c r="AE151" t="s">
        <v>72</v>
      </c>
      <c r="AI151">
        <v>2</v>
      </c>
      <c r="AJ151">
        <v>22</v>
      </c>
    </row>
    <row r="152" spans="1:36" x14ac:dyDescent="0.25">
      <c r="A152" t="s">
        <v>377</v>
      </c>
      <c r="B152">
        <v>234</v>
      </c>
      <c r="C152" t="s">
        <v>33</v>
      </c>
      <c r="D152">
        <v>1</v>
      </c>
      <c r="F152">
        <v>3</v>
      </c>
      <c r="G152" t="s">
        <v>46</v>
      </c>
      <c r="H152" t="s">
        <v>66</v>
      </c>
      <c r="K152" t="s">
        <v>45</v>
      </c>
      <c r="L152">
        <v>2</v>
      </c>
      <c r="N152">
        <v>1</v>
      </c>
      <c r="O152" t="s">
        <v>47</v>
      </c>
      <c r="P152" t="s">
        <v>141</v>
      </c>
      <c r="Q152" t="s">
        <v>102</v>
      </c>
      <c r="R152" t="s">
        <v>144</v>
      </c>
      <c r="S152" t="s">
        <v>56</v>
      </c>
      <c r="T152">
        <v>2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F152" t="s">
        <v>91</v>
      </c>
      <c r="AI152">
        <v>9</v>
      </c>
      <c r="AJ152">
        <v>27</v>
      </c>
    </row>
    <row r="153" spans="1:36" x14ac:dyDescent="0.25">
      <c r="A153" t="s">
        <v>378</v>
      </c>
      <c r="B153">
        <v>235</v>
      </c>
      <c r="C153" t="s">
        <v>33</v>
      </c>
      <c r="D153">
        <v>1</v>
      </c>
      <c r="F153">
        <v>2</v>
      </c>
      <c r="G153" t="s">
        <v>46</v>
      </c>
      <c r="K153" t="s">
        <v>38</v>
      </c>
      <c r="L153">
        <v>1</v>
      </c>
      <c r="M153">
        <v>2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F153" t="s">
        <v>95</v>
      </c>
      <c r="AI153">
        <v>3</v>
      </c>
      <c r="AJ153">
        <v>25</v>
      </c>
    </row>
    <row r="154" spans="1:36" x14ac:dyDescent="0.25">
      <c r="A154" t="s">
        <v>379</v>
      </c>
      <c r="B154">
        <v>237</v>
      </c>
      <c r="C154" t="s">
        <v>43</v>
      </c>
      <c r="D154">
        <v>3</v>
      </c>
      <c r="F154">
        <v>1</v>
      </c>
      <c r="G154" t="s">
        <v>135</v>
      </c>
      <c r="H154" t="s">
        <v>74</v>
      </c>
      <c r="I154" t="s">
        <v>137</v>
      </c>
      <c r="K154" t="s">
        <v>45</v>
      </c>
      <c r="L154">
        <v>1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2</v>
      </c>
      <c r="AD154">
        <v>1</v>
      </c>
      <c r="AE154" t="s">
        <v>72</v>
      </c>
      <c r="AF154" t="s">
        <v>146</v>
      </c>
      <c r="AI154">
        <v>6</v>
      </c>
      <c r="AJ154">
        <v>28</v>
      </c>
    </row>
    <row r="155" spans="1:36" x14ac:dyDescent="0.25">
      <c r="A155" s="39" t="s">
        <v>380</v>
      </c>
      <c r="B155">
        <v>238</v>
      </c>
      <c r="C155" t="s">
        <v>43</v>
      </c>
      <c r="D155">
        <v>2</v>
      </c>
      <c r="F155">
        <v>1</v>
      </c>
      <c r="G155" t="s">
        <v>135</v>
      </c>
      <c r="H155" t="s">
        <v>74</v>
      </c>
      <c r="I155" t="s">
        <v>75</v>
      </c>
      <c r="K155" t="s">
        <v>38</v>
      </c>
      <c r="L155">
        <v>1</v>
      </c>
      <c r="M155">
        <v>1</v>
      </c>
      <c r="N155">
        <v>1</v>
      </c>
      <c r="O155" t="s">
        <v>152</v>
      </c>
      <c r="S155" t="s">
        <v>56</v>
      </c>
      <c r="T155">
        <v>2</v>
      </c>
      <c r="V155">
        <v>1</v>
      </c>
      <c r="W155" t="s">
        <v>68</v>
      </c>
      <c r="AA155" t="s">
        <v>63</v>
      </c>
      <c r="AB155">
        <v>1</v>
      </c>
      <c r="AD155">
        <v>1</v>
      </c>
      <c r="AE155" t="s">
        <v>72</v>
      </c>
      <c r="AI155">
        <v>4</v>
      </c>
      <c r="AJ155">
        <v>21</v>
      </c>
    </row>
    <row r="156" spans="1:36" x14ac:dyDescent="0.25">
      <c r="A156" t="s">
        <v>381</v>
      </c>
      <c r="B156">
        <v>240</v>
      </c>
      <c r="C156" t="s">
        <v>45</v>
      </c>
      <c r="D156">
        <v>3</v>
      </c>
      <c r="F156">
        <v>2</v>
      </c>
      <c r="G156" t="s">
        <v>47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56</v>
      </c>
      <c r="T156">
        <v>2</v>
      </c>
      <c r="V156">
        <v>1</v>
      </c>
      <c r="W156" t="s">
        <v>68</v>
      </c>
      <c r="AA156" t="s">
        <v>63</v>
      </c>
      <c r="AB156">
        <v>2</v>
      </c>
      <c r="AD156">
        <v>1</v>
      </c>
      <c r="AE156" t="s">
        <v>72</v>
      </c>
      <c r="AF156" t="s">
        <v>91</v>
      </c>
      <c r="AI156">
        <v>6</v>
      </c>
      <c r="AJ156">
        <v>23</v>
      </c>
    </row>
    <row r="157" spans="1:36" x14ac:dyDescent="0.25">
      <c r="A157" t="s">
        <v>382</v>
      </c>
      <c r="B157">
        <v>243</v>
      </c>
      <c r="C157" t="s">
        <v>48</v>
      </c>
      <c r="D157">
        <v>2</v>
      </c>
      <c r="F157">
        <v>1</v>
      </c>
      <c r="G157" t="s">
        <v>49</v>
      </c>
      <c r="K157" t="s">
        <v>33</v>
      </c>
      <c r="L157">
        <v>1</v>
      </c>
      <c r="N157">
        <v>1</v>
      </c>
      <c r="O157" t="s">
        <v>46</v>
      </c>
      <c r="S157" t="s">
        <v>56</v>
      </c>
      <c r="T157">
        <v>1</v>
      </c>
      <c r="V157">
        <v>1</v>
      </c>
      <c r="W157" t="s">
        <v>57</v>
      </c>
      <c r="AA157" t="s">
        <v>38</v>
      </c>
      <c r="AB157">
        <v>1</v>
      </c>
      <c r="AC157">
        <v>1</v>
      </c>
      <c r="AD157">
        <v>1</v>
      </c>
      <c r="AE157" t="s">
        <v>67</v>
      </c>
      <c r="AI157">
        <v>1</v>
      </c>
      <c r="AJ157">
        <v>17</v>
      </c>
    </row>
    <row r="158" spans="1:36" x14ac:dyDescent="0.25">
      <c r="A158" t="s">
        <v>383</v>
      </c>
      <c r="B158">
        <v>244</v>
      </c>
      <c r="C158" t="s">
        <v>56</v>
      </c>
      <c r="D158">
        <v>1</v>
      </c>
      <c r="F158">
        <v>1</v>
      </c>
      <c r="G158" t="s">
        <v>57</v>
      </c>
      <c r="K158" t="s">
        <v>38</v>
      </c>
      <c r="L158">
        <v>1</v>
      </c>
      <c r="M158">
        <v>1</v>
      </c>
      <c r="N158">
        <v>2</v>
      </c>
      <c r="O158" t="s">
        <v>67</v>
      </c>
      <c r="S158" t="s">
        <v>48</v>
      </c>
      <c r="T158">
        <v>1</v>
      </c>
      <c r="V158">
        <v>1</v>
      </c>
      <c r="W158" t="s">
        <v>49</v>
      </c>
      <c r="AA158" t="s">
        <v>43</v>
      </c>
      <c r="AB158">
        <v>2</v>
      </c>
      <c r="AD158">
        <v>1</v>
      </c>
      <c r="AE158" t="s">
        <v>135</v>
      </c>
      <c r="AF158" t="s">
        <v>74</v>
      </c>
      <c r="AG158" t="s">
        <v>75</v>
      </c>
      <c r="AI158">
        <v>4</v>
      </c>
      <c r="AJ158">
        <v>21</v>
      </c>
    </row>
    <row r="159" spans="1:36" x14ac:dyDescent="0.25">
      <c r="A159" t="s">
        <v>384</v>
      </c>
      <c r="B159">
        <v>245</v>
      </c>
      <c r="C159" t="s">
        <v>56</v>
      </c>
      <c r="D159">
        <v>1</v>
      </c>
      <c r="F159">
        <v>2</v>
      </c>
      <c r="G159" t="s">
        <v>57</v>
      </c>
      <c r="H159" t="s">
        <v>122</v>
      </c>
      <c r="K159" t="s">
        <v>38</v>
      </c>
      <c r="L159">
        <v>1</v>
      </c>
      <c r="M159">
        <v>1</v>
      </c>
      <c r="N159">
        <v>2</v>
      </c>
      <c r="O159" t="s">
        <v>67</v>
      </c>
      <c r="S159" t="s">
        <v>48</v>
      </c>
      <c r="T159">
        <v>1</v>
      </c>
      <c r="V159">
        <v>2</v>
      </c>
      <c r="W159" t="s">
        <v>49</v>
      </c>
      <c r="X159" t="s">
        <v>84</v>
      </c>
      <c r="AA159" t="s">
        <v>45</v>
      </c>
      <c r="AB159">
        <v>2</v>
      </c>
      <c r="AD159">
        <v>1</v>
      </c>
      <c r="AE159" t="s">
        <v>47</v>
      </c>
      <c r="AI159">
        <v>6</v>
      </c>
      <c r="AJ159">
        <v>29</v>
      </c>
    </row>
    <row r="160" spans="1:36" x14ac:dyDescent="0.25">
      <c r="A160" t="s">
        <v>385</v>
      </c>
      <c r="B160">
        <v>246</v>
      </c>
      <c r="C160" t="s">
        <v>56</v>
      </c>
      <c r="D160">
        <v>3</v>
      </c>
      <c r="F160">
        <v>2</v>
      </c>
      <c r="G160" t="s">
        <v>57</v>
      </c>
      <c r="H160" t="s">
        <v>122</v>
      </c>
      <c r="I160" t="s">
        <v>85</v>
      </c>
      <c r="J160" t="s">
        <v>125</v>
      </c>
      <c r="K160" t="s">
        <v>38</v>
      </c>
      <c r="L160">
        <v>1</v>
      </c>
      <c r="M160">
        <v>2</v>
      </c>
      <c r="N160">
        <v>1</v>
      </c>
      <c r="O160" t="s">
        <v>152</v>
      </c>
      <c r="S160" t="s">
        <v>48</v>
      </c>
      <c r="T160">
        <v>2</v>
      </c>
      <c r="V160">
        <v>2</v>
      </c>
      <c r="W160" t="s">
        <v>49</v>
      </c>
      <c r="AA160" t="s">
        <v>63</v>
      </c>
      <c r="AB160">
        <v>2</v>
      </c>
      <c r="AD160">
        <v>2</v>
      </c>
      <c r="AE160" t="s">
        <v>72</v>
      </c>
      <c r="AF160" t="s">
        <v>95</v>
      </c>
      <c r="AI160">
        <v>12</v>
      </c>
      <c r="AJ160">
        <v>36</v>
      </c>
    </row>
    <row r="161" spans="1:36" x14ac:dyDescent="0.25">
      <c r="A161" t="s">
        <v>386</v>
      </c>
      <c r="B161">
        <v>248</v>
      </c>
      <c r="C161" t="s">
        <v>33</v>
      </c>
      <c r="D161">
        <v>2</v>
      </c>
      <c r="F161">
        <v>1</v>
      </c>
      <c r="G161" t="s">
        <v>46</v>
      </c>
      <c r="K161" t="s">
        <v>43</v>
      </c>
      <c r="L161">
        <v>1</v>
      </c>
      <c r="N161">
        <v>3</v>
      </c>
      <c r="O161" t="s">
        <v>135</v>
      </c>
      <c r="P161" t="s">
        <v>99</v>
      </c>
      <c r="S161" t="s">
        <v>56</v>
      </c>
      <c r="T161">
        <v>2</v>
      </c>
      <c r="V161">
        <v>3</v>
      </c>
      <c r="W161" t="s">
        <v>68</v>
      </c>
      <c r="X161" t="s">
        <v>69</v>
      </c>
      <c r="Y161" t="s">
        <v>123</v>
      </c>
      <c r="AA161" t="s">
        <v>38</v>
      </c>
      <c r="AB161">
        <v>1</v>
      </c>
      <c r="AC161">
        <v>1</v>
      </c>
      <c r="AD161">
        <v>1</v>
      </c>
      <c r="AE161" t="s">
        <v>67</v>
      </c>
      <c r="AI161">
        <v>9</v>
      </c>
      <c r="AJ161">
        <v>38</v>
      </c>
    </row>
    <row r="162" spans="1:36" x14ac:dyDescent="0.25">
      <c r="A162" t="s">
        <v>387</v>
      </c>
      <c r="B162">
        <v>249</v>
      </c>
      <c r="C162" t="s">
        <v>56</v>
      </c>
      <c r="D162">
        <v>1</v>
      </c>
      <c r="F162">
        <v>1</v>
      </c>
      <c r="G162" t="s">
        <v>68</v>
      </c>
      <c r="K162" t="s">
        <v>38</v>
      </c>
      <c r="L162">
        <v>2</v>
      </c>
      <c r="M162">
        <v>1</v>
      </c>
      <c r="N162">
        <v>2</v>
      </c>
      <c r="O162" t="s">
        <v>67</v>
      </c>
      <c r="P162" t="s">
        <v>70</v>
      </c>
      <c r="S162" t="s">
        <v>33</v>
      </c>
      <c r="T162">
        <v>1</v>
      </c>
      <c r="V162">
        <v>3</v>
      </c>
      <c r="W162" t="s">
        <v>46</v>
      </c>
      <c r="AA162" t="s">
        <v>45</v>
      </c>
      <c r="AB162">
        <v>2</v>
      </c>
      <c r="AD162">
        <v>1</v>
      </c>
      <c r="AE162" t="s">
        <v>47</v>
      </c>
      <c r="AI162">
        <v>6</v>
      </c>
      <c r="AJ162">
        <v>18</v>
      </c>
    </row>
    <row r="163" spans="1:36" x14ac:dyDescent="0.25">
      <c r="A163" t="s">
        <v>388</v>
      </c>
      <c r="B163">
        <v>250</v>
      </c>
      <c r="C163" t="s">
        <v>33</v>
      </c>
      <c r="D163">
        <v>1</v>
      </c>
      <c r="F163">
        <v>2</v>
      </c>
      <c r="G163" t="s">
        <v>46</v>
      </c>
      <c r="H163" t="s">
        <v>66</v>
      </c>
      <c r="K163" t="s">
        <v>63</v>
      </c>
      <c r="L163">
        <v>1</v>
      </c>
      <c r="N163">
        <v>1</v>
      </c>
      <c r="O163" t="s">
        <v>103</v>
      </c>
      <c r="P163" t="s">
        <v>91</v>
      </c>
      <c r="S163" t="s">
        <v>56</v>
      </c>
      <c r="T163">
        <v>1</v>
      </c>
      <c r="V163">
        <v>1</v>
      </c>
      <c r="W163" t="s">
        <v>57</v>
      </c>
      <c r="AA163" t="s">
        <v>38</v>
      </c>
      <c r="AB163">
        <v>1</v>
      </c>
      <c r="AC163">
        <v>2</v>
      </c>
      <c r="AD163">
        <v>1</v>
      </c>
      <c r="AE163" t="s">
        <v>152</v>
      </c>
      <c r="AI163">
        <v>4</v>
      </c>
      <c r="AJ163">
        <v>28</v>
      </c>
    </row>
    <row r="164" spans="1:36" x14ac:dyDescent="0.25">
      <c r="A164" t="s">
        <v>389</v>
      </c>
      <c r="B164">
        <v>252</v>
      </c>
      <c r="C164" t="s">
        <v>43</v>
      </c>
      <c r="D164">
        <v>1</v>
      </c>
      <c r="F164">
        <v>1</v>
      </c>
      <c r="G164" t="s">
        <v>135</v>
      </c>
      <c r="K164" t="s">
        <v>45</v>
      </c>
      <c r="L164">
        <v>2</v>
      </c>
      <c r="N164">
        <v>1</v>
      </c>
      <c r="O164" t="s">
        <v>47</v>
      </c>
      <c r="S164" t="s">
        <v>56</v>
      </c>
      <c r="T164">
        <v>1</v>
      </c>
      <c r="V164">
        <v>1</v>
      </c>
      <c r="W164" t="s">
        <v>68</v>
      </c>
      <c r="AA164" t="s">
        <v>38</v>
      </c>
      <c r="AB164">
        <v>1</v>
      </c>
      <c r="AC164">
        <v>1</v>
      </c>
      <c r="AD164">
        <v>1</v>
      </c>
      <c r="AE164" t="s">
        <v>67</v>
      </c>
      <c r="AI164">
        <v>1</v>
      </c>
      <c r="AJ164">
        <v>19</v>
      </c>
    </row>
    <row r="165" spans="1:36" x14ac:dyDescent="0.25">
      <c r="A165" t="s">
        <v>390</v>
      </c>
      <c r="B165">
        <v>253</v>
      </c>
      <c r="C165" t="s">
        <v>43</v>
      </c>
      <c r="D165">
        <v>1</v>
      </c>
      <c r="F165">
        <v>2</v>
      </c>
      <c r="G165" t="s">
        <v>135</v>
      </c>
      <c r="H165" t="s">
        <v>74</v>
      </c>
      <c r="K165" t="s">
        <v>63</v>
      </c>
      <c r="L165">
        <v>2</v>
      </c>
      <c r="N165">
        <v>1</v>
      </c>
      <c r="O165" t="s">
        <v>72</v>
      </c>
      <c r="P165" t="s">
        <v>91</v>
      </c>
      <c r="S165" t="s">
        <v>56</v>
      </c>
      <c r="T165">
        <v>1</v>
      </c>
      <c r="V165">
        <v>1</v>
      </c>
      <c r="W165" t="s">
        <v>57</v>
      </c>
      <c r="AA165" t="s">
        <v>38</v>
      </c>
      <c r="AB165">
        <v>1</v>
      </c>
      <c r="AC165">
        <v>2</v>
      </c>
      <c r="AD165">
        <v>3</v>
      </c>
      <c r="AE165" t="s">
        <v>152</v>
      </c>
      <c r="AF165" t="s">
        <v>70</v>
      </c>
      <c r="AI165">
        <v>8</v>
      </c>
      <c r="AJ165">
        <v>37</v>
      </c>
    </row>
    <row r="166" spans="1:36" x14ac:dyDescent="0.25">
      <c r="A166" t="s">
        <v>391</v>
      </c>
      <c r="B166">
        <v>255</v>
      </c>
      <c r="C166" t="s">
        <v>56</v>
      </c>
      <c r="D166">
        <v>2</v>
      </c>
      <c r="F166">
        <v>1</v>
      </c>
      <c r="G166" t="s">
        <v>57</v>
      </c>
      <c r="H166" t="s">
        <v>122</v>
      </c>
      <c r="I166" t="s">
        <v>85</v>
      </c>
      <c r="K166" t="s">
        <v>38</v>
      </c>
      <c r="L166">
        <v>2</v>
      </c>
      <c r="M166">
        <v>1</v>
      </c>
      <c r="N166">
        <v>2</v>
      </c>
      <c r="O166" t="s">
        <v>152</v>
      </c>
      <c r="S166" t="s">
        <v>45</v>
      </c>
      <c r="T166">
        <v>2</v>
      </c>
      <c r="V166">
        <v>1</v>
      </c>
      <c r="W166" t="s">
        <v>47</v>
      </c>
      <c r="AA166" t="s">
        <v>63</v>
      </c>
      <c r="AB166">
        <v>1</v>
      </c>
      <c r="AD166">
        <v>1</v>
      </c>
      <c r="AE166" t="s">
        <v>103</v>
      </c>
      <c r="AF166" t="s">
        <v>91</v>
      </c>
      <c r="AI166">
        <v>7</v>
      </c>
      <c r="AJ166">
        <v>22</v>
      </c>
    </row>
    <row r="167" spans="1:36" x14ac:dyDescent="0.25">
      <c r="A167" t="s">
        <v>392</v>
      </c>
      <c r="B167">
        <v>273</v>
      </c>
      <c r="C167" t="s">
        <v>43</v>
      </c>
      <c r="D167">
        <v>1</v>
      </c>
      <c r="F167">
        <v>3</v>
      </c>
      <c r="G167" t="s">
        <v>135</v>
      </c>
      <c r="H167" t="s">
        <v>136</v>
      </c>
      <c r="K167" t="s">
        <v>45</v>
      </c>
      <c r="L167">
        <v>3</v>
      </c>
      <c r="N167">
        <v>1</v>
      </c>
      <c r="O167" t="s">
        <v>47</v>
      </c>
      <c r="S167" t="s">
        <v>48</v>
      </c>
      <c r="T167">
        <v>3</v>
      </c>
      <c r="V167">
        <v>1</v>
      </c>
      <c r="W167" t="s">
        <v>89</v>
      </c>
      <c r="AA167" t="s">
        <v>33</v>
      </c>
      <c r="AB167">
        <v>2</v>
      </c>
      <c r="AD167">
        <v>3</v>
      </c>
      <c r="AE167" t="s">
        <v>46</v>
      </c>
      <c r="AI167">
        <v>10</v>
      </c>
      <c r="AJ167">
        <v>27</v>
      </c>
    </row>
    <row r="168" spans="1:36" x14ac:dyDescent="0.25">
      <c r="A168" t="s">
        <v>393</v>
      </c>
      <c r="B168">
        <v>274</v>
      </c>
      <c r="C168" t="s">
        <v>48</v>
      </c>
      <c r="D168">
        <v>1</v>
      </c>
      <c r="F168">
        <v>1</v>
      </c>
      <c r="G168" t="s">
        <v>49</v>
      </c>
      <c r="K168" t="s">
        <v>33</v>
      </c>
      <c r="L168">
        <v>3</v>
      </c>
      <c r="N168">
        <v>3</v>
      </c>
      <c r="O168" t="s">
        <v>46</v>
      </c>
      <c r="P168" t="s">
        <v>66</v>
      </c>
      <c r="Q168" t="s">
        <v>131</v>
      </c>
      <c r="S168" t="s">
        <v>43</v>
      </c>
      <c r="T168">
        <v>3</v>
      </c>
      <c r="V168">
        <v>1</v>
      </c>
      <c r="W168" t="s">
        <v>135</v>
      </c>
      <c r="X168" t="s">
        <v>136</v>
      </c>
      <c r="Y168" t="s">
        <v>137</v>
      </c>
      <c r="AA168" t="s">
        <v>63</v>
      </c>
      <c r="AB168">
        <v>1</v>
      </c>
      <c r="AD168">
        <v>1</v>
      </c>
      <c r="AE168" t="s">
        <v>72</v>
      </c>
      <c r="AI168">
        <v>10</v>
      </c>
      <c r="AJ168">
        <v>26</v>
      </c>
    </row>
    <row r="169" spans="1:36" x14ac:dyDescent="0.25">
      <c r="A169" t="s">
        <v>394</v>
      </c>
      <c r="B169">
        <v>275</v>
      </c>
      <c r="C169" t="s">
        <v>43</v>
      </c>
      <c r="D169">
        <v>2</v>
      </c>
      <c r="F169">
        <v>1</v>
      </c>
      <c r="G169" t="s">
        <v>135</v>
      </c>
      <c r="H169" t="s">
        <v>136</v>
      </c>
      <c r="K169" t="s">
        <v>38</v>
      </c>
      <c r="L169">
        <v>1</v>
      </c>
      <c r="M169">
        <v>1</v>
      </c>
      <c r="N169">
        <v>2</v>
      </c>
      <c r="O169" t="s">
        <v>67</v>
      </c>
      <c r="S169" t="s">
        <v>48</v>
      </c>
      <c r="T169">
        <v>2</v>
      </c>
      <c r="V169">
        <v>1</v>
      </c>
      <c r="W169" t="s">
        <v>89</v>
      </c>
      <c r="AA169" t="s">
        <v>33</v>
      </c>
      <c r="AB169">
        <v>1</v>
      </c>
      <c r="AD169">
        <v>1</v>
      </c>
      <c r="AE169" t="s">
        <v>46</v>
      </c>
      <c r="AI169">
        <v>4</v>
      </c>
      <c r="AJ169">
        <v>23</v>
      </c>
    </row>
    <row r="170" spans="1:36" x14ac:dyDescent="0.25">
      <c r="A170" t="s">
        <v>395</v>
      </c>
      <c r="B170">
        <v>277</v>
      </c>
      <c r="C170" t="s">
        <v>48</v>
      </c>
      <c r="D170">
        <v>2</v>
      </c>
      <c r="F170">
        <v>1</v>
      </c>
      <c r="G170" t="s">
        <v>49</v>
      </c>
      <c r="H170" t="s">
        <v>71</v>
      </c>
      <c r="K170" t="s">
        <v>33</v>
      </c>
      <c r="L170">
        <v>2</v>
      </c>
      <c r="N170">
        <v>3</v>
      </c>
      <c r="O170" t="s">
        <v>46</v>
      </c>
      <c r="S170" t="s">
        <v>45</v>
      </c>
      <c r="T170">
        <v>3</v>
      </c>
      <c r="V170">
        <v>1</v>
      </c>
      <c r="W170" t="s">
        <v>47</v>
      </c>
      <c r="AA170" t="s">
        <v>63</v>
      </c>
      <c r="AB170">
        <v>1</v>
      </c>
      <c r="AD170">
        <v>1</v>
      </c>
      <c r="AE170" t="s">
        <v>72</v>
      </c>
      <c r="AI170">
        <v>7</v>
      </c>
      <c r="AJ170">
        <v>25</v>
      </c>
    </row>
    <row r="171" spans="1:36" x14ac:dyDescent="0.25">
      <c r="A171" t="s">
        <v>396</v>
      </c>
      <c r="B171">
        <v>278</v>
      </c>
      <c r="C171" t="s">
        <v>45</v>
      </c>
      <c r="D171">
        <v>2</v>
      </c>
      <c r="F171">
        <v>1</v>
      </c>
      <c r="G171" t="s">
        <v>47</v>
      </c>
      <c r="K171" t="s">
        <v>38</v>
      </c>
      <c r="L171">
        <v>1</v>
      </c>
      <c r="M171">
        <v>1</v>
      </c>
      <c r="N171">
        <v>3</v>
      </c>
      <c r="O171" t="s">
        <v>152</v>
      </c>
      <c r="P171" t="s">
        <v>70</v>
      </c>
      <c r="S171" t="s">
        <v>48</v>
      </c>
      <c r="T171">
        <v>1</v>
      </c>
      <c r="V171">
        <v>2</v>
      </c>
      <c r="W171" t="s">
        <v>89</v>
      </c>
      <c r="AA171" t="s">
        <v>33</v>
      </c>
      <c r="AB171">
        <v>1</v>
      </c>
      <c r="AD171">
        <v>1</v>
      </c>
      <c r="AE171" t="s">
        <v>46</v>
      </c>
      <c r="AI171">
        <v>5</v>
      </c>
      <c r="AJ171">
        <v>24</v>
      </c>
    </row>
    <row r="172" spans="1:36" x14ac:dyDescent="0.25">
      <c r="A172" s="39" t="s">
        <v>397</v>
      </c>
      <c r="B172">
        <v>280</v>
      </c>
      <c r="C172" t="s">
        <v>48</v>
      </c>
      <c r="D172">
        <v>1</v>
      </c>
      <c r="F172">
        <v>1</v>
      </c>
      <c r="G172" t="s">
        <v>49</v>
      </c>
      <c r="K172" t="s">
        <v>33</v>
      </c>
      <c r="L172">
        <v>1</v>
      </c>
      <c r="N172">
        <v>3</v>
      </c>
      <c r="O172" t="s">
        <v>46</v>
      </c>
      <c r="S172" t="s">
        <v>63</v>
      </c>
      <c r="T172">
        <v>2</v>
      </c>
      <c r="V172">
        <v>1</v>
      </c>
      <c r="W172" t="s">
        <v>72</v>
      </c>
      <c r="X172" t="s">
        <v>91</v>
      </c>
      <c r="AA172" t="s">
        <v>38</v>
      </c>
      <c r="AB172">
        <v>1</v>
      </c>
      <c r="AC172">
        <v>2</v>
      </c>
      <c r="AD172">
        <v>1</v>
      </c>
      <c r="AE172" t="s">
        <v>152</v>
      </c>
      <c r="AI172">
        <v>5</v>
      </c>
      <c r="AJ172">
        <v>24</v>
      </c>
    </row>
    <row r="173" spans="1:36" x14ac:dyDescent="0.25">
      <c r="A173" t="s">
        <v>398</v>
      </c>
      <c r="B173">
        <v>283</v>
      </c>
      <c r="C173" t="s">
        <v>33</v>
      </c>
      <c r="D173">
        <v>1</v>
      </c>
      <c r="F173">
        <v>2</v>
      </c>
      <c r="G173" t="s">
        <v>46</v>
      </c>
      <c r="K173" t="s">
        <v>45</v>
      </c>
      <c r="L173">
        <v>3</v>
      </c>
      <c r="N173">
        <v>1</v>
      </c>
      <c r="O173" t="s">
        <v>47</v>
      </c>
      <c r="S173" t="s">
        <v>48</v>
      </c>
      <c r="T173">
        <v>1</v>
      </c>
      <c r="V173">
        <v>1</v>
      </c>
      <c r="W173" t="s">
        <v>89</v>
      </c>
      <c r="AA173" t="s">
        <v>43</v>
      </c>
      <c r="AB173">
        <v>2</v>
      </c>
      <c r="AD173">
        <v>1</v>
      </c>
      <c r="AE173" t="s">
        <v>135</v>
      </c>
      <c r="AF173" t="s">
        <v>136</v>
      </c>
      <c r="AI173">
        <v>5</v>
      </c>
      <c r="AJ173">
        <v>18</v>
      </c>
    </row>
    <row r="174" spans="1:36" x14ac:dyDescent="0.25">
      <c r="A174" t="s">
        <v>399</v>
      </c>
      <c r="B174">
        <v>284</v>
      </c>
      <c r="C174" t="s">
        <v>48</v>
      </c>
      <c r="D174">
        <v>1</v>
      </c>
      <c r="F174">
        <v>1</v>
      </c>
      <c r="G174" t="s">
        <v>49</v>
      </c>
      <c r="K174" t="s">
        <v>43</v>
      </c>
      <c r="L174">
        <v>3</v>
      </c>
      <c r="N174">
        <v>2</v>
      </c>
      <c r="O174" t="s">
        <v>135</v>
      </c>
      <c r="P174" t="s">
        <v>99</v>
      </c>
      <c r="Q174" t="s">
        <v>75</v>
      </c>
      <c r="R174" t="s">
        <v>101</v>
      </c>
      <c r="S174" t="s">
        <v>33</v>
      </c>
      <c r="T174">
        <v>3</v>
      </c>
      <c r="V174">
        <v>1</v>
      </c>
      <c r="W174" t="s">
        <v>46</v>
      </c>
      <c r="AA174" t="s">
        <v>63</v>
      </c>
      <c r="AB174">
        <v>1</v>
      </c>
      <c r="AD174">
        <v>1</v>
      </c>
      <c r="AE174" t="s">
        <v>72</v>
      </c>
      <c r="AI174">
        <v>8</v>
      </c>
      <c r="AJ174">
        <v>34</v>
      </c>
    </row>
    <row r="175" spans="1:36" x14ac:dyDescent="0.25">
      <c r="A175" t="s">
        <v>400</v>
      </c>
      <c r="B175">
        <v>285</v>
      </c>
      <c r="C175" t="s">
        <v>33</v>
      </c>
      <c r="D175">
        <v>2</v>
      </c>
      <c r="F175">
        <v>1</v>
      </c>
      <c r="G175" t="s">
        <v>46</v>
      </c>
      <c r="K175" t="s">
        <v>38</v>
      </c>
      <c r="L175">
        <v>1</v>
      </c>
      <c r="M175">
        <v>1</v>
      </c>
      <c r="N175">
        <v>1</v>
      </c>
      <c r="O175" t="s">
        <v>152</v>
      </c>
      <c r="P175" t="s">
        <v>70</v>
      </c>
      <c r="S175" t="s">
        <v>48</v>
      </c>
      <c r="T175">
        <v>1</v>
      </c>
      <c r="V175">
        <v>1</v>
      </c>
      <c r="W175" t="s">
        <v>49</v>
      </c>
      <c r="AA175" t="s">
        <v>43</v>
      </c>
      <c r="AB175">
        <v>1</v>
      </c>
      <c r="AD175">
        <v>1</v>
      </c>
      <c r="AE175" t="s">
        <v>135</v>
      </c>
      <c r="AF175" t="s">
        <v>136</v>
      </c>
      <c r="AI175">
        <v>3</v>
      </c>
      <c r="AJ175">
        <v>25</v>
      </c>
    </row>
    <row r="176" spans="1:36" x14ac:dyDescent="0.25">
      <c r="A176" t="s">
        <v>401</v>
      </c>
      <c r="B176">
        <v>287</v>
      </c>
      <c r="C176" t="s">
        <v>48</v>
      </c>
      <c r="D176">
        <v>1</v>
      </c>
      <c r="F176">
        <v>1</v>
      </c>
      <c r="G176" t="s">
        <v>49</v>
      </c>
      <c r="K176" t="s">
        <v>43</v>
      </c>
      <c r="L176">
        <v>2</v>
      </c>
      <c r="N176">
        <v>3</v>
      </c>
      <c r="O176" t="s">
        <v>135</v>
      </c>
      <c r="P176" t="s">
        <v>74</v>
      </c>
      <c r="Q176" t="s">
        <v>100</v>
      </c>
      <c r="S176" t="s">
        <v>45</v>
      </c>
      <c r="T176">
        <v>3</v>
      </c>
      <c r="V176">
        <v>2</v>
      </c>
      <c r="W176" t="s">
        <v>47</v>
      </c>
      <c r="X176" t="s">
        <v>76</v>
      </c>
      <c r="AA176" t="s">
        <v>63</v>
      </c>
      <c r="AB176">
        <v>1</v>
      </c>
      <c r="AD176">
        <v>1</v>
      </c>
      <c r="AE176" t="s">
        <v>72</v>
      </c>
      <c r="AF176" t="s">
        <v>95</v>
      </c>
      <c r="AI176">
        <v>10</v>
      </c>
      <c r="AJ176">
        <v>33</v>
      </c>
    </row>
    <row r="177" spans="1:36" x14ac:dyDescent="0.25">
      <c r="A177" t="s">
        <v>402</v>
      </c>
      <c r="B177">
        <v>288</v>
      </c>
      <c r="C177" t="s">
        <v>48</v>
      </c>
      <c r="D177">
        <v>2</v>
      </c>
      <c r="F177">
        <v>1</v>
      </c>
      <c r="G177" t="s">
        <v>89</v>
      </c>
      <c r="H177" t="s">
        <v>50</v>
      </c>
      <c r="K177" t="s">
        <v>43</v>
      </c>
      <c r="L177">
        <v>1</v>
      </c>
      <c r="N177">
        <v>2</v>
      </c>
      <c r="O177" t="s">
        <v>73</v>
      </c>
      <c r="P177" t="s">
        <v>74</v>
      </c>
      <c r="Q177" t="s">
        <v>75</v>
      </c>
      <c r="R177" t="s">
        <v>101</v>
      </c>
      <c r="S177" t="s">
        <v>45</v>
      </c>
      <c r="T177">
        <v>3</v>
      </c>
      <c r="V177">
        <v>1</v>
      </c>
      <c r="W177" t="s">
        <v>47</v>
      </c>
      <c r="AA177" t="s">
        <v>38</v>
      </c>
      <c r="AB177">
        <v>3</v>
      </c>
      <c r="AC177">
        <v>1</v>
      </c>
      <c r="AD177">
        <v>2</v>
      </c>
      <c r="AE177" t="s">
        <v>67</v>
      </c>
      <c r="AF177" t="s">
        <v>70</v>
      </c>
      <c r="AG177" t="s">
        <v>154</v>
      </c>
      <c r="AH177" t="s">
        <v>42</v>
      </c>
      <c r="AI177">
        <v>14</v>
      </c>
      <c r="AJ177">
        <v>44</v>
      </c>
    </row>
    <row r="178" spans="1:36" x14ac:dyDescent="0.25">
      <c r="A178" t="s">
        <v>403</v>
      </c>
      <c r="B178">
        <v>290</v>
      </c>
      <c r="C178" t="s">
        <v>48</v>
      </c>
      <c r="D178">
        <v>1</v>
      </c>
      <c r="F178">
        <v>1</v>
      </c>
      <c r="G178" t="s">
        <v>49</v>
      </c>
      <c r="K178" t="s">
        <v>43</v>
      </c>
      <c r="L178">
        <v>2</v>
      </c>
      <c r="N178">
        <v>1</v>
      </c>
      <c r="O178" t="s">
        <v>135</v>
      </c>
      <c r="P178" t="s">
        <v>99</v>
      </c>
      <c r="Q178" t="s">
        <v>75</v>
      </c>
      <c r="R178" t="s">
        <v>138</v>
      </c>
      <c r="S178" t="s">
        <v>63</v>
      </c>
      <c r="T178">
        <v>1</v>
      </c>
      <c r="V178">
        <v>1</v>
      </c>
      <c r="W178" t="s">
        <v>72</v>
      </c>
      <c r="X178" t="s">
        <v>91</v>
      </c>
      <c r="AA178" t="s">
        <v>38</v>
      </c>
      <c r="AB178">
        <v>1</v>
      </c>
      <c r="AC178">
        <v>1</v>
      </c>
      <c r="AD178">
        <v>2</v>
      </c>
      <c r="AE178" t="s">
        <v>152</v>
      </c>
      <c r="AI178">
        <v>6</v>
      </c>
      <c r="AJ178">
        <v>42</v>
      </c>
    </row>
    <row r="179" spans="1:36" x14ac:dyDescent="0.25">
      <c r="A179" t="s">
        <v>404</v>
      </c>
      <c r="B179">
        <v>293</v>
      </c>
      <c r="C179" t="s">
        <v>48</v>
      </c>
      <c r="D179">
        <v>3</v>
      </c>
      <c r="F179">
        <v>2</v>
      </c>
      <c r="G179" t="s">
        <v>49</v>
      </c>
      <c r="K179" t="s">
        <v>45</v>
      </c>
      <c r="L179">
        <v>2</v>
      </c>
      <c r="N179">
        <v>1</v>
      </c>
      <c r="O179" t="s">
        <v>47</v>
      </c>
      <c r="S179" t="s">
        <v>33</v>
      </c>
      <c r="T179">
        <v>2</v>
      </c>
      <c r="V179">
        <v>1</v>
      </c>
      <c r="W179" t="s">
        <v>46</v>
      </c>
      <c r="AA179" t="s">
        <v>43</v>
      </c>
      <c r="AB179">
        <v>3</v>
      </c>
      <c r="AD179">
        <v>1</v>
      </c>
      <c r="AE179" t="s">
        <v>135</v>
      </c>
      <c r="AF179" t="s">
        <v>74</v>
      </c>
      <c r="AI179">
        <v>8</v>
      </c>
      <c r="AJ179">
        <v>24</v>
      </c>
    </row>
    <row r="180" spans="1:36" x14ac:dyDescent="0.25">
      <c r="A180" t="s">
        <v>405</v>
      </c>
      <c r="B180">
        <v>294</v>
      </c>
      <c r="C180" t="s">
        <v>33</v>
      </c>
      <c r="D180">
        <v>1</v>
      </c>
      <c r="F180">
        <v>3</v>
      </c>
      <c r="G180" t="s">
        <v>46</v>
      </c>
      <c r="K180" t="s">
        <v>63</v>
      </c>
      <c r="L180">
        <v>1</v>
      </c>
      <c r="N180">
        <v>1</v>
      </c>
      <c r="O180" t="s">
        <v>72</v>
      </c>
      <c r="P180" t="s">
        <v>91</v>
      </c>
      <c r="S180" t="s">
        <v>48</v>
      </c>
      <c r="T180">
        <v>2</v>
      </c>
      <c r="V180">
        <v>1</v>
      </c>
      <c r="W180" t="s">
        <v>49</v>
      </c>
      <c r="AA180" t="s">
        <v>45</v>
      </c>
      <c r="AB180">
        <v>2</v>
      </c>
      <c r="AD180">
        <v>1</v>
      </c>
      <c r="AE180" t="s">
        <v>47</v>
      </c>
      <c r="AI180">
        <v>5</v>
      </c>
      <c r="AJ180">
        <v>24</v>
      </c>
    </row>
    <row r="181" spans="1:36" x14ac:dyDescent="0.25">
      <c r="A181" t="s">
        <v>406</v>
      </c>
      <c r="B181">
        <v>295</v>
      </c>
      <c r="C181" t="s">
        <v>48</v>
      </c>
      <c r="D181">
        <v>2</v>
      </c>
      <c r="F181">
        <v>1</v>
      </c>
      <c r="G181" t="s">
        <v>49</v>
      </c>
      <c r="H181" t="s">
        <v>84</v>
      </c>
      <c r="I181" t="s">
        <v>127</v>
      </c>
      <c r="K181" t="s">
        <v>45</v>
      </c>
      <c r="L181">
        <v>2</v>
      </c>
      <c r="N181">
        <v>1</v>
      </c>
      <c r="O181" t="s">
        <v>47</v>
      </c>
      <c r="S181" t="s">
        <v>33</v>
      </c>
      <c r="T181">
        <v>2</v>
      </c>
      <c r="V181">
        <v>2</v>
      </c>
      <c r="W181" t="s">
        <v>46</v>
      </c>
      <c r="AA181" t="s">
        <v>38</v>
      </c>
      <c r="AB181">
        <v>1</v>
      </c>
      <c r="AC181">
        <v>2</v>
      </c>
      <c r="AD181">
        <v>1</v>
      </c>
      <c r="AE181" t="s">
        <v>67</v>
      </c>
      <c r="AI181">
        <v>7</v>
      </c>
      <c r="AJ181">
        <v>25</v>
      </c>
    </row>
    <row r="182" spans="1:36" x14ac:dyDescent="0.25">
      <c r="A182" t="s">
        <v>407</v>
      </c>
      <c r="B182">
        <v>297</v>
      </c>
      <c r="C182" t="s">
        <v>43</v>
      </c>
      <c r="D182">
        <v>3</v>
      </c>
      <c r="F182">
        <v>1</v>
      </c>
      <c r="G182" t="s">
        <v>135</v>
      </c>
      <c r="H182" t="s">
        <v>99</v>
      </c>
      <c r="K182" t="s">
        <v>63</v>
      </c>
      <c r="L182">
        <v>1</v>
      </c>
      <c r="N182">
        <v>1</v>
      </c>
      <c r="O182" t="s">
        <v>72</v>
      </c>
      <c r="P182" t="s">
        <v>91</v>
      </c>
      <c r="S182" t="s">
        <v>48</v>
      </c>
      <c r="T182">
        <v>2</v>
      </c>
      <c r="V182">
        <v>1</v>
      </c>
      <c r="W182" t="s">
        <v>49</v>
      </c>
      <c r="AA182" t="s">
        <v>45</v>
      </c>
      <c r="AB182">
        <v>2</v>
      </c>
      <c r="AD182">
        <v>1</v>
      </c>
      <c r="AE182" t="s">
        <v>47</v>
      </c>
      <c r="AI182">
        <v>6</v>
      </c>
      <c r="AJ182">
        <v>25</v>
      </c>
    </row>
    <row r="183" spans="1:36" x14ac:dyDescent="0.25">
      <c r="A183" t="s">
        <v>408</v>
      </c>
      <c r="B183">
        <v>298</v>
      </c>
      <c r="C183" t="s">
        <v>48</v>
      </c>
      <c r="D183">
        <v>2</v>
      </c>
      <c r="F183">
        <v>1</v>
      </c>
      <c r="G183" t="s">
        <v>89</v>
      </c>
      <c r="H183" t="s">
        <v>71</v>
      </c>
      <c r="K183" t="s">
        <v>45</v>
      </c>
      <c r="L183">
        <v>2</v>
      </c>
      <c r="N183">
        <v>1</v>
      </c>
      <c r="O183" t="s">
        <v>47</v>
      </c>
      <c r="S183" t="s">
        <v>43</v>
      </c>
      <c r="T183">
        <v>1</v>
      </c>
      <c r="V183">
        <v>1</v>
      </c>
      <c r="W183" t="s">
        <v>135</v>
      </c>
      <c r="AA183" t="s">
        <v>38</v>
      </c>
      <c r="AB183">
        <v>2</v>
      </c>
      <c r="AC183">
        <v>1</v>
      </c>
      <c r="AD183">
        <v>2</v>
      </c>
      <c r="AE183" t="s">
        <v>67</v>
      </c>
      <c r="AI183">
        <v>5</v>
      </c>
      <c r="AJ183">
        <v>20</v>
      </c>
    </row>
    <row r="184" spans="1:36" x14ac:dyDescent="0.25">
      <c r="A184" t="s">
        <v>409</v>
      </c>
      <c r="B184">
        <v>300</v>
      </c>
      <c r="C184" t="s">
        <v>48</v>
      </c>
      <c r="D184">
        <v>1</v>
      </c>
      <c r="F184">
        <v>1</v>
      </c>
      <c r="G184" t="s">
        <v>49</v>
      </c>
      <c r="K184" t="s">
        <v>45</v>
      </c>
      <c r="L184">
        <v>3</v>
      </c>
      <c r="N184">
        <v>2</v>
      </c>
      <c r="O184" t="s">
        <v>47</v>
      </c>
      <c r="P184" t="s">
        <v>76</v>
      </c>
      <c r="Q184" t="s">
        <v>93</v>
      </c>
      <c r="S184" t="s">
        <v>63</v>
      </c>
      <c r="T184">
        <v>2</v>
      </c>
      <c r="V184">
        <v>1</v>
      </c>
      <c r="W184" t="s">
        <v>72</v>
      </c>
      <c r="AA184" t="s">
        <v>38</v>
      </c>
      <c r="AB184">
        <v>1</v>
      </c>
      <c r="AC184">
        <v>2</v>
      </c>
      <c r="AD184">
        <v>2</v>
      </c>
      <c r="AE184" t="s">
        <v>67</v>
      </c>
      <c r="AI184">
        <v>8</v>
      </c>
      <c r="AJ184">
        <v>33</v>
      </c>
    </row>
    <row r="185" spans="1:36" x14ac:dyDescent="0.25">
      <c r="A185" t="s">
        <v>410</v>
      </c>
      <c r="B185">
        <v>303</v>
      </c>
      <c r="C185" t="s">
        <v>48</v>
      </c>
      <c r="D185">
        <v>2</v>
      </c>
      <c r="F185">
        <v>1</v>
      </c>
      <c r="G185" t="s">
        <v>89</v>
      </c>
      <c r="K185" t="s">
        <v>63</v>
      </c>
      <c r="L185">
        <v>1</v>
      </c>
      <c r="N185">
        <v>1</v>
      </c>
      <c r="O185" t="s">
        <v>72</v>
      </c>
      <c r="P185" t="s">
        <v>91</v>
      </c>
      <c r="S185" t="s">
        <v>33</v>
      </c>
      <c r="T185">
        <v>2</v>
      </c>
      <c r="V185">
        <v>3</v>
      </c>
      <c r="W185" t="s">
        <v>46</v>
      </c>
      <c r="AA185" t="s">
        <v>43</v>
      </c>
      <c r="AB185">
        <v>1</v>
      </c>
      <c r="AD185">
        <v>1</v>
      </c>
      <c r="AE185" t="s">
        <v>135</v>
      </c>
      <c r="AI185">
        <v>5</v>
      </c>
      <c r="AJ185">
        <v>32</v>
      </c>
    </row>
    <row r="186" spans="1:36" x14ac:dyDescent="0.25">
      <c r="A186" t="s">
        <v>411</v>
      </c>
      <c r="B186">
        <v>304</v>
      </c>
      <c r="C186" t="s">
        <v>33</v>
      </c>
      <c r="D186">
        <v>1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X186" t="s">
        <v>50</v>
      </c>
      <c r="AA186" t="s">
        <v>63</v>
      </c>
      <c r="AB186">
        <v>1</v>
      </c>
      <c r="AD186">
        <v>1</v>
      </c>
      <c r="AE186" t="s">
        <v>72</v>
      </c>
      <c r="AI186">
        <v>3</v>
      </c>
      <c r="AJ186">
        <v>26</v>
      </c>
    </row>
    <row r="187" spans="1:36" x14ac:dyDescent="0.25">
      <c r="A187" t="s">
        <v>412</v>
      </c>
      <c r="B187">
        <v>305</v>
      </c>
      <c r="C187" t="s">
        <v>48</v>
      </c>
      <c r="D187">
        <v>2</v>
      </c>
      <c r="F187">
        <v>1</v>
      </c>
      <c r="G187" t="s">
        <v>89</v>
      </c>
      <c r="K187" t="s">
        <v>63</v>
      </c>
      <c r="L187">
        <v>1</v>
      </c>
      <c r="N187">
        <v>1</v>
      </c>
      <c r="O187" t="s">
        <v>72</v>
      </c>
      <c r="P187" t="s">
        <v>146</v>
      </c>
      <c r="S187" t="s">
        <v>33</v>
      </c>
      <c r="T187">
        <v>1</v>
      </c>
      <c r="V187">
        <v>3</v>
      </c>
      <c r="W187" t="s">
        <v>46</v>
      </c>
      <c r="AA187" t="s">
        <v>38</v>
      </c>
      <c r="AB187">
        <v>2</v>
      </c>
      <c r="AC187">
        <v>1</v>
      </c>
      <c r="AD187">
        <v>1</v>
      </c>
      <c r="AE187" t="s">
        <v>152</v>
      </c>
      <c r="AI187">
        <v>5</v>
      </c>
      <c r="AJ187">
        <v>29</v>
      </c>
    </row>
    <row r="188" spans="1:36" x14ac:dyDescent="0.25">
      <c r="A188" t="s">
        <v>413</v>
      </c>
      <c r="B188">
        <v>307</v>
      </c>
      <c r="C188" t="s">
        <v>48</v>
      </c>
      <c r="D188">
        <v>3</v>
      </c>
      <c r="F188">
        <v>1</v>
      </c>
      <c r="G188" t="s">
        <v>89</v>
      </c>
      <c r="H188" t="s">
        <v>50</v>
      </c>
      <c r="I188" t="s">
        <v>90</v>
      </c>
      <c r="K188" t="s">
        <v>63</v>
      </c>
      <c r="L188">
        <v>1</v>
      </c>
      <c r="N188">
        <v>1</v>
      </c>
      <c r="O188" t="s">
        <v>72</v>
      </c>
      <c r="P188" t="s">
        <v>91</v>
      </c>
      <c r="S188" t="s">
        <v>43</v>
      </c>
      <c r="T188">
        <v>2</v>
      </c>
      <c r="V188">
        <v>1</v>
      </c>
      <c r="W188" t="s">
        <v>135</v>
      </c>
      <c r="X188" t="s">
        <v>74</v>
      </c>
      <c r="Y188" t="s">
        <v>100</v>
      </c>
      <c r="Z188" t="s">
        <v>101</v>
      </c>
      <c r="AA188" t="s">
        <v>45</v>
      </c>
      <c r="AB188">
        <v>2</v>
      </c>
      <c r="AD188">
        <v>1</v>
      </c>
      <c r="AE188" t="s">
        <v>47</v>
      </c>
      <c r="AI188">
        <v>11</v>
      </c>
      <c r="AJ188">
        <v>36</v>
      </c>
    </row>
    <row r="189" spans="1:36" x14ac:dyDescent="0.25">
      <c r="A189" t="s">
        <v>414</v>
      </c>
      <c r="B189">
        <v>308</v>
      </c>
      <c r="C189" t="s">
        <v>43</v>
      </c>
      <c r="D189">
        <v>2</v>
      </c>
      <c r="F189">
        <v>3</v>
      </c>
      <c r="G189" t="s">
        <v>135</v>
      </c>
      <c r="H189" t="s">
        <v>74</v>
      </c>
      <c r="I189" t="s">
        <v>75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2</v>
      </c>
      <c r="V189">
        <v>1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F189" t="s">
        <v>146</v>
      </c>
      <c r="AI189">
        <v>9</v>
      </c>
      <c r="AJ189">
        <v>40</v>
      </c>
    </row>
    <row r="190" spans="1:36" x14ac:dyDescent="0.25">
      <c r="A190" t="s">
        <v>415</v>
      </c>
      <c r="B190">
        <v>310</v>
      </c>
      <c r="C190" t="s">
        <v>48</v>
      </c>
      <c r="D190">
        <v>2</v>
      </c>
      <c r="F190">
        <v>1</v>
      </c>
      <c r="G190" t="s">
        <v>89</v>
      </c>
      <c r="K190" t="s">
        <v>63</v>
      </c>
      <c r="L190">
        <v>1</v>
      </c>
      <c r="N190">
        <v>1</v>
      </c>
      <c r="O190" t="s">
        <v>72</v>
      </c>
      <c r="P190" t="s">
        <v>91</v>
      </c>
      <c r="Q190" t="s">
        <v>147</v>
      </c>
      <c r="S190" t="s">
        <v>45</v>
      </c>
      <c r="T190">
        <v>3</v>
      </c>
      <c r="V190">
        <v>1</v>
      </c>
      <c r="W190" t="s">
        <v>47</v>
      </c>
      <c r="AA190" t="s">
        <v>38</v>
      </c>
      <c r="AB190">
        <v>2</v>
      </c>
      <c r="AC190">
        <v>1</v>
      </c>
      <c r="AD190">
        <v>1</v>
      </c>
      <c r="AE190" t="s">
        <v>152</v>
      </c>
      <c r="AI190">
        <v>6</v>
      </c>
      <c r="AJ190">
        <v>27</v>
      </c>
    </row>
    <row r="191" spans="1:36" x14ac:dyDescent="0.25">
      <c r="A191" t="s">
        <v>416</v>
      </c>
      <c r="B191">
        <v>313</v>
      </c>
      <c r="C191" t="s">
        <v>48</v>
      </c>
      <c r="D191">
        <v>3</v>
      </c>
      <c r="F191">
        <v>1</v>
      </c>
      <c r="G191" t="s">
        <v>89</v>
      </c>
      <c r="H191" t="s">
        <v>71</v>
      </c>
      <c r="K191" t="s">
        <v>38</v>
      </c>
      <c r="L191">
        <v>1</v>
      </c>
      <c r="M191">
        <v>1</v>
      </c>
      <c r="N191">
        <v>2</v>
      </c>
      <c r="O191" t="s">
        <v>67</v>
      </c>
      <c r="S191" t="s">
        <v>33</v>
      </c>
      <c r="T191">
        <v>2</v>
      </c>
      <c r="V191">
        <v>2</v>
      </c>
      <c r="W191" t="s">
        <v>46</v>
      </c>
      <c r="AA191" t="s">
        <v>43</v>
      </c>
      <c r="AB191">
        <v>1</v>
      </c>
      <c r="AD191">
        <v>1</v>
      </c>
      <c r="AE191" t="s">
        <v>135</v>
      </c>
      <c r="AF191" t="s">
        <v>99</v>
      </c>
      <c r="AI191">
        <v>7</v>
      </c>
      <c r="AJ191">
        <v>33</v>
      </c>
    </row>
    <row r="192" spans="1:36" x14ac:dyDescent="0.25">
      <c r="A192" t="s">
        <v>417</v>
      </c>
      <c r="B192">
        <v>314</v>
      </c>
      <c r="C192" t="s">
        <v>33</v>
      </c>
      <c r="D192">
        <v>1</v>
      </c>
      <c r="F192">
        <v>3</v>
      </c>
      <c r="G192" t="s">
        <v>46</v>
      </c>
      <c r="H192" t="s">
        <v>35</v>
      </c>
      <c r="I192" t="s">
        <v>36</v>
      </c>
      <c r="K192" t="s">
        <v>45</v>
      </c>
      <c r="L192">
        <v>2</v>
      </c>
      <c r="N192">
        <v>1</v>
      </c>
      <c r="O192" t="s">
        <v>47</v>
      </c>
      <c r="S192" t="s">
        <v>48</v>
      </c>
      <c r="T192">
        <v>2</v>
      </c>
      <c r="V192">
        <v>1</v>
      </c>
      <c r="W192" t="s">
        <v>89</v>
      </c>
      <c r="AA192" t="s">
        <v>38</v>
      </c>
      <c r="AB192">
        <v>1</v>
      </c>
      <c r="AC192">
        <v>1</v>
      </c>
      <c r="AD192">
        <v>2</v>
      </c>
      <c r="AE192" t="s">
        <v>67</v>
      </c>
      <c r="AI192">
        <v>7</v>
      </c>
      <c r="AJ192">
        <v>29</v>
      </c>
    </row>
    <row r="193" spans="1:36" x14ac:dyDescent="0.25">
      <c r="A193" t="s">
        <v>418</v>
      </c>
      <c r="B193">
        <v>315</v>
      </c>
      <c r="C193" t="s">
        <v>48</v>
      </c>
      <c r="D193">
        <v>1</v>
      </c>
      <c r="F193">
        <v>1</v>
      </c>
      <c r="G193" t="s">
        <v>49</v>
      </c>
      <c r="K193" t="s">
        <v>38</v>
      </c>
      <c r="L193">
        <v>1</v>
      </c>
      <c r="M193">
        <v>1</v>
      </c>
      <c r="N193">
        <v>2</v>
      </c>
      <c r="O193" t="s">
        <v>67</v>
      </c>
      <c r="S193" t="s">
        <v>33</v>
      </c>
      <c r="T193">
        <v>1</v>
      </c>
      <c r="V193">
        <v>2</v>
      </c>
      <c r="W193" t="s">
        <v>46</v>
      </c>
      <c r="AA193" t="s">
        <v>63</v>
      </c>
      <c r="AB193">
        <v>1</v>
      </c>
      <c r="AD193">
        <v>1</v>
      </c>
      <c r="AE193" t="s">
        <v>72</v>
      </c>
      <c r="AI193">
        <v>2</v>
      </c>
      <c r="AJ193">
        <v>26</v>
      </c>
    </row>
    <row r="194" spans="1:36" x14ac:dyDescent="0.25">
      <c r="A194" t="s">
        <v>419</v>
      </c>
      <c r="B194">
        <v>317</v>
      </c>
      <c r="C194" t="s">
        <v>48</v>
      </c>
      <c r="D194">
        <v>1</v>
      </c>
      <c r="F194">
        <v>3</v>
      </c>
      <c r="G194" t="s">
        <v>89</v>
      </c>
      <c r="H194" t="s">
        <v>50</v>
      </c>
      <c r="I194" t="s">
        <v>127</v>
      </c>
      <c r="J194" t="s">
        <v>128</v>
      </c>
      <c r="K194" t="s">
        <v>38</v>
      </c>
      <c r="L194">
        <v>1</v>
      </c>
      <c r="M194">
        <v>1</v>
      </c>
      <c r="N194">
        <v>2</v>
      </c>
      <c r="O194" t="s">
        <v>67</v>
      </c>
      <c r="S194" t="s">
        <v>43</v>
      </c>
      <c r="T194">
        <v>1</v>
      </c>
      <c r="V194">
        <v>1</v>
      </c>
      <c r="W194" t="s">
        <v>135</v>
      </c>
      <c r="X194" t="s">
        <v>99</v>
      </c>
      <c r="AA194" t="s">
        <v>45</v>
      </c>
      <c r="AB194">
        <v>3</v>
      </c>
      <c r="AD194">
        <v>2</v>
      </c>
      <c r="AE194" t="s">
        <v>47</v>
      </c>
      <c r="AI194">
        <v>10</v>
      </c>
      <c r="AJ194">
        <v>32</v>
      </c>
    </row>
    <row r="195" spans="1:36" x14ac:dyDescent="0.25">
      <c r="A195" t="s">
        <v>420</v>
      </c>
      <c r="B195">
        <v>318</v>
      </c>
      <c r="C195" t="s">
        <v>48</v>
      </c>
      <c r="D195">
        <v>1</v>
      </c>
      <c r="F195">
        <v>1</v>
      </c>
      <c r="G195" t="s">
        <v>49</v>
      </c>
      <c r="K195" t="s">
        <v>38</v>
      </c>
      <c r="L195">
        <v>1</v>
      </c>
      <c r="M195">
        <v>1</v>
      </c>
      <c r="N195">
        <v>2</v>
      </c>
      <c r="O195" t="s">
        <v>67</v>
      </c>
      <c r="P195" t="s">
        <v>70</v>
      </c>
      <c r="S195" t="s">
        <v>43</v>
      </c>
      <c r="T195">
        <v>1</v>
      </c>
      <c r="V195">
        <v>1</v>
      </c>
      <c r="W195" t="s">
        <v>135</v>
      </c>
      <c r="AA195" t="s">
        <v>63</v>
      </c>
      <c r="AB195">
        <v>1</v>
      </c>
      <c r="AD195">
        <v>1</v>
      </c>
      <c r="AE195" t="s">
        <v>72</v>
      </c>
      <c r="AF195" t="s">
        <v>91</v>
      </c>
      <c r="AI195">
        <v>3</v>
      </c>
      <c r="AJ195">
        <v>25</v>
      </c>
    </row>
    <row r="196" spans="1:36" x14ac:dyDescent="0.25">
      <c r="A196" t="s">
        <v>421</v>
      </c>
      <c r="B196">
        <v>320</v>
      </c>
      <c r="C196" t="s">
        <v>45</v>
      </c>
      <c r="D196">
        <v>3</v>
      </c>
      <c r="F196">
        <v>1</v>
      </c>
      <c r="G196" t="s">
        <v>47</v>
      </c>
      <c r="K196" t="s">
        <v>63</v>
      </c>
      <c r="L196">
        <v>1</v>
      </c>
      <c r="N196">
        <v>1</v>
      </c>
      <c r="O196" t="s">
        <v>72</v>
      </c>
      <c r="S196" t="s">
        <v>48</v>
      </c>
      <c r="T196">
        <v>3</v>
      </c>
      <c r="V196">
        <v>1</v>
      </c>
      <c r="W196" t="s">
        <v>49</v>
      </c>
      <c r="AA196" t="s">
        <v>38</v>
      </c>
      <c r="AB196">
        <v>1</v>
      </c>
      <c r="AC196">
        <v>1</v>
      </c>
      <c r="AD196">
        <v>2</v>
      </c>
      <c r="AE196" t="s">
        <v>67</v>
      </c>
      <c r="AF196" t="s">
        <v>70</v>
      </c>
      <c r="AI196">
        <v>6</v>
      </c>
      <c r="AJ196">
        <v>25</v>
      </c>
    </row>
    <row r="197" spans="1:36" x14ac:dyDescent="0.25">
      <c r="A197" t="s">
        <v>422</v>
      </c>
      <c r="B197">
        <v>333</v>
      </c>
      <c r="C197" t="s">
        <v>45</v>
      </c>
      <c r="D197">
        <v>2</v>
      </c>
      <c r="F197">
        <v>1</v>
      </c>
      <c r="G197" t="s">
        <v>47</v>
      </c>
      <c r="K197" t="s">
        <v>63</v>
      </c>
      <c r="L197">
        <v>1</v>
      </c>
      <c r="N197">
        <v>1</v>
      </c>
      <c r="O197" t="s">
        <v>145</v>
      </c>
      <c r="P197" t="s">
        <v>95</v>
      </c>
      <c r="S197" t="s">
        <v>33</v>
      </c>
      <c r="T197">
        <v>1</v>
      </c>
      <c r="V197">
        <v>3</v>
      </c>
      <c r="W197" t="s">
        <v>46</v>
      </c>
      <c r="AA197" t="s">
        <v>43</v>
      </c>
      <c r="AB197">
        <v>1</v>
      </c>
      <c r="AD197">
        <v>1</v>
      </c>
      <c r="AE197" t="s">
        <v>135</v>
      </c>
      <c r="AF197" t="s">
        <v>99</v>
      </c>
      <c r="AI197">
        <v>5</v>
      </c>
      <c r="AJ197">
        <v>17</v>
      </c>
    </row>
    <row r="198" spans="1:36" x14ac:dyDescent="0.25">
      <c r="A198" t="s">
        <v>423</v>
      </c>
      <c r="B198">
        <v>334</v>
      </c>
      <c r="C198" t="s">
        <v>33</v>
      </c>
      <c r="D198">
        <v>1</v>
      </c>
      <c r="F198">
        <v>2</v>
      </c>
      <c r="G198" t="s">
        <v>46</v>
      </c>
      <c r="K198" t="s">
        <v>43</v>
      </c>
      <c r="L198">
        <v>2</v>
      </c>
      <c r="N198">
        <v>2</v>
      </c>
      <c r="O198" t="s">
        <v>135</v>
      </c>
      <c r="P198" t="s">
        <v>74</v>
      </c>
      <c r="Q198" t="s">
        <v>75</v>
      </c>
      <c r="S198" t="s">
        <v>45</v>
      </c>
      <c r="T198">
        <v>2</v>
      </c>
      <c r="V198">
        <v>1</v>
      </c>
      <c r="W198" t="s">
        <v>140</v>
      </c>
      <c r="AA198" t="s">
        <v>38</v>
      </c>
      <c r="AB198">
        <v>3</v>
      </c>
      <c r="AC198">
        <v>1</v>
      </c>
      <c r="AD198">
        <v>2</v>
      </c>
      <c r="AE198" t="s">
        <v>67</v>
      </c>
      <c r="AF198" t="s">
        <v>96</v>
      </c>
      <c r="AI198">
        <v>10</v>
      </c>
      <c r="AJ198">
        <v>26</v>
      </c>
    </row>
    <row r="199" spans="1:36" x14ac:dyDescent="0.25">
      <c r="A199" t="s">
        <v>424</v>
      </c>
      <c r="B199">
        <v>336</v>
      </c>
      <c r="C199" t="s">
        <v>63</v>
      </c>
      <c r="D199">
        <v>1</v>
      </c>
      <c r="F199">
        <v>1</v>
      </c>
      <c r="G199" t="s">
        <v>72</v>
      </c>
      <c r="H199" t="s">
        <v>95</v>
      </c>
      <c r="K199" t="s">
        <v>38</v>
      </c>
      <c r="L199">
        <v>1</v>
      </c>
      <c r="M199">
        <v>1</v>
      </c>
      <c r="N199">
        <v>3</v>
      </c>
      <c r="O199" t="s">
        <v>67</v>
      </c>
      <c r="P199" t="s">
        <v>70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2</v>
      </c>
      <c r="AD199">
        <v>1</v>
      </c>
      <c r="AE199" t="s">
        <v>135</v>
      </c>
      <c r="AF199" t="s">
        <v>74</v>
      </c>
      <c r="AG199" t="s">
        <v>137</v>
      </c>
      <c r="AI199">
        <v>7</v>
      </c>
      <c r="AJ199">
        <v>21</v>
      </c>
    </row>
    <row r="200" spans="1:36" x14ac:dyDescent="0.25">
      <c r="A200" t="s">
        <v>425</v>
      </c>
      <c r="B200">
        <v>339</v>
      </c>
      <c r="C200" t="s">
        <v>33</v>
      </c>
      <c r="D200">
        <v>3</v>
      </c>
      <c r="F200">
        <v>3</v>
      </c>
      <c r="G200" t="s">
        <v>46</v>
      </c>
      <c r="K200" t="s">
        <v>45</v>
      </c>
      <c r="L200">
        <v>2</v>
      </c>
      <c r="N200">
        <v>1</v>
      </c>
      <c r="O200" t="s">
        <v>86</v>
      </c>
      <c r="S200" t="s">
        <v>43</v>
      </c>
      <c r="T200">
        <v>1</v>
      </c>
      <c r="V200">
        <v>3</v>
      </c>
      <c r="W200" t="s">
        <v>135</v>
      </c>
      <c r="X200" t="s">
        <v>136</v>
      </c>
      <c r="AA200" t="s">
        <v>63</v>
      </c>
      <c r="AB200">
        <v>2</v>
      </c>
      <c r="AD200">
        <v>1</v>
      </c>
      <c r="AE200" t="s">
        <v>72</v>
      </c>
      <c r="AI200">
        <v>9</v>
      </c>
      <c r="AJ200">
        <v>38</v>
      </c>
    </row>
    <row r="201" spans="1:36" x14ac:dyDescent="0.25">
      <c r="A201" t="s">
        <v>426</v>
      </c>
      <c r="B201">
        <v>340</v>
      </c>
      <c r="C201" t="s">
        <v>43</v>
      </c>
      <c r="D201">
        <v>1</v>
      </c>
      <c r="F201">
        <v>3</v>
      </c>
      <c r="G201" t="s">
        <v>135</v>
      </c>
      <c r="H201" t="s">
        <v>74</v>
      </c>
      <c r="K201" t="s">
        <v>38</v>
      </c>
      <c r="L201">
        <v>1</v>
      </c>
      <c r="M201">
        <v>1</v>
      </c>
      <c r="N201">
        <v>1</v>
      </c>
      <c r="O201" t="s">
        <v>67</v>
      </c>
      <c r="P201" t="s">
        <v>70</v>
      </c>
      <c r="S201" t="s">
        <v>33</v>
      </c>
      <c r="T201">
        <v>2</v>
      </c>
      <c r="V201">
        <v>1</v>
      </c>
      <c r="W201" t="s">
        <v>46</v>
      </c>
      <c r="AA201" t="s">
        <v>45</v>
      </c>
      <c r="AB201">
        <v>2</v>
      </c>
      <c r="AD201">
        <v>1</v>
      </c>
      <c r="AE201" t="s">
        <v>86</v>
      </c>
      <c r="AI201">
        <v>6</v>
      </c>
      <c r="AJ201">
        <v>22</v>
      </c>
    </row>
    <row r="202" spans="1:36" x14ac:dyDescent="0.25">
      <c r="A202" t="s">
        <v>427</v>
      </c>
      <c r="B202">
        <v>342</v>
      </c>
      <c r="C202" t="s">
        <v>63</v>
      </c>
      <c r="D202">
        <v>2</v>
      </c>
      <c r="F202">
        <v>1</v>
      </c>
      <c r="G202" t="s">
        <v>72</v>
      </c>
      <c r="H202" t="s">
        <v>91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1</v>
      </c>
      <c r="AE202" t="s">
        <v>47</v>
      </c>
      <c r="AI202">
        <v>5</v>
      </c>
      <c r="AJ202">
        <v>18</v>
      </c>
    </row>
    <row r="203" spans="1:36" x14ac:dyDescent="0.25">
      <c r="A203" t="s">
        <v>428</v>
      </c>
      <c r="B203">
        <v>345</v>
      </c>
      <c r="C203" t="s">
        <v>33</v>
      </c>
      <c r="D203">
        <v>1</v>
      </c>
      <c r="F203">
        <v>2</v>
      </c>
      <c r="G203" t="s">
        <v>46</v>
      </c>
      <c r="K203" t="s">
        <v>63</v>
      </c>
      <c r="L203">
        <v>2</v>
      </c>
      <c r="N203">
        <v>2</v>
      </c>
      <c r="O203" t="s">
        <v>72</v>
      </c>
      <c r="P203" t="s">
        <v>91</v>
      </c>
      <c r="S203" t="s">
        <v>43</v>
      </c>
      <c r="T203">
        <v>2</v>
      </c>
      <c r="V203">
        <v>1</v>
      </c>
      <c r="W203" t="s">
        <v>135</v>
      </c>
      <c r="X203" t="s">
        <v>136</v>
      </c>
      <c r="AA203" t="s">
        <v>45</v>
      </c>
      <c r="AB203">
        <v>3</v>
      </c>
      <c r="AD203">
        <v>2</v>
      </c>
      <c r="AE203" t="s">
        <v>47</v>
      </c>
      <c r="AI203">
        <v>9</v>
      </c>
      <c r="AJ203">
        <v>37</v>
      </c>
    </row>
    <row r="204" spans="1:36" x14ac:dyDescent="0.25">
      <c r="A204" t="s">
        <v>429</v>
      </c>
      <c r="B204">
        <v>346</v>
      </c>
      <c r="C204" t="s">
        <v>43</v>
      </c>
      <c r="D204">
        <v>2</v>
      </c>
      <c r="F204">
        <v>1</v>
      </c>
      <c r="G204" t="s">
        <v>135</v>
      </c>
      <c r="H204" t="s">
        <v>74</v>
      </c>
      <c r="K204" t="s">
        <v>38</v>
      </c>
      <c r="L204">
        <v>1</v>
      </c>
      <c r="M204">
        <v>1</v>
      </c>
      <c r="N204">
        <v>1</v>
      </c>
      <c r="O204" t="s">
        <v>152</v>
      </c>
      <c r="S204" t="s">
        <v>33</v>
      </c>
      <c r="T204">
        <v>1</v>
      </c>
      <c r="V204">
        <v>1</v>
      </c>
      <c r="W204" t="s">
        <v>46</v>
      </c>
      <c r="AA204" t="s">
        <v>63</v>
      </c>
      <c r="AB204">
        <v>1</v>
      </c>
      <c r="AD204">
        <v>1</v>
      </c>
      <c r="AE204" t="s">
        <v>72</v>
      </c>
      <c r="AF204" t="s">
        <v>91</v>
      </c>
      <c r="AI204">
        <v>3</v>
      </c>
      <c r="AJ204">
        <v>23</v>
      </c>
    </row>
    <row r="205" spans="1:36" x14ac:dyDescent="0.25">
      <c r="A205" t="s">
        <v>430</v>
      </c>
      <c r="B205">
        <v>348</v>
      </c>
      <c r="C205" t="s">
        <v>45</v>
      </c>
      <c r="D205">
        <v>2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1</v>
      </c>
      <c r="AD205">
        <v>2</v>
      </c>
      <c r="AE205" t="s">
        <v>72</v>
      </c>
      <c r="AF205" t="s">
        <v>91</v>
      </c>
      <c r="AI205">
        <v>4</v>
      </c>
      <c r="AJ205">
        <v>22</v>
      </c>
    </row>
    <row r="206" spans="1:36" x14ac:dyDescent="0.25">
      <c r="A206" t="s">
        <v>431</v>
      </c>
      <c r="B206">
        <v>351</v>
      </c>
      <c r="C206" t="s">
        <v>33</v>
      </c>
      <c r="D206">
        <v>2</v>
      </c>
      <c r="F206">
        <v>3</v>
      </c>
      <c r="G206" t="s">
        <v>46</v>
      </c>
      <c r="K206" t="s">
        <v>38</v>
      </c>
      <c r="L206">
        <v>3</v>
      </c>
      <c r="M206">
        <v>1</v>
      </c>
      <c r="N206">
        <v>3</v>
      </c>
      <c r="O206" t="s">
        <v>67</v>
      </c>
      <c r="S206" t="s">
        <v>43</v>
      </c>
      <c r="T206">
        <v>2</v>
      </c>
      <c r="V206">
        <v>1</v>
      </c>
      <c r="W206" t="s">
        <v>135</v>
      </c>
      <c r="X206" t="s">
        <v>74</v>
      </c>
      <c r="AA206" t="s">
        <v>45</v>
      </c>
      <c r="AB206">
        <v>3</v>
      </c>
      <c r="AD206">
        <v>2</v>
      </c>
      <c r="AE206" t="s">
        <v>140</v>
      </c>
      <c r="AI206">
        <v>12</v>
      </c>
      <c r="AJ206">
        <v>34</v>
      </c>
    </row>
    <row r="207" spans="1:36" x14ac:dyDescent="0.25">
      <c r="A207" t="s">
        <v>432</v>
      </c>
      <c r="B207">
        <v>352</v>
      </c>
      <c r="C207" t="s">
        <v>33</v>
      </c>
      <c r="D207">
        <v>3</v>
      </c>
      <c r="F207">
        <v>2</v>
      </c>
      <c r="G207" t="s">
        <v>46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AA207" t="s">
        <v>63</v>
      </c>
      <c r="AB207">
        <v>3</v>
      </c>
      <c r="AD207">
        <v>1</v>
      </c>
      <c r="AE207" t="s">
        <v>72</v>
      </c>
      <c r="AF207" t="s">
        <v>91</v>
      </c>
      <c r="AI207">
        <v>7</v>
      </c>
      <c r="AJ207">
        <v>32</v>
      </c>
    </row>
    <row r="208" spans="1:36" x14ac:dyDescent="0.25">
      <c r="A208" t="s">
        <v>433</v>
      </c>
      <c r="B208">
        <v>354</v>
      </c>
      <c r="C208" t="s">
        <v>33</v>
      </c>
      <c r="D208">
        <v>2</v>
      </c>
      <c r="F208">
        <v>3</v>
      </c>
      <c r="G208" t="s">
        <v>46</v>
      </c>
      <c r="H208" t="s">
        <v>130</v>
      </c>
      <c r="K208" t="s">
        <v>38</v>
      </c>
      <c r="L208">
        <v>1</v>
      </c>
      <c r="M208">
        <v>1</v>
      </c>
      <c r="N208">
        <v>1</v>
      </c>
      <c r="O208" t="s">
        <v>67</v>
      </c>
      <c r="S208" t="s">
        <v>45</v>
      </c>
      <c r="T208">
        <v>1</v>
      </c>
      <c r="V208">
        <v>1</v>
      </c>
      <c r="W208" t="s">
        <v>47</v>
      </c>
      <c r="AA208" t="s">
        <v>63</v>
      </c>
      <c r="AB208">
        <v>2</v>
      </c>
      <c r="AD208">
        <v>1</v>
      </c>
      <c r="AE208" t="s">
        <v>72</v>
      </c>
      <c r="AF208" t="s">
        <v>95</v>
      </c>
      <c r="AG208" t="s">
        <v>147</v>
      </c>
      <c r="AI208">
        <v>7</v>
      </c>
      <c r="AJ208">
        <v>30</v>
      </c>
    </row>
    <row r="209" spans="1:36" x14ac:dyDescent="0.25">
      <c r="A209" t="s">
        <v>434</v>
      </c>
      <c r="B209">
        <v>363</v>
      </c>
      <c r="C209" t="s">
        <v>63</v>
      </c>
      <c r="D209">
        <v>1</v>
      </c>
      <c r="F209">
        <v>1</v>
      </c>
      <c r="G209" t="s">
        <v>72</v>
      </c>
      <c r="H209" t="s">
        <v>146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70</v>
      </c>
      <c r="S209" t="s">
        <v>43</v>
      </c>
      <c r="T209">
        <v>1</v>
      </c>
      <c r="V209">
        <v>1</v>
      </c>
      <c r="W209" t="s">
        <v>135</v>
      </c>
      <c r="X209" t="s">
        <v>74</v>
      </c>
      <c r="AA209" t="s">
        <v>45</v>
      </c>
      <c r="AB209">
        <v>2</v>
      </c>
      <c r="AD209">
        <v>1</v>
      </c>
      <c r="AE209" t="s">
        <v>47</v>
      </c>
      <c r="AI209">
        <v>5</v>
      </c>
      <c r="AJ209">
        <v>22</v>
      </c>
    </row>
    <row r="210" spans="1:36" x14ac:dyDescent="0.25">
      <c r="A210" t="s">
        <v>435</v>
      </c>
      <c r="B210">
        <v>366</v>
      </c>
      <c r="C210" t="s">
        <v>45</v>
      </c>
      <c r="D210">
        <v>2</v>
      </c>
      <c r="F210">
        <v>1</v>
      </c>
      <c r="G210" t="s">
        <v>47</v>
      </c>
      <c r="K210" t="s">
        <v>38</v>
      </c>
      <c r="L210">
        <v>1</v>
      </c>
      <c r="M210">
        <v>1</v>
      </c>
      <c r="N210">
        <v>1</v>
      </c>
      <c r="O210" t="s">
        <v>152</v>
      </c>
      <c r="P210" t="s">
        <v>70</v>
      </c>
      <c r="S210" t="s">
        <v>43</v>
      </c>
      <c r="T210">
        <v>1</v>
      </c>
      <c r="V210">
        <v>1</v>
      </c>
      <c r="W210" t="s">
        <v>135</v>
      </c>
      <c r="AA210" t="s">
        <v>63</v>
      </c>
      <c r="AB210">
        <v>2</v>
      </c>
      <c r="AD210">
        <v>1</v>
      </c>
      <c r="AE210" t="s">
        <v>72</v>
      </c>
      <c r="AI210">
        <v>3</v>
      </c>
      <c r="AJ210">
        <v>20</v>
      </c>
    </row>
    <row r="211" spans="1:36" x14ac:dyDescent="0.25">
      <c r="A211" t="s">
        <v>436</v>
      </c>
      <c r="B211">
        <v>369</v>
      </c>
      <c r="C211" t="s">
        <v>43</v>
      </c>
      <c r="D211">
        <v>2</v>
      </c>
      <c r="F211">
        <v>1</v>
      </c>
      <c r="G211" t="s">
        <v>135</v>
      </c>
      <c r="H211" t="s">
        <v>74</v>
      </c>
      <c r="I211" t="s">
        <v>75</v>
      </c>
      <c r="J211" t="s">
        <v>138</v>
      </c>
      <c r="K211" t="s">
        <v>38</v>
      </c>
      <c r="L211">
        <v>1</v>
      </c>
      <c r="M211">
        <v>1</v>
      </c>
      <c r="N211">
        <v>1</v>
      </c>
      <c r="O211" t="s">
        <v>67</v>
      </c>
      <c r="P211" t="s">
        <v>70</v>
      </c>
      <c r="S211" t="s">
        <v>45</v>
      </c>
      <c r="T211">
        <v>1</v>
      </c>
      <c r="V211">
        <v>2</v>
      </c>
      <c r="W211" t="s">
        <v>86</v>
      </c>
      <c r="AA211" t="s">
        <v>63</v>
      </c>
      <c r="AB211">
        <v>1</v>
      </c>
      <c r="AD211">
        <v>1</v>
      </c>
      <c r="AE211" t="s">
        <v>72</v>
      </c>
      <c r="AI211">
        <v>6</v>
      </c>
      <c r="AJ211">
        <v>24</v>
      </c>
    </row>
  </sheetData>
  <phoneticPr fontId="3" type="noConversion"/>
  <conditionalFormatting sqref="B212:B1048576 B1">
    <cfRule type="duplicateValues" dxfId="20" priority="5"/>
  </conditionalFormatting>
  <conditionalFormatting sqref="B2:B211">
    <cfRule type="duplicateValues" dxfId="19" priority="3533"/>
  </conditionalFormatting>
  <conditionalFormatting sqref="A2:B211">
    <cfRule type="duplicateValues" dxfId="18" priority="3535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N18" sqref="N18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6" t="s">
        <v>78</v>
      </c>
      <c r="B1" s="37"/>
      <c r="C1" s="37"/>
      <c r="D1" s="37"/>
      <c r="E1" s="37"/>
      <c r="F1" s="37"/>
      <c r="G1" s="37"/>
      <c r="H1" s="37"/>
      <c r="I1" s="38"/>
      <c r="K1" s="36" t="s">
        <v>82</v>
      </c>
      <c r="L1" s="37"/>
      <c r="M1" s="37"/>
      <c r="N1" s="38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3" s="3">
        <f>IF(ScenarioTeams4[[#This Row],[battles]],ScenarioTeams4[[#This Row],[wins]]/ScenarioTeams4[[#This Row],[battles]],0)</f>
        <v>0.22857142857142856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4" s="3">
        <f>IF(ScenarioTeams4[[#This Row],[battles]],ScenarioTeams4[[#This Row],[wins]]/ScenarioTeams4[[#This Row],[battles]],0)</f>
        <v>0.25714285714285712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5" s="3">
        <f>IF(ScenarioTeams4[[#This Row],[battles]],ScenarioTeams4[[#This Row],[wins]]/ScenarioTeams4[[#This Row],[battles]],0)</f>
        <v>0.2</v>
      </c>
      <c r="P5" s="4" t="s">
        <v>158</v>
      </c>
      <c r="Q5" s="30">
        <f>MIN(Scenario4[turns])</f>
        <v>16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6" s="3">
        <f>IF(ScenarioTeams4[[#This Row],[battles]],ScenarioTeams4[[#This Row],[wins]]/ScenarioTeams4[[#This Row],[battles]],0)</f>
        <v>0.37142857142857144</v>
      </c>
      <c r="P6" s="5" t="s">
        <v>108</v>
      </c>
      <c r="Q6" s="31">
        <f>AVERAGE(Scenario4[turns])</f>
        <v>38.371428571428574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7" s="3">
        <f>IF(ScenarioTeams4[[#This Row],[battles]],ScenarioTeams4[[#This Row],[wins]]/ScenarioTeams4[[#This Row],[battles]],0)</f>
        <v>0.22857142857142856</v>
      </c>
      <c r="P7" s="5" t="s">
        <v>160</v>
      </c>
      <c r="Q7" s="31">
        <f>MAX(Scenario4[turns])</f>
        <v>70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8" s="3">
        <f>IF(ScenarioTeams4[[#This Row],[battles]],ScenarioTeams4[[#This Row],[wins]]/ScenarioTeams4[[#This Row],[battles]],0)</f>
        <v>0.34285714285714286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9" s="3">
        <f>IF(ScenarioTeams4[[#This Row],[battles]],ScenarioTeams4[[#This Row],[wins]]/ScenarioTeams4[[#This Row],[battles]],0)</f>
        <v>0.25714285714285712</v>
      </c>
      <c r="P9" s="4" t="s">
        <v>185</v>
      </c>
      <c r="Q9" s="30">
        <f>120000*$Q$6/1000/60</f>
        <v>76.742857142857162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4</v>
      </c>
      <c r="N10" s="3">
        <f>IF(ScenarioTeams4[[#This Row],[battles]],ScenarioTeams4[[#This Row],[wins]]/ScenarioTeams4[[#This Row],[battles]],0)</f>
        <v>0.11428571428571428</v>
      </c>
      <c r="P10" s="5" t="s">
        <v>186</v>
      </c>
      <c r="Q10" s="6">
        <f>Q9*COUNTA(ScenarioStat4[hero-1])/60/24*2</f>
        <v>7.4611111111111121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L7" sqref="AL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829</v>
      </c>
      <c r="B2">
        <v>0</v>
      </c>
      <c r="C2" t="s">
        <v>48</v>
      </c>
      <c r="D2">
        <v>3</v>
      </c>
      <c r="F2">
        <v>3</v>
      </c>
      <c r="G2" t="s">
        <v>126</v>
      </c>
      <c r="H2" t="s">
        <v>84</v>
      </c>
      <c r="I2" t="s">
        <v>127</v>
      </c>
      <c r="J2" t="s">
        <v>52</v>
      </c>
      <c r="K2" t="s">
        <v>33</v>
      </c>
      <c r="L2">
        <v>3</v>
      </c>
      <c r="N2">
        <v>3</v>
      </c>
      <c r="O2" t="s">
        <v>34</v>
      </c>
      <c r="S2" t="s">
        <v>53</v>
      </c>
      <c r="T2">
        <v>3</v>
      </c>
      <c r="U2">
        <v>3</v>
      </c>
      <c r="V2">
        <v>3</v>
      </c>
      <c r="W2" t="s">
        <v>111</v>
      </c>
      <c r="X2" t="s">
        <v>83</v>
      </c>
      <c r="Y2" t="s">
        <v>97</v>
      </c>
      <c r="Z2" t="s">
        <v>116</v>
      </c>
      <c r="AA2" t="s">
        <v>56</v>
      </c>
      <c r="AB2">
        <v>3</v>
      </c>
      <c r="AD2">
        <v>1</v>
      </c>
      <c r="AE2" t="s">
        <v>68</v>
      </c>
      <c r="AF2" t="s">
        <v>122</v>
      </c>
      <c r="AI2">
        <v>0</v>
      </c>
      <c r="AJ2">
        <v>41</v>
      </c>
    </row>
    <row r="3" spans="1:36" x14ac:dyDescent="0.25">
      <c r="A3" t="s">
        <v>830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97</v>
      </c>
      <c r="J3" t="s">
        <v>98</v>
      </c>
      <c r="K3" t="s">
        <v>56</v>
      </c>
      <c r="L3">
        <v>2</v>
      </c>
      <c r="N3">
        <v>1</v>
      </c>
      <c r="O3" t="s">
        <v>120</v>
      </c>
      <c r="P3" t="s">
        <v>122</v>
      </c>
      <c r="Q3" t="s">
        <v>87</v>
      </c>
      <c r="S3" t="s">
        <v>48</v>
      </c>
      <c r="T3">
        <v>1</v>
      </c>
      <c r="V3">
        <v>1</v>
      </c>
      <c r="W3" t="s">
        <v>49</v>
      </c>
      <c r="X3" t="s">
        <v>84</v>
      </c>
      <c r="Y3" t="s">
        <v>127</v>
      </c>
      <c r="AA3" t="s">
        <v>43</v>
      </c>
      <c r="AB3">
        <v>3</v>
      </c>
      <c r="AD3">
        <v>3</v>
      </c>
      <c r="AE3" t="s">
        <v>135</v>
      </c>
      <c r="AF3" t="s">
        <v>74</v>
      </c>
      <c r="AG3" t="s">
        <v>137</v>
      </c>
      <c r="AH3" t="s">
        <v>139</v>
      </c>
      <c r="AI3">
        <v>0</v>
      </c>
      <c r="AJ3">
        <v>27</v>
      </c>
    </row>
    <row r="4" spans="1:36" x14ac:dyDescent="0.25">
      <c r="A4" t="s">
        <v>831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83</v>
      </c>
      <c r="I4" t="s">
        <v>114</v>
      </c>
      <c r="J4" t="s">
        <v>115</v>
      </c>
      <c r="K4" t="s">
        <v>56</v>
      </c>
      <c r="L4">
        <v>1</v>
      </c>
      <c r="N4">
        <v>3</v>
      </c>
      <c r="O4" t="s">
        <v>120</v>
      </c>
      <c r="P4" t="s">
        <v>69</v>
      </c>
      <c r="S4" t="s">
        <v>48</v>
      </c>
      <c r="T4">
        <v>3</v>
      </c>
      <c r="V4">
        <v>3</v>
      </c>
      <c r="W4" t="s">
        <v>126</v>
      </c>
      <c r="X4" t="s">
        <v>84</v>
      </c>
      <c r="Y4" t="s">
        <v>127</v>
      </c>
      <c r="Z4" t="s">
        <v>129</v>
      </c>
      <c r="AA4" t="s">
        <v>45</v>
      </c>
      <c r="AB4">
        <v>3</v>
      </c>
      <c r="AD4">
        <v>3</v>
      </c>
      <c r="AE4" t="s">
        <v>86</v>
      </c>
      <c r="AF4" t="s">
        <v>141</v>
      </c>
      <c r="AG4" t="s">
        <v>93</v>
      </c>
      <c r="AH4" t="s">
        <v>94</v>
      </c>
      <c r="AI4">
        <v>0</v>
      </c>
      <c r="AJ4">
        <v>44</v>
      </c>
    </row>
    <row r="5" spans="1:36" x14ac:dyDescent="0.25">
      <c r="A5" t="s">
        <v>832</v>
      </c>
      <c r="B5">
        <v>3</v>
      </c>
      <c r="C5" t="s">
        <v>53</v>
      </c>
      <c r="D5">
        <v>3</v>
      </c>
      <c r="E5">
        <v>1</v>
      </c>
      <c r="F5">
        <v>2</v>
      </c>
      <c r="G5" t="s">
        <v>112</v>
      </c>
      <c r="H5" t="s">
        <v>83</v>
      </c>
      <c r="K5" t="s">
        <v>56</v>
      </c>
      <c r="L5">
        <v>3</v>
      </c>
      <c r="N5">
        <v>1</v>
      </c>
      <c r="O5" t="s">
        <v>120</v>
      </c>
      <c r="P5" t="s">
        <v>122</v>
      </c>
      <c r="Q5" t="s">
        <v>123</v>
      </c>
      <c r="S5" t="s">
        <v>48</v>
      </c>
      <c r="T5">
        <v>1</v>
      </c>
      <c r="V5">
        <v>2</v>
      </c>
      <c r="W5" t="s">
        <v>49</v>
      </c>
      <c r="X5" t="s">
        <v>84</v>
      </c>
      <c r="Y5" t="s">
        <v>90</v>
      </c>
      <c r="Z5" t="s">
        <v>52</v>
      </c>
      <c r="AA5" t="s">
        <v>63</v>
      </c>
      <c r="AB5">
        <v>1</v>
      </c>
      <c r="AD5">
        <v>2</v>
      </c>
      <c r="AE5" t="s">
        <v>103</v>
      </c>
      <c r="AF5" t="s">
        <v>91</v>
      </c>
      <c r="AG5" t="s">
        <v>148</v>
      </c>
      <c r="AI5">
        <v>0</v>
      </c>
      <c r="AJ5">
        <v>19</v>
      </c>
    </row>
    <row r="6" spans="1:36" x14ac:dyDescent="0.25">
      <c r="A6" t="s">
        <v>833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114</v>
      </c>
      <c r="J6" t="s">
        <v>115</v>
      </c>
      <c r="K6" t="s">
        <v>56</v>
      </c>
      <c r="L6">
        <v>2</v>
      </c>
      <c r="N6">
        <v>3</v>
      </c>
      <c r="O6" t="s">
        <v>120</v>
      </c>
      <c r="P6" t="s">
        <v>122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127</v>
      </c>
      <c r="Z6" t="s">
        <v>52</v>
      </c>
      <c r="AA6" t="s">
        <v>38</v>
      </c>
      <c r="AB6">
        <v>1</v>
      </c>
      <c r="AC6">
        <v>2</v>
      </c>
      <c r="AD6">
        <v>2</v>
      </c>
      <c r="AE6" t="s">
        <v>152</v>
      </c>
      <c r="AI6">
        <v>0</v>
      </c>
      <c r="AJ6">
        <v>31</v>
      </c>
    </row>
    <row r="7" spans="1:36" x14ac:dyDescent="0.25">
      <c r="A7" t="s">
        <v>834</v>
      </c>
      <c r="B7">
        <v>6</v>
      </c>
      <c r="C7" t="s">
        <v>33</v>
      </c>
      <c r="D7">
        <v>2</v>
      </c>
      <c r="F7">
        <v>3</v>
      </c>
      <c r="G7" t="s">
        <v>34</v>
      </c>
      <c r="H7" t="s">
        <v>130</v>
      </c>
      <c r="I7" t="s">
        <v>132</v>
      </c>
      <c r="J7" t="s">
        <v>37</v>
      </c>
      <c r="K7" t="s">
        <v>43</v>
      </c>
      <c r="L7">
        <v>2</v>
      </c>
      <c r="N7">
        <v>2</v>
      </c>
      <c r="O7" t="s">
        <v>135</v>
      </c>
      <c r="P7" t="s">
        <v>99</v>
      </c>
      <c r="Q7" t="s">
        <v>75</v>
      </c>
      <c r="R7" t="s">
        <v>139</v>
      </c>
      <c r="S7" t="s">
        <v>53</v>
      </c>
      <c r="T7">
        <v>1</v>
      </c>
      <c r="U7">
        <v>1</v>
      </c>
      <c r="V7">
        <v>2</v>
      </c>
      <c r="W7" t="s">
        <v>112</v>
      </c>
      <c r="X7" t="s">
        <v>113</v>
      </c>
      <c r="Y7" t="s">
        <v>97</v>
      </c>
      <c r="AA7" t="s">
        <v>56</v>
      </c>
      <c r="AB7">
        <v>3</v>
      </c>
      <c r="AD7">
        <v>2</v>
      </c>
      <c r="AE7" t="s">
        <v>120</v>
      </c>
      <c r="AF7" t="s">
        <v>69</v>
      </c>
      <c r="AG7" t="s">
        <v>87</v>
      </c>
      <c r="AH7" t="s">
        <v>88</v>
      </c>
      <c r="AI7">
        <v>0</v>
      </c>
      <c r="AJ7">
        <v>25</v>
      </c>
    </row>
    <row r="8" spans="1:36" x14ac:dyDescent="0.25">
      <c r="A8" t="s">
        <v>835</v>
      </c>
      <c r="B8">
        <v>7</v>
      </c>
      <c r="C8" t="s">
        <v>33</v>
      </c>
      <c r="D8">
        <v>3</v>
      </c>
      <c r="F8">
        <v>1</v>
      </c>
      <c r="G8" t="s">
        <v>34</v>
      </c>
      <c r="H8" t="s">
        <v>130</v>
      </c>
      <c r="I8" t="s">
        <v>36</v>
      </c>
      <c r="J8" t="s">
        <v>37</v>
      </c>
      <c r="K8" t="s">
        <v>45</v>
      </c>
      <c r="L8">
        <v>3</v>
      </c>
      <c r="N8">
        <v>1</v>
      </c>
      <c r="O8" t="s">
        <v>140</v>
      </c>
      <c r="P8" t="s">
        <v>76</v>
      </c>
      <c r="Q8" t="s">
        <v>93</v>
      </c>
      <c r="S8" t="s">
        <v>53</v>
      </c>
      <c r="T8">
        <v>1</v>
      </c>
      <c r="U8">
        <v>3</v>
      </c>
      <c r="V8">
        <v>3</v>
      </c>
      <c r="W8" t="s">
        <v>112</v>
      </c>
      <c r="AA8" t="s">
        <v>56</v>
      </c>
      <c r="AB8">
        <v>2</v>
      </c>
      <c r="AD8">
        <v>1</v>
      </c>
      <c r="AE8" t="s">
        <v>120</v>
      </c>
      <c r="AI8">
        <v>0</v>
      </c>
      <c r="AJ8">
        <v>18</v>
      </c>
    </row>
    <row r="9" spans="1:36" x14ac:dyDescent="0.25">
      <c r="A9" t="s">
        <v>836</v>
      </c>
      <c r="B9">
        <v>8</v>
      </c>
      <c r="C9" t="s">
        <v>33</v>
      </c>
      <c r="D9">
        <v>1</v>
      </c>
      <c r="F9">
        <v>3</v>
      </c>
      <c r="G9" t="s">
        <v>34</v>
      </c>
      <c r="H9" t="s">
        <v>130</v>
      </c>
      <c r="I9" t="s">
        <v>132</v>
      </c>
      <c r="J9" t="s">
        <v>37</v>
      </c>
      <c r="K9" t="s">
        <v>63</v>
      </c>
      <c r="L9">
        <v>3</v>
      </c>
      <c r="N9">
        <v>1</v>
      </c>
      <c r="O9" t="s">
        <v>103</v>
      </c>
      <c r="P9" t="s">
        <v>91</v>
      </c>
      <c r="Q9" t="s">
        <v>147</v>
      </c>
      <c r="R9" t="s">
        <v>150</v>
      </c>
      <c r="S9" t="s">
        <v>53</v>
      </c>
      <c r="T9">
        <v>3</v>
      </c>
      <c r="U9">
        <v>1</v>
      </c>
      <c r="V9">
        <v>2</v>
      </c>
      <c r="W9" t="s">
        <v>111</v>
      </c>
      <c r="X9" t="s">
        <v>83</v>
      </c>
      <c r="Y9" t="s">
        <v>97</v>
      </c>
      <c r="AA9" t="s">
        <v>56</v>
      </c>
      <c r="AB9">
        <v>3</v>
      </c>
      <c r="AD9">
        <v>1</v>
      </c>
      <c r="AE9" t="s">
        <v>68</v>
      </c>
      <c r="AI9">
        <v>0</v>
      </c>
      <c r="AJ9">
        <v>21</v>
      </c>
    </row>
    <row r="10" spans="1:36" x14ac:dyDescent="0.25">
      <c r="A10" t="s">
        <v>837</v>
      </c>
      <c r="B10">
        <v>9</v>
      </c>
      <c r="C10" t="s">
        <v>53</v>
      </c>
      <c r="D10">
        <v>3</v>
      </c>
      <c r="E10">
        <v>1</v>
      </c>
      <c r="F10">
        <v>1</v>
      </c>
      <c r="G10" t="s">
        <v>111</v>
      </c>
      <c r="H10" t="s">
        <v>83</v>
      </c>
      <c r="I10" t="s">
        <v>97</v>
      </c>
      <c r="K10" t="s">
        <v>56</v>
      </c>
      <c r="L10">
        <v>2</v>
      </c>
      <c r="N10">
        <v>1</v>
      </c>
      <c r="O10" t="s">
        <v>68</v>
      </c>
      <c r="P10" t="s">
        <v>122</v>
      </c>
      <c r="Q10" t="s">
        <v>85</v>
      </c>
      <c r="S10" t="s">
        <v>33</v>
      </c>
      <c r="T10">
        <v>2</v>
      </c>
      <c r="V10">
        <v>2</v>
      </c>
      <c r="W10" t="s">
        <v>34</v>
      </c>
      <c r="AA10" t="s">
        <v>38</v>
      </c>
      <c r="AB10">
        <v>3</v>
      </c>
      <c r="AC10">
        <v>3</v>
      </c>
      <c r="AD10">
        <v>1</v>
      </c>
      <c r="AE10" t="s">
        <v>152</v>
      </c>
      <c r="AF10" t="s">
        <v>96</v>
      </c>
      <c r="AI10">
        <v>0</v>
      </c>
      <c r="AJ10">
        <v>19</v>
      </c>
    </row>
    <row r="11" spans="1:36" x14ac:dyDescent="0.25">
      <c r="A11" t="s">
        <v>838</v>
      </c>
      <c r="B11">
        <v>11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98</v>
      </c>
      <c r="K11" t="s">
        <v>56</v>
      </c>
      <c r="L11">
        <v>1</v>
      </c>
      <c r="N11">
        <v>3</v>
      </c>
      <c r="O11" t="s">
        <v>120</v>
      </c>
      <c r="P11" t="s">
        <v>69</v>
      </c>
      <c r="Q11" t="s">
        <v>123</v>
      </c>
      <c r="S11" t="s">
        <v>43</v>
      </c>
      <c r="T11">
        <v>3</v>
      </c>
      <c r="V11">
        <v>3</v>
      </c>
      <c r="W11" t="s">
        <v>73</v>
      </c>
      <c r="X11" t="s">
        <v>99</v>
      </c>
      <c r="Y11" t="s">
        <v>75</v>
      </c>
      <c r="Z11" t="s">
        <v>101</v>
      </c>
      <c r="AA11" t="s">
        <v>45</v>
      </c>
      <c r="AB11">
        <v>3</v>
      </c>
      <c r="AD11">
        <v>1</v>
      </c>
      <c r="AE11" t="s">
        <v>86</v>
      </c>
      <c r="AF11" t="s">
        <v>141</v>
      </c>
      <c r="AI11">
        <v>0</v>
      </c>
      <c r="AJ11">
        <v>35</v>
      </c>
    </row>
    <row r="12" spans="1:36" x14ac:dyDescent="0.25">
      <c r="A12" t="s">
        <v>839</v>
      </c>
      <c r="B12">
        <v>12</v>
      </c>
      <c r="C12" t="s">
        <v>43</v>
      </c>
      <c r="D12">
        <v>3</v>
      </c>
      <c r="F12">
        <v>2</v>
      </c>
      <c r="G12" t="s">
        <v>135</v>
      </c>
      <c r="H12" t="s">
        <v>74</v>
      </c>
      <c r="I12" t="s">
        <v>137</v>
      </c>
      <c r="J12" t="s">
        <v>139</v>
      </c>
      <c r="K12" t="s">
        <v>63</v>
      </c>
      <c r="L12">
        <v>1</v>
      </c>
      <c r="N12">
        <v>1</v>
      </c>
      <c r="O12" t="s">
        <v>103</v>
      </c>
      <c r="P12" t="s">
        <v>91</v>
      </c>
      <c r="Q12" t="s">
        <v>148</v>
      </c>
      <c r="R12" t="s">
        <v>150</v>
      </c>
      <c r="S12" t="s">
        <v>53</v>
      </c>
      <c r="T12">
        <v>1</v>
      </c>
      <c r="U12">
        <v>2</v>
      </c>
      <c r="V12">
        <v>2</v>
      </c>
      <c r="W12" t="s">
        <v>112</v>
      </c>
      <c r="X12" t="s">
        <v>113</v>
      </c>
      <c r="AA12" t="s">
        <v>56</v>
      </c>
      <c r="AB12">
        <v>3</v>
      </c>
      <c r="AD12">
        <v>2</v>
      </c>
      <c r="AE12" t="s">
        <v>120</v>
      </c>
      <c r="AF12" t="s">
        <v>69</v>
      </c>
      <c r="AG12" t="s">
        <v>87</v>
      </c>
      <c r="AI12">
        <v>0</v>
      </c>
      <c r="AJ12">
        <v>21</v>
      </c>
    </row>
    <row r="13" spans="1:36" x14ac:dyDescent="0.25">
      <c r="A13" t="s">
        <v>840</v>
      </c>
      <c r="B13">
        <v>13</v>
      </c>
      <c r="C13" t="s">
        <v>53</v>
      </c>
      <c r="D13">
        <v>2</v>
      </c>
      <c r="E13">
        <v>3</v>
      </c>
      <c r="F13">
        <v>2</v>
      </c>
      <c r="G13" t="s">
        <v>112</v>
      </c>
      <c r="H13" t="s">
        <v>55</v>
      </c>
      <c r="K13" t="s">
        <v>56</v>
      </c>
      <c r="L13">
        <v>1</v>
      </c>
      <c r="N13">
        <v>2</v>
      </c>
      <c r="O13" t="s">
        <v>120</v>
      </c>
      <c r="P13" t="s">
        <v>69</v>
      </c>
      <c r="S13" t="s">
        <v>43</v>
      </c>
      <c r="T13">
        <v>3</v>
      </c>
      <c r="V13">
        <v>1</v>
      </c>
      <c r="W13" t="s">
        <v>135</v>
      </c>
      <c r="X13" t="s">
        <v>136</v>
      </c>
      <c r="Y13" t="s">
        <v>137</v>
      </c>
      <c r="AA13" t="s">
        <v>38</v>
      </c>
      <c r="AB13">
        <v>2</v>
      </c>
      <c r="AC13">
        <v>2</v>
      </c>
      <c r="AD13">
        <v>2</v>
      </c>
      <c r="AE13" t="s">
        <v>152</v>
      </c>
      <c r="AF13" t="s">
        <v>40</v>
      </c>
      <c r="AG13" t="s">
        <v>153</v>
      </c>
      <c r="AH13" t="s">
        <v>155</v>
      </c>
      <c r="AI13">
        <v>0</v>
      </c>
      <c r="AJ13">
        <v>23</v>
      </c>
    </row>
    <row r="14" spans="1:36" x14ac:dyDescent="0.25">
      <c r="A14" t="s">
        <v>841</v>
      </c>
      <c r="B14">
        <v>15</v>
      </c>
      <c r="C14" t="s">
        <v>45</v>
      </c>
      <c r="D14">
        <v>3</v>
      </c>
      <c r="F14">
        <v>1</v>
      </c>
      <c r="G14" t="s">
        <v>86</v>
      </c>
      <c r="H14" t="s">
        <v>76</v>
      </c>
      <c r="I14" t="s">
        <v>102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Q14" t="s">
        <v>148</v>
      </c>
      <c r="S14" t="s">
        <v>53</v>
      </c>
      <c r="T14">
        <v>3</v>
      </c>
      <c r="U14">
        <v>1</v>
      </c>
      <c r="V14">
        <v>2</v>
      </c>
      <c r="W14" t="s">
        <v>112</v>
      </c>
      <c r="AA14" t="s">
        <v>56</v>
      </c>
      <c r="AB14">
        <v>1</v>
      </c>
      <c r="AD14">
        <v>1</v>
      </c>
      <c r="AE14" t="s">
        <v>57</v>
      </c>
      <c r="AF14" t="s">
        <v>122</v>
      </c>
      <c r="AI14">
        <v>0</v>
      </c>
      <c r="AJ14">
        <v>14</v>
      </c>
    </row>
    <row r="15" spans="1:36" x14ac:dyDescent="0.25">
      <c r="A15" t="s">
        <v>842</v>
      </c>
      <c r="B15">
        <v>16</v>
      </c>
      <c r="C15" t="s">
        <v>53</v>
      </c>
      <c r="D15">
        <v>1</v>
      </c>
      <c r="E15">
        <v>3</v>
      </c>
      <c r="F15">
        <v>3</v>
      </c>
      <c r="G15" t="s">
        <v>112</v>
      </c>
      <c r="H15" t="s">
        <v>55</v>
      </c>
      <c r="I15" t="s">
        <v>114</v>
      </c>
      <c r="K15" t="s">
        <v>56</v>
      </c>
      <c r="L15">
        <v>1</v>
      </c>
      <c r="N15">
        <v>2</v>
      </c>
      <c r="O15" t="s">
        <v>57</v>
      </c>
      <c r="P15" t="s">
        <v>121</v>
      </c>
      <c r="Q15" t="s">
        <v>123</v>
      </c>
      <c r="R15" t="s">
        <v>88</v>
      </c>
      <c r="S15" t="s">
        <v>45</v>
      </c>
      <c r="T15">
        <v>3</v>
      </c>
      <c r="V15">
        <v>2</v>
      </c>
      <c r="W15" t="s">
        <v>86</v>
      </c>
      <c r="X15" t="s">
        <v>76</v>
      </c>
      <c r="Y15" t="s">
        <v>102</v>
      </c>
      <c r="Z15" t="s">
        <v>143</v>
      </c>
      <c r="AA15" t="s">
        <v>38</v>
      </c>
      <c r="AB15">
        <v>1</v>
      </c>
      <c r="AC15">
        <v>1</v>
      </c>
      <c r="AD15">
        <v>2</v>
      </c>
      <c r="AE15" t="s">
        <v>39</v>
      </c>
      <c r="AF15" t="s">
        <v>96</v>
      </c>
      <c r="AG15" t="s">
        <v>154</v>
      </c>
      <c r="AI15">
        <v>0</v>
      </c>
      <c r="AJ15">
        <v>23</v>
      </c>
    </row>
    <row r="16" spans="1:36" x14ac:dyDescent="0.25">
      <c r="A16" t="s">
        <v>843</v>
      </c>
      <c r="B16">
        <v>18</v>
      </c>
      <c r="C16" t="s">
        <v>53</v>
      </c>
      <c r="D16">
        <v>3</v>
      </c>
      <c r="E16">
        <v>1</v>
      </c>
      <c r="F16">
        <v>2</v>
      </c>
      <c r="G16" t="s">
        <v>112</v>
      </c>
      <c r="H16" t="s">
        <v>83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Q16" t="s">
        <v>87</v>
      </c>
      <c r="R16" t="s">
        <v>125</v>
      </c>
      <c r="S16" t="s">
        <v>63</v>
      </c>
      <c r="T16">
        <v>1</v>
      </c>
      <c r="V16">
        <v>1</v>
      </c>
      <c r="W16" t="s">
        <v>103</v>
      </c>
      <c r="X16" t="s">
        <v>91</v>
      </c>
      <c r="Y16" t="s">
        <v>148</v>
      </c>
      <c r="AA16" t="s">
        <v>38</v>
      </c>
      <c r="AB16">
        <v>1</v>
      </c>
      <c r="AC16">
        <v>2</v>
      </c>
      <c r="AD16">
        <v>1</v>
      </c>
      <c r="AE16" t="s">
        <v>152</v>
      </c>
      <c r="AF16" t="s">
        <v>40</v>
      </c>
      <c r="AG16" t="s">
        <v>154</v>
      </c>
      <c r="AH16" t="s">
        <v>42</v>
      </c>
      <c r="AI16">
        <v>0</v>
      </c>
      <c r="AJ16">
        <v>18</v>
      </c>
    </row>
    <row r="17" spans="1:36" x14ac:dyDescent="0.25">
      <c r="A17" t="s">
        <v>844</v>
      </c>
      <c r="B17">
        <v>21</v>
      </c>
      <c r="C17" t="s">
        <v>53</v>
      </c>
      <c r="D17">
        <v>2</v>
      </c>
      <c r="E17">
        <v>1</v>
      </c>
      <c r="F17">
        <v>1</v>
      </c>
      <c r="G17" t="s">
        <v>111</v>
      </c>
      <c r="H17" t="s">
        <v>113</v>
      </c>
      <c r="I17" t="s">
        <v>97</v>
      </c>
      <c r="J17" t="s">
        <v>98</v>
      </c>
      <c r="K17" t="s">
        <v>48</v>
      </c>
      <c r="L17">
        <v>2</v>
      </c>
      <c r="N17">
        <v>1</v>
      </c>
      <c r="O17" t="s">
        <v>89</v>
      </c>
      <c r="P17" t="s">
        <v>84</v>
      </c>
      <c r="Q17" t="s">
        <v>127</v>
      </c>
      <c r="S17" t="s">
        <v>56</v>
      </c>
      <c r="T17">
        <v>2</v>
      </c>
      <c r="V17">
        <v>1</v>
      </c>
      <c r="W17" t="s">
        <v>57</v>
      </c>
      <c r="X17" t="s">
        <v>122</v>
      </c>
      <c r="Y17" t="s">
        <v>123</v>
      </c>
      <c r="AA17" t="s">
        <v>33</v>
      </c>
      <c r="AB17">
        <v>1</v>
      </c>
      <c r="AD17">
        <v>2</v>
      </c>
      <c r="AE17" t="s">
        <v>34</v>
      </c>
      <c r="AI17">
        <v>0</v>
      </c>
      <c r="AJ17">
        <v>15</v>
      </c>
    </row>
    <row r="18" spans="1:36" x14ac:dyDescent="0.25">
      <c r="A18" t="s">
        <v>845</v>
      </c>
      <c r="B18">
        <v>22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83</v>
      </c>
      <c r="I18" t="s">
        <v>105</v>
      </c>
      <c r="J18" t="s">
        <v>116</v>
      </c>
      <c r="K18" t="s">
        <v>48</v>
      </c>
      <c r="L18">
        <v>3</v>
      </c>
      <c r="N18">
        <v>3</v>
      </c>
      <c r="O18" t="s">
        <v>126</v>
      </c>
      <c r="P18" t="s">
        <v>84</v>
      </c>
      <c r="Q18" t="s">
        <v>90</v>
      </c>
      <c r="R18" t="s">
        <v>129</v>
      </c>
      <c r="S18" t="s">
        <v>56</v>
      </c>
      <c r="T18">
        <v>3</v>
      </c>
      <c r="V18">
        <v>3</v>
      </c>
      <c r="W18" t="s">
        <v>120</v>
      </c>
      <c r="X18" t="s">
        <v>121</v>
      </c>
      <c r="Y18" t="s">
        <v>123</v>
      </c>
      <c r="Z18" t="s">
        <v>124</v>
      </c>
      <c r="AA18" t="s">
        <v>43</v>
      </c>
      <c r="AB18">
        <v>3</v>
      </c>
      <c r="AD18">
        <v>3</v>
      </c>
      <c r="AE18" t="s">
        <v>73</v>
      </c>
      <c r="AF18" t="s">
        <v>74</v>
      </c>
      <c r="AG18" t="s">
        <v>75</v>
      </c>
      <c r="AH18" t="s">
        <v>101</v>
      </c>
      <c r="AI18">
        <v>0</v>
      </c>
      <c r="AJ18">
        <v>44</v>
      </c>
    </row>
    <row r="19" spans="1:36" x14ac:dyDescent="0.25">
      <c r="A19" t="s">
        <v>846</v>
      </c>
      <c r="B19">
        <v>23</v>
      </c>
      <c r="C19" t="s">
        <v>53</v>
      </c>
      <c r="D19">
        <v>3</v>
      </c>
      <c r="E19">
        <v>1</v>
      </c>
      <c r="F19">
        <v>3</v>
      </c>
      <c r="G19" t="s">
        <v>112</v>
      </c>
      <c r="H19" t="s">
        <v>113</v>
      </c>
      <c r="I19" t="s">
        <v>97</v>
      </c>
      <c r="J19" t="s">
        <v>116</v>
      </c>
      <c r="K19" t="s">
        <v>48</v>
      </c>
      <c r="L19">
        <v>3</v>
      </c>
      <c r="N19">
        <v>3</v>
      </c>
      <c r="O19" t="s">
        <v>126</v>
      </c>
      <c r="P19" t="s">
        <v>84</v>
      </c>
      <c r="Q19" t="s">
        <v>127</v>
      </c>
      <c r="R19" t="s">
        <v>129</v>
      </c>
      <c r="S19" t="s">
        <v>56</v>
      </c>
      <c r="T19">
        <v>3</v>
      </c>
      <c r="V19">
        <v>2</v>
      </c>
      <c r="W19" t="s">
        <v>120</v>
      </c>
      <c r="X19" t="s">
        <v>69</v>
      </c>
      <c r="Y19" t="s">
        <v>87</v>
      </c>
      <c r="Z19" t="s">
        <v>88</v>
      </c>
      <c r="AA19" t="s">
        <v>45</v>
      </c>
      <c r="AB19">
        <v>3</v>
      </c>
      <c r="AD19">
        <v>2</v>
      </c>
      <c r="AE19" t="s">
        <v>86</v>
      </c>
      <c r="AF19" t="s">
        <v>141</v>
      </c>
      <c r="AG19" t="s">
        <v>93</v>
      </c>
      <c r="AI19">
        <v>0</v>
      </c>
      <c r="AJ19">
        <v>29</v>
      </c>
    </row>
    <row r="20" spans="1:36" x14ac:dyDescent="0.25">
      <c r="A20" t="s">
        <v>847</v>
      </c>
      <c r="B20">
        <v>24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83</v>
      </c>
      <c r="I20" t="s">
        <v>97</v>
      </c>
      <c r="J20" t="s">
        <v>116</v>
      </c>
      <c r="K20" t="s">
        <v>48</v>
      </c>
      <c r="L20">
        <v>3</v>
      </c>
      <c r="N20">
        <v>3</v>
      </c>
      <c r="O20" t="s">
        <v>49</v>
      </c>
      <c r="P20" t="s">
        <v>84</v>
      </c>
      <c r="Q20" t="s">
        <v>127</v>
      </c>
      <c r="R20" t="s">
        <v>129</v>
      </c>
      <c r="S20" t="s">
        <v>56</v>
      </c>
      <c r="T20">
        <v>2</v>
      </c>
      <c r="V20">
        <v>1</v>
      </c>
      <c r="W20" t="s">
        <v>57</v>
      </c>
      <c r="X20" t="s">
        <v>122</v>
      </c>
      <c r="Y20" t="s">
        <v>85</v>
      </c>
      <c r="AA20" t="s">
        <v>63</v>
      </c>
      <c r="AB20">
        <v>3</v>
      </c>
      <c r="AD20">
        <v>3</v>
      </c>
      <c r="AE20" t="s">
        <v>103</v>
      </c>
      <c r="AF20" t="s">
        <v>91</v>
      </c>
      <c r="AG20" t="s">
        <v>147</v>
      </c>
      <c r="AH20" t="s">
        <v>151</v>
      </c>
      <c r="AI20">
        <v>0</v>
      </c>
      <c r="AJ20">
        <v>33</v>
      </c>
    </row>
    <row r="21" spans="1:36" x14ac:dyDescent="0.25">
      <c r="A21" t="s">
        <v>848</v>
      </c>
      <c r="B21">
        <v>25</v>
      </c>
      <c r="C21" t="s">
        <v>56</v>
      </c>
      <c r="D21">
        <v>3</v>
      </c>
      <c r="F21">
        <v>1</v>
      </c>
      <c r="G21" t="s">
        <v>57</v>
      </c>
      <c r="H21" t="s">
        <v>122</v>
      </c>
      <c r="I21" t="s">
        <v>123</v>
      </c>
      <c r="J21" t="s">
        <v>125</v>
      </c>
      <c r="K21" t="s">
        <v>38</v>
      </c>
      <c r="L21">
        <v>1</v>
      </c>
      <c r="M21">
        <v>2</v>
      </c>
      <c r="N21">
        <v>2</v>
      </c>
      <c r="O21" t="s">
        <v>39</v>
      </c>
      <c r="P21" t="s">
        <v>40</v>
      </c>
      <c r="Q21" t="s">
        <v>154</v>
      </c>
      <c r="R21" t="s">
        <v>42</v>
      </c>
      <c r="S21" t="s">
        <v>53</v>
      </c>
      <c r="T21">
        <v>1</v>
      </c>
      <c r="U21">
        <v>2</v>
      </c>
      <c r="V21">
        <v>2</v>
      </c>
      <c r="W21" t="s">
        <v>112</v>
      </c>
      <c r="X21" t="s">
        <v>83</v>
      </c>
      <c r="Y21" t="s">
        <v>97</v>
      </c>
      <c r="Z21" t="s">
        <v>115</v>
      </c>
      <c r="AA21" t="s">
        <v>48</v>
      </c>
      <c r="AB21">
        <v>1</v>
      </c>
      <c r="AD21">
        <v>2</v>
      </c>
      <c r="AE21" t="s">
        <v>49</v>
      </c>
      <c r="AI21">
        <v>0</v>
      </c>
      <c r="AJ21">
        <v>20</v>
      </c>
    </row>
    <row r="22" spans="1:36" x14ac:dyDescent="0.25">
      <c r="A22" t="s">
        <v>849</v>
      </c>
      <c r="B22">
        <v>27</v>
      </c>
      <c r="C22" t="s">
        <v>53</v>
      </c>
      <c r="D22">
        <v>3</v>
      </c>
      <c r="E22">
        <v>2</v>
      </c>
      <c r="F22">
        <v>3</v>
      </c>
      <c r="G22" t="s">
        <v>112</v>
      </c>
      <c r="H22" t="s">
        <v>113</v>
      </c>
      <c r="I22" t="s">
        <v>114</v>
      </c>
      <c r="J22" t="s">
        <v>116</v>
      </c>
      <c r="K22" t="s">
        <v>48</v>
      </c>
      <c r="L22">
        <v>3</v>
      </c>
      <c r="N22">
        <v>3</v>
      </c>
      <c r="O22" t="s">
        <v>126</v>
      </c>
      <c r="P22" t="s">
        <v>50</v>
      </c>
      <c r="Q22" t="s">
        <v>51</v>
      </c>
      <c r="R22" t="s">
        <v>129</v>
      </c>
      <c r="S22" t="s">
        <v>33</v>
      </c>
      <c r="T22">
        <v>2</v>
      </c>
      <c r="V22">
        <v>2</v>
      </c>
      <c r="W22" t="s">
        <v>34</v>
      </c>
      <c r="X22" t="s">
        <v>130</v>
      </c>
      <c r="AA22" t="s">
        <v>43</v>
      </c>
      <c r="AB22">
        <v>3</v>
      </c>
      <c r="AD22">
        <v>3</v>
      </c>
      <c r="AE22" t="s">
        <v>135</v>
      </c>
      <c r="AF22" t="s">
        <v>99</v>
      </c>
      <c r="AG22" t="s">
        <v>100</v>
      </c>
      <c r="AH22" t="s">
        <v>101</v>
      </c>
      <c r="AI22">
        <v>0</v>
      </c>
      <c r="AJ22">
        <v>30</v>
      </c>
    </row>
    <row r="23" spans="1:36" x14ac:dyDescent="0.25">
      <c r="A23" t="s">
        <v>850</v>
      </c>
      <c r="B23">
        <v>28</v>
      </c>
      <c r="C23" t="s">
        <v>33</v>
      </c>
      <c r="D23">
        <v>2</v>
      </c>
      <c r="F23">
        <v>3</v>
      </c>
      <c r="G23" t="s">
        <v>34</v>
      </c>
      <c r="H23" t="s">
        <v>130</v>
      </c>
      <c r="I23" t="s">
        <v>132</v>
      </c>
      <c r="J23" t="s">
        <v>37</v>
      </c>
      <c r="K23" t="s">
        <v>45</v>
      </c>
      <c r="L23">
        <v>2</v>
      </c>
      <c r="N23">
        <v>2</v>
      </c>
      <c r="O23" t="s">
        <v>140</v>
      </c>
      <c r="P23" t="s">
        <v>141</v>
      </c>
      <c r="Q23" t="s">
        <v>102</v>
      </c>
      <c r="R23" t="s">
        <v>94</v>
      </c>
      <c r="S23" t="s">
        <v>53</v>
      </c>
      <c r="T23">
        <v>1</v>
      </c>
      <c r="U23">
        <v>3</v>
      </c>
      <c r="V23">
        <v>3</v>
      </c>
      <c r="W23" t="s">
        <v>112</v>
      </c>
      <c r="X23" t="s">
        <v>113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21</v>
      </c>
    </row>
    <row r="24" spans="1:36" x14ac:dyDescent="0.25">
      <c r="A24" t="s">
        <v>851</v>
      </c>
      <c r="B24">
        <v>29</v>
      </c>
      <c r="C24" t="s">
        <v>53</v>
      </c>
      <c r="D24">
        <v>3</v>
      </c>
      <c r="E24">
        <v>3</v>
      </c>
      <c r="F24">
        <v>3</v>
      </c>
      <c r="G24" t="s">
        <v>111</v>
      </c>
      <c r="H24" t="s">
        <v>83</v>
      </c>
      <c r="I24" t="s">
        <v>97</v>
      </c>
      <c r="J24" t="s">
        <v>116</v>
      </c>
      <c r="K24" t="s">
        <v>48</v>
      </c>
      <c r="L24">
        <v>3</v>
      </c>
      <c r="N24">
        <v>3</v>
      </c>
      <c r="O24" t="s">
        <v>89</v>
      </c>
      <c r="P24" t="s">
        <v>84</v>
      </c>
      <c r="Q24" t="s">
        <v>51</v>
      </c>
      <c r="R24" t="s">
        <v>129</v>
      </c>
      <c r="S24" t="s">
        <v>33</v>
      </c>
      <c r="T24">
        <v>1</v>
      </c>
      <c r="V24">
        <v>2</v>
      </c>
      <c r="W24" t="s">
        <v>34</v>
      </c>
      <c r="AA24" t="s">
        <v>63</v>
      </c>
      <c r="AB24">
        <v>3</v>
      </c>
      <c r="AD24">
        <v>3</v>
      </c>
      <c r="AE24" t="s">
        <v>103</v>
      </c>
      <c r="AF24" t="s">
        <v>91</v>
      </c>
      <c r="AG24" t="s">
        <v>147</v>
      </c>
      <c r="AH24" t="s">
        <v>151</v>
      </c>
      <c r="AI24">
        <v>0</v>
      </c>
      <c r="AJ24">
        <v>36</v>
      </c>
    </row>
    <row r="25" spans="1:36" x14ac:dyDescent="0.25">
      <c r="A25" t="s">
        <v>852</v>
      </c>
      <c r="B25">
        <v>30</v>
      </c>
      <c r="C25" t="s">
        <v>53</v>
      </c>
      <c r="D25">
        <v>1</v>
      </c>
      <c r="E25">
        <v>1</v>
      </c>
      <c r="F25">
        <v>2</v>
      </c>
      <c r="G25" t="s">
        <v>111</v>
      </c>
      <c r="H25" t="s">
        <v>113</v>
      </c>
      <c r="I25" t="s">
        <v>97</v>
      </c>
      <c r="J25" t="s">
        <v>98</v>
      </c>
      <c r="K25" t="s">
        <v>48</v>
      </c>
      <c r="L25">
        <v>2</v>
      </c>
      <c r="N25">
        <v>1</v>
      </c>
      <c r="O25" t="s">
        <v>89</v>
      </c>
      <c r="P25" t="s">
        <v>50</v>
      </c>
      <c r="Q25" t="s">
        <v>51</v>
      </c>
      <c r="R25" t="s">
        <v>129</v>
      </c>
      <c r="S25" t="s">
        <v>33</v>
      </c>
      <c r="T25">
        <v>1</v>
      </c>
      <c r="V25">
        <v>2</v>
      </c>
      <c r="W25" t="s">
        <v>34</v>
      </c>
      <c r="X25" t="s">
        <v>130</v>
      </c>
      <c r="AA25" t="s">
        <v>38</v>
      </c>
      <c r="AB25">
        <v>2</v>
      </c>
      <c r="AC25">
        <v>2</v>
      </c>
      <c r="AD25">
        <v>1</v>
      </c>
      <c r="AE25" t="s">
        <v>39</v>
      </c>
      <c r="AF25" t="s">
        <v>96</v>
      </c>
      <c r="AG25" t="s">
        <v>41</v>
      </c>
      <c r="AI25">
        <v>0</v>
      </c>
      <c r="AJ25">
        <v>18</v>
      </c>
    </row>
    <row r="26" spans="1:36" x14ac:dyDescent="0.25">
      <c r="A26" t="s">
        <v>853</v>
      </c>
      <c r="B26">
        <v>32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83</v>
      </c>
      <c r="I26" t="s">
        <v>114</v>
      </c>
      <c r="J26" t="s">
        <v>98</v>
      </c>
      <c r="K26" t="s">
        <v>48</v>
      </c>
      <c r="L26">
        <v>1</v>
      </c>
      <c r="N26">
        <v>1</v>
      </c>
      <c r="O26" t="s">
        <v>126</v>
      </c>
      <c r="P26" t="s">
        <v>84</v>
      </c>
      <c r="S26" t="s">
        <v>43</v>
      </c>
      <c r="T26">
        <v>3</v>
      </c>
      <c r="V26">
        <v>3</v>
      </c>
      <c r="W26" t="s">
        <v>73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3</v>
      </c>
      <c r="AE26" t="s">
        <v>86</v>
      </c>
      <c r="AF26" t="s">
        <v>141</v>
      </c>
      <c r="AG26" t="s">
        <v>93</v>
      </c>
      <c r="AH26" t="s">
        <v>94</v>
      </c>
      <c r="AI26">
        <v>0</v>
      </c>
      <c r="AJ26">
        <v>35</v>
      </c>
    </row>
    <row r="27" spans="1:36" x14ac:dyDescent="0.25">
      <c r="A27" t="s">
        <v>854</v>
      </c>
      <c r="B27">
        <v>33</v>
      </c>
      <c r="C27" t="s">
        <v>43</v>
      </c>
      <c r="D27">
        <v>3</v>
      </c>
      <c r="F27">
        <v>3</v>
      </c>
      <c r="G27" t="s">
        <v>135</v>
      </c>
      <c r="H27" t="s">
        <v>74</v>
      </c>
      <c r="I27" t="s">
        <v>75</v>
      </c>
      <c r="J27" t="s">
        <v>139</v>
      </c>
      <c r="K27" t="s">
        <v>63</v>
      </c>
      <c r="L27">
        <v>3</v>
      </c>
      <c r="N27">
        <v>3</v>
      </c>
      <c r="O27" t="s">
        <v>103</v>
      </c>
      <c r="P27" t="s">
        <v>91</v>
      </c>
      <c r="Q27" t="s">
        <v>148</v>
      </c>
      <c r="R27" t="s">
        <v>150</v>
      </c>
      <c r="S27" t="s">
        <v>53</v>
      </c>
      <c r="T27">
        <v>3</v>
      </c>
      <c r="U27">
        <v>3</v>
      </c>
      <c r="V27">
        <v>3</v>
      </c>
      <c r="W27" t="s">
        <v>112</v>
      </c>
      <c r="X27" t="s">
        <v>83</v>
      </c>
      <c r="Y27" t="s">
        <v>97</v>
      </c>
      <c r="Z27" t="s">
        <v>115</v>
      </c>
      <c r="AA27" t="s">
        <v>48</v>
      </c>
      <c r="AB27">
        <v>1</v>
      </c>
      <c r="AD27">
        <v>1</v>
      </c>
      <c r="AE27" t="s">
        <v>126</v>
      </c>
      <c r="AF27" t="s">
        <v>84</v>
      </c>
      <c r="AG27" t="s">
        <v>127</v>
      </c>
      <c r="AI27">
        <v>0</v>
      </c>
      <c r="AJ27">
        <v>34</v>
      </c>
    </row>
    <row r="28" spans="1:36" x14ac:dyDescent="0.25">
      <c r="A28" t="s">
        <v>855</v>
      </c>
      <c r="B28">
        <v>34</v>
      </c>
      <c r="C28" t="s">
        <v>53</v>
      </c>
      <c r="D28">
        <v>3</v>
      </c>
      <c r="E28">
        <v>3</v>
      </c>
      <c r="F28">
        <v>3</v>
      </c>
      <c r="G28" t="s">
        <v>112</v>
      </c>
      <c r="H28" t="s">
        <v>55</v>
      </c>
      <c r="I28" t="s">
        <v>97</v>
      </c>
      <c r="J28" t="s">
        <v>115</v>
      </c>
      <c r="K28" t="s">
        <v>48</v>
      </c>
      <c r="L28">
        <v>1</v>
      </c>
      <c r="N28">
        <v>1</v>
      </c>
      <c r="O28" t="s">
        <v>126</v>
      </c>
      <c r="P28" t="s">
        <v>84</v>
      </c>
      <c r="Q28" t="s">
        <v>127</v>
      </c>
      <c r="R28" t="s">
        <v>129</v>
      </c>
      <c r="S28" t="s">
        <v>43</v>
      </c>
      <c r="T28">
        <v>3</v>
      </c>
      <c r="V28">
        <v>2</v>
      </c>
      <c r="W28" t="s">
        <v>73</v>
      </c>
      <c r="X28" t="s">
        <v>74</v>
      </c>
      <c r="Y28" t="s">
        <v>75</v>
      </c>
      <c r="Z28" t="s">
        <v>139</v>
      </c>
      <c r="AA28" t="s">
        <v>38</v>
      </c>
      <c r="AB28">
        <v>3</v>
      </c>
      <c r="AC28">
        <v>3</v>
      </c>
      <c r="AD28">
        <v>3</v>
      </c>
      <c r="AE28" t="s">
        <v>39</v>
      </c>
      <c r="AF28" t="s">
        <v>96</v>
      </c>
      <c r="AG28" t="s">
        <v>153</v>
      </c>
      <c r="AH28" t="s">
        <v>42</v>
      </c>
      <c r="AI28">
        <v>0</v>
      </c>
      <c r="AJ28">
        <v>43</v>
      </c>
    </row>
    <row r="29" spans="1:36" x14ac:dyDescent="0.25">
      <c r="A29" t="s">
        <v>856</v>
      </c>
      <c r="B29">
        <v>36</v>
      </c>
      <c r="C29" t="s">
        <v>45</v>
      </c>
      <c r="D29">
        <v>3</v>
      </c>
      <c r="F29">
        <v>1</v>
      </c>
      <c r="G29" t="s">
        <v>86</v>
      </c>
      <c r="H29" t="s">
        <v>76</v>
      </c>
      <c r="I29" t="s">
        <v>93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Q29" t="s">
        <v>148</v>
      </c>
      <c r="R29" t="s">
        <v>150</v>
      </c>
      <c r="S29" t="s">
        <v>53</v>
      </c>
      <c r="T29">
        <v>1</v>
      </c>
      <c r="U29">
        <v>3</v>
      </c>
      <c r="V29">
        <v>3</v>
      </c>
      <c r="W29" t="s">
        <v>112</v>
      </c>
      <c r="AA29" t="s">
        <v>48</v>
      </c>
      <c r="AB29">
        <v>1</v>
      </c>
      <c r="AD29">
        <v>1</v>
      </c>
      <c r="AE29" t="s">
        <v>126</v>
      </c>
      <c r="AF29" t="s">
        <v>84</v>
      </c>
      <c r="AG29" t="s">
        <v>90</v>
      </c>
      <c r="AI29">
        <v>0</v>
      </c>
      <c r="AJ29">
        <v>19</v>
      </c>
    </row>
    <row r="30" spans="1:36" x14ac:dyDescent="0.25">
      <c r="A30" t="s">
        <v>857</v>
      </c>
      <c r="B30">
        <v>37</v>
      </c>
      <c r="C30" t="s">
        <v>53</v>
      </c>
      <c r="D30">
        <v>3</v>
      </c>
      <c r="E30">
        <v>2</v>
      </c>
      <c r="F30">
        <v>3</v>
      </c>
      <c r="G30" t="s">
        <v>112</v>
      </c>
      <c r="H30" t="s">
        <v>55</v>
      </c>
      <c r="I30" t="s">
        <v>114</v>
      </c>
      <c r="J30" t="s">
        <v>98</v>
      </c>
      <c r="K30" t="s">
        <v>48</v>
      </c>
      <c r="L30">
        <v>3</v>
      </c>
      <c r="N30">
        <v>3</v>
      </c>
      <c r="O30" t="s">
        <v>126</v>
      </c>
      <c r="P30" t="s">
        <v>84</v>
      </c>
      <c r="Q30" t="s">
        <v>90</v>
      </c>
      <c r="R30" t="s">
        <v>129</v>
      </c>
      <c r="S30" t="s">
        <v>45</v>
      </c>
      <c r="T30">
        <v>3</v>
      </c>
      <c r="V30">
        <v>3</v>
      </c>
      <c r="W30" t="s">
        <v>86</v>
      </c>
      <c r="X30" t="s">
        <v>76</v>
      </c>
      <c r="Y30" t="s">
        <v>102</v>
      </c>
      <c r="Z30" t="s">
        <v>144</v>
      </c>
      <c r="AA30" t="s">
        <v>38</v>
      </c>
      <c r="AB30">
        <v>3</v>
      </c>
      <c r="AC30">
        <v>3</v>
      </c>
      <c r="AD30">
        <v>1</v>
      </c>
      <c r="AE30" t="s">
        <v>39</v>
      </c>
      <c r="AF30" t="s">
        <v>40</v>
      </c>
      <c r="AG30" t="s">
        <v>154</v>
      </c>
      <c r="AH30" t="s">
        <v>42</v>
      </c>
      <c r="AI30">
        <v>0</v>
      </c>
      <c r="AJ30">
        <v>35</v>
      </c>
    </row>
    <row r="31" spans="1:36" x14ac:dyDescent="0.25">
      <c r="A31" t="s">
        <v>858</v>
      </c>
      <c r="B31">
        <v>39</v>
      </c>
      <c r="C31" t="s">
        <v>53</v>
      </c>
      <c r="D31">
        <v>3</v>
      </c>
      <c r="E31">
        <v>3</v>
      </c>
      <c r="F31">
        <v>2</v>
      </c>
      <c r="G31" t="s">
        <v>112</v>
      </c>
      <c r="H31" t="s">
        <v>83</v>
      </c>
      <c r="I31" t="s">
        <v>114</v>
      </c>
      <c r="J31" t="s">
        <v>116</v>
      </c>
      <c r="K31" t="s">
        <v>48</v>
      </c>
      <c r="L31">
        <v>3</v>
      </c>
      <c r="N31">
        <v>3</v>
      </c>
      <c r="O31" t="s">
        <v>49</v>
      </c>
      <c r="P31" t="s">
        <v>71</v>
      </c>
      <c r="Q31" t="s">
        <v>51</v>
      </c>
      <c r="R31" t="s">
        <v>129</v>
      </c>
      <c r="S31" t="s">
        <v>63</v>
      </c>
      <c r="T31">
        <v>2</v>
      </c>
      <c r="V31">
        <v>1</v>
      </c>
      <c r="W31" t="s">
        <v>145</v>
      </c>
      <c r="X31" t="s">
        <v>91</v>
      </c>
      <c r="Y31" t="s">
        <v>147</v>
      </c>
      <c r="AA31" t="s">
        <v>38</v>
      </c>
      <c r="AB31">
        <v>3</v>
      </c>
      <c r="AC31">
        <v>2</v>
      </c>
      <c r="AD31">
        <v>3</v>
      </c>
      <c r="AE31" t="s">
        <v>39</v>
      </c>
      <c r="AF31" t="s">
        <v>40</v>
      </c>
      <c r="AG31" t="s">
        <v>153</v>
      </c>
      <c r="AH31" t="s">
        <v>155</v>
      </c>
      <c r="AI31">
        <v>0</v>
      </c>
      <c r="AJ31">
        <v>31</v>
      </c>
    </row>
    <row r="32" spans="1:36" x14ac:dyDescent="0.25">
      <c r="A32" t="s">
        <v>859</v>
      </c>
      <c r="B32">
        <v>42</v>
      </c>
      <c r="C32" t="s">
        <v>56</v>
      </c>
      <c r="D32">
        <v>3</v>
      </c>
      <c r="F32">
        <v>1</v>
      </c>
      <c r="G32" t="s">
        <v>120</v>
      </c>
      <c r="H32" t="s">
        <v>69</v>
      </c>
      <c r="I32" t="s">
        <v>87</v>
      </c>
      <c r="K32" t="s">
        <v>48</v>
      </c>
      <c r="L32">
        <v>1</v>
      </c>
      <c r="N32">
        <v>1</v>
      </c>
      <c r="O32" t="s">
        <v>126</v>
      </c>
      <c r="P32" t="s">
        <v>50</v>
      </c>
      <c r="Q32" t="s">
        <v>127</v>
      </c>
      <c r="R32" t="s">
        <v>129</v>
      </c>
      <c r="S32" t="s">
        <v>53</v>
      </c>
      <c r="T32">
        <v>3</v>
      </c>
      <c r="U32">
        <v>1</v>
      </c>
      <c r="V32">
        <v>2</v>
      </c>
      <c r="W32" t="s">
        <v>112</v>
      </c>
      <c r="AA32" t="s">
        <v>33</v>
      </c>
      <c r="AB32">
        <v>2</v>
      </c>
      <c r="AD32">
        <v>1</v>
      </c>
      <c r="AE32" t="s">
        <v>34</v>
      </c>
      <c r="AF32" t="s">
        <v>130</v>
      </c>
      <c r="AG32" t="s">
        <v>132</v>
      </c>
      <c r="AH32" t="s">
        <v>133</v>
      </c>
      <c r="AI32">
        <v>0</v>
      </c>
      <c r="AJ32">
        <v>19</v>
      </c>
    </row>
    <row r="33" spans="1:36" x14ac:dyDescent="0.25">
      <c r="A33" t="s">
        <v>860</v>
      </c>
      <c r="B33">
        <v>43</v>
      </c>
      <c r="C33" t="s">
        <v>56</v>
      </c>
      <c r="D33">
        <v>3</v>
      </c>
      <c r="F33">
        <v>1</v>
      </c>
      <c r="G33" t="s">
        <v>57</v>
      </c>
      <c r="H33" t="s">
        <v>121</v>
      </c>
      <c r="I33" t="s">
        <v>85</v>
      </c>
      <c r="J33" t="s">
        <v>124</v>
      </c>
      <c r="K33" t="s">
        <v>43</v>
      </c>
      <c r="L33">
        <v>3</v>
      </c>
      <c r="N33">
        <v>2</v>
      </c>
      <c r="O33" t="s">
        <v>44</v>
      </c>
      <c r="P33" t="s">
        <v>99</v>
      </c>
      <c r="Q33" t="s">
        <v>75</v>
      </c>
      <c r="S33" t="s">
        <v>53</v>
      </c>
      <c r="T33">
        <v>2</v>
      </c>
      <c r="U33">
        <v>3</v>
      </c>
      <c r="V33">
        <v>3</v>
      </c>
      <c r="W33" t="s">
        <v>112</v>
      </c>
      <c r="AA33" t="s">
        <v>33</v>
      </c>
      <c r="AB33">
        <v>1</v>
      </c>
      <c r="AD33">
        <v>2</v>
      </c>
      <c r="AE33" t="s">
        <v>34</v>
      </c>
      <c r="AI33">
        <v>0</v>
      </c>
      <c r="AJ33">
        <v>21</v>
      </c>
    </row>
    <row r="34" spans="1:36" x14ac:dyDescent="0.25">
      <c r="A34" t="s">
        <v>861</v>
      </c>
      <c r="B34">
        <v>44</v>
      </c>
      <c r="C34" t="s">
        <v>56</v>
      </c>
      <c r="D34">
        <v>3</v>
      </c>
      <c r="F34">
        <v>2</v>
      </c>
      <c r="G34" t="s">
        <v>120</v>
      </c>
      <c r="H34" t="s">
        <v>69</v>
      </c>
      <c r="I34" t="s">
        <v>87</v>
      </c>
      <c r="J34" t="s">
        <v>124</v>
      </c>
      <c r="K34" t="s">
        <v>45</v>
      </c>
      <c r="L34">
        <v>3</v>
      </c>
      <c r="N34">
        <v>3</v>
      </c>
      <c r="O34" t="s">
        <v>86</v>
      </c>
      <c r="P34" t="s">
        <v>141</v>
      </c>
      <c r="Q34" t="s">
        <v>93</v>
      </c>
      <c r="R34" t="s">
        <v>94</v>
      </c>
      <c r="S34" t="s">
        <v>53</v>
      </c>
      <c r="T34">
        <v>2</v>
      </c>
      <c r="U34">
        <v>3</v>
      </c>
      <c r="V34">
        <v>3</v>
      </c>
      <c r="W34" t="s">
        <v>112</v>
      </c>
      <c r="X34" t="s">
        <v>55</v>
      </c>
      <c r="Y34" t="s">
        <v>97</v>
      </c>
      <c r="AA34" t="s">
        <v>33</v>
      </c>
      <c r="AB34">
        <v>1</v>
      </c>
      <c r="AD34">
        <v>2</v>
      </c>
      <c r="AE34" t="s">
        <v>46</v>
      </c>
      <c r="AI34">
        <v>0</v>
      </c>
      <c r="AJ34">
        <v>26</v>
      </c>
    </row>
    <row r="35" spans="1:36" x14ac:dyDescent="0.25">
      <c r="A35" t="s">
        <v>862</v>
      </c>
      <c r="B35">
        <v>45</v>
      </c>
      <c r="C35" t="s">
        <v>53</v>
      </c>
      <c r="D35">
        <v>2</v>
      </c>
      <c r="E35">
        <v>2</v>
      </c>
      <c r="F35">
        <v>2</v>
      </c>
      <c r="G35" t="s">
        <v>112</v>
      </c>
      <c r="H35" t="s">
        <v>113</v>
      </c>
      <c r="I35" t="s">
        <v>114</v>
      </c>
      <c r="J35" t="s">
        <v>116</v>
      </c>
      <c r="K35" t="s">
        <v>33</v>
      </c>
      <c r="L35">
        <v>2</v>
      </c>
      <c r="N35">
        <v>3</v>
      </c>
      <c r="O35" t="s">
        <v>34</v>
      </c>
      <c r="P35" t="s">
        <v>35</v>
      </c>
      <c r="Q35" t="s">
        <v>132</v>
      </c>
      <c r="R35" t="s">
        <v>133</v>
      </c>
      <c r="S35" t="s">
        <v>56</v>
      </c>
      <c r="T35">
        <v>2</v>
      </c>
      <c r="V35">
        <v>1</v>
      </c>
      <c r="W35" t="s">
        <v>57</v>
      </c>
      <c r="AA35" t="s">
        <v>63</v>
      </c>
      <c r="AB35">
        <v>3</v>
      </c>
      <c r="AD35">
        <v>2</v>
      </c>
      <c r="AE35" t="s">
        <v>103</v>
      </c>
      <c r="AF35" t="s">
        <v>91</v>
      </c>
      <c r="AG35" t="s">
        <v>147</v>
      </c>
      <c r="AH35" t="s">
        <v>151</v>
      </c>
      <c r="AI35">
        <v>0</v>
      </c>
      <c r="AJ35">
        <v>24</v>
      </c>
    </row>
    <row r="36" spans="1:36" x14ac:dyDescent="0.25">
      <c r="A36" t="s">
        <v>863</v>
      </c>
      <c r="B36">
        <v>46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113</v>
      </c>
      <c r="I36" t="s">
        <v>97</v>
      </c>
      <c r="J36" t="s">
        <v>115</v>
      </c>
      <c r="K36" t="s">
        <v>33</v>
      </c>
      <c r="L36">
        <v>2</v>
      </c>
      <c r="N36">
        <v>2</v>
      </c>
      <c r="O36" t="s">
        <v>46</v>
      </c>
      <c r="P36" t="s">
        <v>66</v>
      </c>
      <c r="Q36" t="s">
        <v>131</v>
      </c>
      <c r="R36" t="s">
        <v>133</v>
      </c>
      <c r="S36" t="s">
        <v>56</v>
      </c>
      <c r="T36">
        <v>3</v>
      </c>
      <c r="V36">
        <v>3</v>
      </c>
      <c r="W36" t="s">
        <v>120</v>
      </c>
      <c r="X36" t="s">
        <v>69</v>
      </c>
      <c r="Y36" t="s">
        <v>123</v>
      </c>
      <c r="Z36" t="s">
        <v>125</v>
      </c>
      <c r="AA36" t="s">
        <v>38</v>
      </c>
      <c r="AB36">
        <v>1</v>
      </c>
      <c r="AC36">
        <v>1</v>
      </c>
      <c r="AD36">
        <v>2</v>
      </c>
      <c r="AE36" t="s">
        <v>39</v>
      </c>
      <c r="AF36" t="s">
        <v>40</v>
      </c>
      <c r="AG36" t="s">
        <v>153</v>
      </c>
      <c r="AH36" t="s">
        <v>156</v>
      </c>
      <c r="AI36">
        <v>0</v>
      </c>
      <c r="AJ36">
        <v>36</v>
      </c>
    </row>
    <row r="37" spans="1:36" x14ac:dyDescent="0.25">
      <c r="A37" s="39" t="s">
        <v>864</v>
      </c>
      <c r="B37">
        <v>48</v>
      </c>
      <c r="C37" t="s">
        <v>53</v>
      </c>
      <c r="D37">
        <v>3</v>
      </c>
      <c r="E37">
        <v>3</v>
      </c>
      <c r="F37">
        <v>3</v>
      </c>
      <c r="G37" t="s">
        <v>112</v>
      </c>
      <c r="H37" t="s">
        <v>113</v>
      </c>
      <c r="I37" t="s">
        <v>114</v>
      </c>
      <c r="J37" t="s">
        <v>116</v>
      </c>
      <c r="K37" t="s">
        <v>33</v>
      </c>
      <c r="L37">
        <v>3</v>
      </c>
      <c r="N37">
        <v>3</v>
      </c>
      <c r="O37" t="s">
        <v>34</v>
      </c>
      <c r="P37" t="s">
        <v>130</v>
      </c>
      <c r="Q37" t="s">
        <v>36</v>
      </c>
      <c r="R37" t="s">
        <v>133</v>
      </c>
      <c r="S37" t="s">
        <v>48</v>
      </c>
      <c r="T37">
        <v>3</v>
      </c>
      <c r="V37">
        <v>3</v>
      </c>
      <c r="W37" t="s">
        <v>126</v>
      </c>
      <c r="X37" t="s">
        <v>50</v>
      </c>
      <c r="Y37" t="s">
        <v>127</v>
      </c>
      <c r="Z37" t="s">
        <v>129</v>
      </c>
      <c r="AA37" t="s">
        <v>43</v>
      </c>
      <c r="AB37">
        <v>2</v>
      </c>
      <c r="AD37">
        <v>1</v>
      </c>
      <c r="AE37" t="s">
        <v>135</v>
      </c>
      <c r="AI37">
        <v>0</v>
      </c>
      <c r="AJ37">
        <v>33</v>
      </c>
    </row>
    <row r="38" spans="1:36" x14ac:dyDescent="0.25">
      <c r="A38" t="s">
        <v>865</v>
      </c>
      <c r="B38">
        <v>49</v>
      </c>
      <c r="C38" t="s">
        <v>48</v>
      </c>
      <c r="D38">
        <v>3</v>
      </c>
      <c r="F38">
        <v>3</v>
      </c>
      <c r="G38" t="s">
        <v>89</v>
      </c>
      <c r="H38" t="s">
        <v>84</v>
      </c>
      <c r="I38" t="s">
        <v>127</v>
      </c>
      <c r="J38" t="s">
        <v>52</v>
      </c>
      <c r="K38" t="s">
        <v>45</v>
      </c>
      <c r="L38">
        <v>3</v>
      </c>
      <c r="N38">
        <v>3</v>
      </c>
      <c r="O38" t="s">
        <v>140</v>
      </c>
      <c r="P38" t="s">
        <v>141</v>
      </c>
      <c r="Q38" t="s">
        <v>93</v>
      </c>
      <c r="R38" t="s">
        <v>94</v>
      </c>
      <c r="S38" t="s">
        <v>53</v>
      </c>
      <c r="T38">
        <v>3</v>
      </c>
      <c r="U38">
        <v>3</v>
      </c>
      <c r="V38">
        <v>3</v>
      </c>
      <c r="W38" t="s">
        <v>112</v>
      </c>
      <c r="X38" t="s">
        <v>83</v>
      </c>
      <c r="Y38" t="s">
        <v>114</v>
      </c>
      <c r="Z38" t="s">
        <v>98</v>
      </c>
      <c r="AA38" t="s">
        <v>33</v>
      </c>
      <c r="AB38">
        <v>1</v>
      </c>
      <c r="AD38">
        <v>2</v>
      </c>
      <c r="AE38" t="s">
        <v>34</v>
      </c>
      <c r="AI38">
        <v>0</v>
      </c>
      <c r="AJ38">
        <v>41</v>
      </c>
    </row>
    <row r="39" spans="1:36" x14ac:dyDescent="0.25">
      <c r="A39" t="s">
        <v>866</v>
      </c>
      <c r="B39">
        <v>50</v>
      </c>
      <c r="C39" t="s">
        <v>53</v>
      </c>
      <c r="D39">
        <v>1</v>
      </c>
      <c r="E39">
        <v>1</v>
      </c>
      <c r="F39">
        <v>3</v>
      </c>
      <c r="G39" t="s">
        <v>112</v>
      </c>
      <c r="H39" t="s">
        <v>113</v>
      </c>
      <c r="I39" t="s">
        <v>97</v>
      </c>
      <c r="K39" t="s">
        <v>33</v>
      </c>
      <c r="L39">
        <v>2</v>
      </c>
      <c r="N39">
        <v>3</v>
      </c>
      <c r="O39" t="s">
        <v>34</v>
      </c>
      <c r="P39" t="s">
        <v>35</v>
      </c>
      <c r="Q39" t="s">
        <v>132</v>
      </c>
      <c r="S39" t="s">
        <v>48</v>
      </c>
      <c r="T39">
        <v>1</v>
      </c>
      <c r="V39">
        <v>1</v>
      </c>
      <c r="W39" t="s">
        <v>89</v>
      </c>
      <c r="X39" t="s">
        <v>50</v>
      </c>
      <c r="AA39" t="s">
        <v>63</v>
      </c>
      <c r="AB39">
        <v>2</v>
      </c>
      <c r="AD39">
        <v>1</v>
      </c>
      <c r="AE39" t="s">
        <v>72</v>
      </c>
      <c r="AF39" t="s">
        <v>91</v>
      </c>
      <c r="AG39" t="s">
        <v>147</v>
      </c>
      <c r="AH39" t="s">
        <v>151</v>
      </c>
      <c r="AI39">
        <v>0</v>
      </c>
      <c r="AJ39">
        <v>18</v>
      </c>
    </row>
    <row r="40" spans="1:36" x14ac:dyDescent="0.25">
      <c r="A40" t="s">
        <v>867</v>
      </c>
      <c r="B40">
        <v>51</v>
      </c>
      <c r="C40" t="s">
        <v>53</v>
      </c>
      <c r="D40">
        <v>3</v>
      </c>
      <c r="E40">
        <v>3</v>
      </c>
      <c r="F40">
        <v>3</v>
      </c>
      <c r="G40" t="s">
        <v>112</v>
      </c>
      <c r="H40" t="s">
        <v>55</v>
      </c>
      <c r="I40" t="s">
        <v>105</v>
      </c>
      <c r="J40" t="s">
        <v>115</v>
      </c>
      <c r="K40" t="s">
        <v>33</v>
      </c>
      <c r="L40">
        <v>1</v>
      </c>
      <c r="N40">
        <v>1</v>
      </c>
      <c r="O40" t="s">
        <v>46</v>
      </c>
      <c r="S40" t="s">
        <v>48</v>
      </c>
      <c r="T40">
        <v>3</v>
      </c>
      <c r="V40">
        <v>3</v>
      </c>
      <c r="W40" t="s">
        <v>89</v>
      </c>
      <c r="X40" t="s">
        <v>84</v>
      </c>
      <c r="Y40" t="s">
        <v>90</v>
      </c>
      <c r="Z40" t="s">
        <v>129</v>
      </c>
      <c r="AA40" t="s">
        <v>38</v>
      </c>
      <c r="AB40">
        <v>3</v>
      </c>
      <c r="AC40">
        <v>3</v>
      </c>
      <c r="AD40">
        <v>3</v>
      </c>
      <c r="AE40" t="s">
        <v>67</v>
      </c>
      <c r="AF40" t="s">
        <v>40</v>
      </c>
      <c r="AG40" t="s">
        <v>154</v>
      </c>
      <c r="AH40" t="s">
        <v>156</v>
      </c>
      <c r="AI40">
        <v>0</v>
      </c>
      <c r="AJ40">
        <v>35</v>
      </c>
    </row>
    <row r="41" spans="1:36" x14ac:dyDescent="0.25">
      <c r="A41" s="39" t="s">
        <v>868</v>
      </c>
      <c r="B41">
        <v>53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55</v>
      </c>
      <c r="I41" t="s">
        <v>97</v>
      </c>
      <c r="J41" t="s">
        <v>98</v>
      </c>
      <c r="K41" t="s">
        <v>33</v>
      </c>
      <c r="L41">
        <v>1</v>
      </c>
      <c r="N41">
        <v>2</v>
      </c>
      <c r="O41" t="s">
        <v>34</v>
      </c>
      <c r="S41" t="s">
        <v>43</v>
      </c>
      <c r="T41">
        <v>1</v>
      </c>
      <c r="V41">
        <v>1</v>
      </c>
      <c r="W41" t="s">
        <v>44</v>
      </c>
      <c r="X41" t="s">
        <v>99</v>
      </c>
      <c r="Y41" t="s">
        <v>75</v>
      </c>
      <c r="Z41" t="s">
        <v>101</v>
      </c>
      <c r="AA41" t="s">
        <v>45</v>
      </c>
      <c r="AB41">
        <v>3</v>
      </c>
      <c r="AD41">
        <v>3</v>
      </c>
      <c r="AE41" t="s">
        <v>140</v>
      </c>
      <c r="AF41" t="s">
        <v>141</v>
      </c>
      <c r="AG41" t="s">
        <v>102</v>
      </c>
      <c r="AH41" t="s">
        <v>143</v>
      </c>
      <c r="AI41">
        <v>0</v>
      </c>
      <c r="AJ41">
        <v>30</v>
      </c>
    </row>
    <row r="42" spans="1:36" x14ac:dyDescent="0.25">
      <c r="A42" t="s">
        <v>869</v>
      </c>
      <c r="B42">
        <v>54</v>
      </c>
      <c r="C42" t="s">
        <v>53</v>
      </c>
      <c r="D42">
        <v>2</v>
      </c>
      <c r="E42">
        <v>1</v>
      </c>
      <c r="F42">
        <v>1</v>
      </c>
      <c r="G42" t="s">
        <v>112</v>
      </c>
      <c r="H42" t="s">
        <v>113</v>
      </c>
      <c r="I42" t="s">
        <v>114</v>
      </c>
      <c r="J42" t="s">
        <v>98</v>
      </c>
      <c r="K42" t="s">
        <v>33</v>
      </c>
      <c r="L42">
        <v>2</v>
      </c>
      <c r="N42">
        <v>2</v>
      </c>
      <c r="O42" t="s">
        <v>34</v>
      </c>
      <c r="P42" t="s">
        <v>66</v>
      </c>
      <c r="Q42" t="s">
        <v>132</v>
      </c>
      <c r="R42" t="s">
        <v>37</v>
      </c>
      <c r="S42" t="s">
        <v>43</v>
      </c>
      <c r="T42">
        <v>2</v>
      </c>
      <c r="V42">
        <v>1</v>
      </c>
      <c r="W42" t="s">
        <v>135</v>
      </c>
      <c r="X42" t="s">
        <v>136</v>
      </c>
      <c r="AA42" t="s">
        <v>63</v>
      </c>
      <c r="AB42">
        <v>2</v>
      </c>
      <c r="AD42">
        <v>1</v>
      </c>
      <c r="AE42" t="s">
        <v>72</v>
      </c>
      <c r="AF42" t="s">
        <v>91</v>
      </c>
      <c r="AG42" t="s">
        <v>148</v>
      </c>
      <c r="AH42" t="s">
        <v>149</v>
      </c>
      <c r="AI42">
        <v>0</v>
      </c>
      <c r="AJ42">
        <v>19</v>
      </c>
    </row>
    <row r="43" spans="1:36" x14ac:dyDescent="0.25">
      <c r="A43" t="s">
        <v>870</v>
      </c>
      <c r="B43">
        <v>55</v>
      </c>
      <c r="C43" t="s">
        <v>53</v>
      </c>
      <c r="D43">
        <v>3</v>
      </c>
      <c r="E43">
        <v>3</v>
      </c>
      <c r="F43">
        <v>3</v>
      </c>
      <c r="G43" t="s">
        <v>112</v>
      </c>
      <c r="H43" t="s">
        <v>83</v>
      </c>
      <c r="I43" t="s">
        <v>97</v>
      </c>
      <c r="J43" t="s">
        <v>98</v>
      </c>
      <c r="K43" t="s">
        <v>33</v>
      </c>
      <c r="L43">
        <v>2</v>
      </c>
      <c r="N43">
        <v>2</v>
      </c>
      <c r="O43" t="s">
        <v>46</v>
      </c>
      <c r="S43" t="s">
        <v>43</v>
      </c>
      <c r="T43">
        <v>3</v>
      </c>
      <c r="V43">
        <v>3</v>
      </c>
      <c r="W43" t="s">
        <v>135</v>
      </c>
      <c r="X43" t="s">
        <v>74</v>
      </c>
      <c r="Y43" t="s">
        <v>137</v>
      </c>
      <c r="Z43" t="s">
        <v>139</v>
      </c>
      <c r="AA43" t="s">
        <v>38</v>
      </c>
      <c r="AB43">
        <v>3</v>
      </c>
      <c r="AC43">
        <v>1</v>
      </c>
      <c r="AD43">
        <v>1</v>
      </c>
      <c r="AE43" t="s">
        <v>67</v>
      </c>
      <c r="AI43">
        <v>0</v>
      </c>
      <c r="AJ43">
        <v>32</v>
      </c>
    </row>
    <row r="44" spans="1:36" x14ac:dyDescent="0.25">
      <c r="A44" t="s">
        <v>871</v>
      </c>
      <c r="B44">
        <v>57</v>
      </c>
      <c r="C44" t="s">
        <v>45</v>
      </c>
      <c r="D44">
        <v>3</v>
      </c>
      <c r="F44">
        <v>3</v>
      </c>
      <c r="G44" t="s">
        <v>140</v>
      </c>
      <c r="H44" t="s">
        <v>76</v>
      </c>
      <c r="I44" t="s">
        <v>102</v>
      </c>
      <c r="J44" t="s">
        <v>144</v>
      </c>
      <c r="K44" t="s">
        <v>63</v>
      </c>
      <c r="L44">
        <v>3</v>
      </c>
      <c r="N44">
        <v>2</v>
      </c>
      <c r="O44" t="s">
        <v>145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3</v>
      </c>
      <c r="V44">
        <v>3</v>
      </c>
      <c r="W44" t="s">
        <v>112</v>
      </c>
      <c r="X44" t="s">
        <v>55</v>
      </c>
      <c r="Y44" t="s">
        <v>97</v>
      </c>
      <c r="Z44" t="s">
        <v>115</v>
      </c>
      <c r="AA44" t="s">
        <v>33</v>
      </c>
      <c r="AB44">
        <v>1</v>
      </c>
      <c r="AD44">
        <v>2</v>
      </c>
      <c r="AE44" t="s">
        <v>34</v>
      </c>
      <c r="AI44">
        <v>0</v>
      </c>
      <c r="AJ44">
        <v>27</v>
      </c>
    </row>
    <row r="45" spans="1:36" x14ac:dyDescent="0.25">
      <c r="A45" t="s">
        <v>872</v>
      </c>
      <c r="B45">
        <v>58</v>
      </c>
      <c r="C45" t="s">
        <v>53</v>
      </c>
      <c r="D45">
        <v>3</v>
      </c>
      <c r="E45">
        <v>3</v>
      </c>
      <c r="F45">
        <v>3</v>
      </c>
      <c r="G45" t="s">
        <v>112</v>
      </c>
      <c r="H45" t="s">
        <v>83</v>
      </c>
      <c r="I45" t="s">
        <v>114</v>
      </c>
      <c r="J45" t="s">
        <v>98</v>
      </c>
      <c r="K45" t="s">
        <v>33</v>
      </c>
      <c r="L45">
        <v>1</v>
      </c>
      <c r="N45">
        <v>2</v>
      </c>
      <c r="O45" t="s">
        <v>65</v>
      </c>
      <c r="S45" t="s">
        <v>45</v>
      </c>
      <c r="T45">
        <v>3</v>
      </c>
      <c r="V45">
        <v>3</v>
      </c>
      <c r="W45" t="s">
        <v>86</v>
      </c>
      <c r="X45" t="s">
        <v>76</v>
      </c>
      <c r="Y45" t="s">
        <v>93</v>
      </c>
      <c r="Z45" t="s">
        <v>94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40</v>
      </c>
      <c r="AG45" t="s">
        <v>153</v>
      </c>
      <c r="AH45" t="s">
        <v>42</v>
      </c>
      <c r="AI45">
        <v>0</v>
      </c>
      <c r="AJ45">
        <v>38</v>
      </c>
    </row>
    <row r="46" spans="1:36" x14ac:dyDescent="0.25">
      <c r="A46" t="s">
        <v>873</v>
      </c>
      <c r="B46">
        <v>60</v>
      </c>
      <c r="C46" t="s">
        <v>63</v>
      </c>
      <c r="D46">
        <v>1</v>
      </c>
      <c r="F46">
        <v>2</v>
      </c>
      <c r="G46" t="s">
        <v>145</v>
      </c>
      <c r="H46" t="s">
        <v>91</v>
      </c>
      <c r="I46" t="s">
        <v>147</v>
      </c>
      <c r="J46" t="s">
        <v>151</v>
      </c>
      <c r="K46" t="s">
        <v>38</v>
      </c>
      <c r="L46">
        <v>2</v>
      </c>
      <c r="M46">
        <v>2</v>
      </c>
      <c r="N46">
        <v>1</v>
      </c>
      <c r="O46" t="s">
        <v>152</v>
      </c>
      <c r="P46" t="s">
        <v>70</v>
      </c>
      <c r="Q46" t="s">
        <v>154</v>
      </c>
      <c r="R46" t="s">
        <v>42</v>
      </c>
      <c r="S46" t="s">
        <v>53</v>
      </c>
      <c r="T46">
        <v>2</v>
      </c>
      <c r="U46">
        <v>1</v>
      </c>
      <c r="V46">
        <v>1</v>
      </c>
      <c r="W46" t="s">
        <v>112</v>
      </c>
      <c r="X46" t="s">
        <v>83</v>
      </c>
      <c r="Y46" t="s">
        <v>97</v>
      </c>
      <c r="Z46" t="s">
        <v>115</v>
      </c>
      <c r="AA46" t="s">
        <v>33</v>
      </c>
      <c r="AB46">
        <v>1</v>
      </c>
      <c r="AD46">
        <v>1</v>
      </c>
      <c r="AE46" t="s">
        <v>46</v>
      </c>
      <c r="AI46">
        <v>0</v>
      </c>
      <c r="AJ46">
        <v>17</v>
      </c>
    </row>
    <row r="47" spans="1:36" x14ac:dyDescent="0.25">
      <c r="A47" t="s">
        <v>874</v>
      </c>
      <c r="B47">
        <v>63</v>
      </c>
      <c r="C47" t="s">
        <v>56</v>
      </c>
      <c r="D47">
        <v>3</v>
      </c>
      <c r="F47">
        <v>3</v>
      </c>
      <c r="G47" t="s">
        <v>120</v>
      </c>
      <c r="H47" t="s">
        <v>122</v>
      </c>
      <c r="I47" t="s">
        <v>85</v>
      </c>
      <c r="J47" t="s">
        <v>124</v>
      </c>
      <c r="K47" t="s">
        <v>48</v>
      </c>
      <c r="L47">
        <v>3</v>
      </c>
      <c r="N47">
        <v>3</v>
      </c>
      <c r="O47" t="s">
        <v>126</v>
      </c>
      <c r="P47" t="s">
        <v>84</v>
      </c>
      <c r="Q47" t="s">
        <v>90</v>
      </c>
      <c r="R47" t="s">
        <v>129</v>
      </c>
      <c r="S47" t="s">
        <v>53</v>
      </c>
      <c r="T47">
        <v>3</v>
      </c>
      <c r="U47">
        <v>3</v>
      </c>
      <c r="V47">
        <v>3</v>
      </c>
      <c r="W47" t="s">
        <v>112</v>
      </c>
      <c r="X47" t="s">
        <v>55</v>
      </c>
      <c r="Y47" t="s">
        <v>97</v>
      </c>
      <c r="Z47" t="s">
        <v>115</v>
      </c>
      <c r="AA47" t="s">
        <v>43</v>
      </c>
      <c r="AB47">
        <v>2</v>
      </c>
      <c r="AD47">
        <v>1</v>
      </c>
      <c r="AE47" t="s">
        <v>73</v>
      </c>
      <c r="AF47" t="s">
        <v>74</v>
      </c>
      <c r="AG47" t="s">
        <v>137</v>
      </c>
      <c r="AH47" t="s">
        <v>101</v>
      </c>
      <c r="AI47">
        <v>0</v>
      </c>
      <c r="AJ47">
        <v>44</v>
      </c>
    </row>
    <row r="48" spans="1:36" x14ac:dyDescent="0.25">
      <c r="A48" t="s">
        <v>875</v>
      </c>
      <c r="B48">
        <v>64</v>
      </c>
      <c r="C48" t="s">
        <v>53</v>
      </c>
      <c r="D48">
        <v>2</v>
      </c>
      <c r="E48">
        <v>1</v>
      </c>
      <c r="F48">
        <v>1</v>
      </c>
      <c r="G48" t="s">
        <v>111</v>
      </c>
      <c r="H48" t="s">
        <v>83</v>
      </c>
      <c r="I48" t="s">
        <v>97</v>
      </c>
      <c r="K48" t="s">
        <v>43</v>
      </c>
      <c r="L48">
        <v>3</v>
      </c>
      <c r="N48">
        <v>1</v>
      </c>
      <c r="O48" t="s">
        <v>135</v>
      </c>
      <c r="P48" t="s">
        <v>99</v>
      </c>
      <c r="Q48" t="s">
        <v>137</v>
      </c>
      <c r="S48" t="s">
        <v>56</v>
      </c>
      <c r="T48">
        <v>3</v>
      </c>
      <c r="V48">
        <v>1</v>
      </c>
      <c r="W48" t="s">
        <v>120</v>
      </c>
      <c r="X48" t="s">
        <v>69</v>
      </c>
      <c r="AA48" t="s">
        <v>33</v>
      </c>
      <c r="AB48">
        <v>1</v>
      </c>
      <c r="AD48">
        <v>2</v>
      </c>
      <c r="AE48" t="s">
        <v>34</v>
      </c>
      <c r="AI48">
        <v>0</v>
      </c>
      <c r="AJ48">
        <v>15</v>
      </c>
    </row>
    <row r="49" spans="1:36" x14ac:dyDescent="0.25">
      <c r="A49" t="s">
        <v>876</v>
      </c>
      <c r="B49">
        <v>65</v>
      </c>
      <c r="C49" t="s">
        <v>56</v>
      </c>
      <c r="D49">
        <v>3</v>
      </c>
      <c r="F49">
        <v>1</v>
      </c>
      <c r="G49" t="s">
        <v>57</v>
      </c>
      <c r="H49" t="s">
        <v>122</v>
      </c>
      <c r="I49" t="s">
        <v>85</v>
      </c>
      <c r="J49" t="s">
        <v>124</v>
      </c>
      <c r="K49" t="s">
        <v>45</v>
      </c>
      <c r="L49">
        <v>3</v>
      </c>
      <c r="N49">
        <v>1</v>
      </c>
      <c r="O49" t="s">
        <v>140</v>
      </c>
      <c r="P49" t="s">
        <v>141</v>
      </c>
      <c r="Q49" t="s">
        <v>102</v>
      </c>
      <c r="R49" t="s">
        <v>143</v>
      </c>
      <c r="S49" t="s">
        <v>53</v>
      </c>
      <c r="T49">
        <v>2</v>
      </c>
      <c r="U49">
        <v>3</v>
      </c>
      <c r="V49">
        <v>3</v>
      </c>
      <c r="W49" t="s">
        <v>112</v>
      </c>
      <c r="AA49" t="s">
        <v>43</v>
      </c>
      <c r="AB49">
        <v>1</v>
      </c>
      <c r="AD49">
        <v>1</v>
      </c>
      <c r="AE49" t="s">
        <v>73</v>
      </c>
      <c r="AI49">
        <v>0</v>
      </c>
      <c r="AJ49">
        <v>20</v>
      </c>
    </row>
    <row r="50" spans="1:36" x14ac:dyDescent="0.25">
      <c r="A50" t="s">
        <v>877</v>
      </c>
      <c r="B50">
        <v>66</v>
      </c>
      <c r="C50" t="s">
        <v>56</v>
      </c>
      <c r="D50">
        <v>3</v>
      </c>
      <c r="F50">
        <v>3</v>
      </c>
      <c r="G50" t="s">
        <v>120</v>
      </c>
      <c r="H50" t="s">
        <v>122</v>
      </c>
      <c r="I50" t="s">
        <v>87</v>
      </c>
      <c r="J50" t="s">
        <v>125</v>
      </c>
      <c r="K50" t="s">
        <v>63</v>
      </c>
      <c r="L50">
        <v>3</v>
      </c>
      <c r="N50">
        <v>3</v>
      </c>
      <c r="O50" t="s">
        <v>145</v>
      </c>
      <c r="P50" t="s">
        <v>91</v>
      </c>
      <c r="Q50" t="s">
        <v>147</v>
      </c>
      <c r="R50" t="s">
        <v>151</v>
      </c>
      <c r="S50" t="s">
        <v>53</v>
      </c>
      <c r="T50">
        <v>2</v>
      </c>
      <c r="U50">
        <v>3</v>
      </c>
      <c r="V50">
        <v>3</v>
      </c>
      <c r="W50" t="s">
        <v>112</v>
      </c>
      <c r="X50" t="s">
        <v>83</v>
      </c>
      <c r="Y50" t="s">
        <v>97</v>
      </c>
      <c r="Z50" t="s">
        <v>115</v>
      </c>
      <c r="AA50" t="s">
        <v>43</v>
      </c>
      <c r="AB50">
        <v>1</v>
      </c>
      <c r="AD50">
        <v>1</v>
      </c>
      <c r="AE50" t="s">
        <v>73</v>
      </c>
      <c r="AF50" t="s">
        <v>74</v>
      </c>
      <c r="AG50" t="s">
        <v>75</v>
      </c>
      <c r="AI50">
        <v>0</v>
      </c>
      <c r="AJ50">
        <v>29</v>
      </c>
    </row>
    <row r="51" spans="1:36" x14ac:dyDescent="0.25">
      <c r="A51" t="s">
        <v>878</v>
      </c>
      <c r="B51">
        <v>67</v>
      </c>
      <c r="C51" t="s">
        <v>53</v>
      </c>
      <c r="D51">
        <v>1</v>
      </c>
      <c r="E51">
        <v>1</v>
      </c>
      <c r="F51">
        <v>2</v>
      </c>
      <c r="G51" t="s">
        <v>112</v>
      </c>
      <c r="H51" t="s">
        <v>113</v>
      </c>
      <c r="I51" t="s">
        <v>97</v>
      </c>
      <c r="J51" t="s">
        <v>98</v>
      </c>
      <c r="K51" t="s">
        <v>43</v>
      </c>
      <c r="L51">
        <v>3</v>
      </c>
      <c r="N51">
        <v>3</v>
      </c>
      <c r="O51" t="s">
        <v>73</v>
      </c>
      <c r="P51" t="s">
        <v>74</v>
      </c>
      <c r="Q51" t="s">
        <v>75</v>
      </c>
      <c r="R51" t="s">
        <v>139</v>
      </c>
      <c r="S51" t="s">
        <v>56</v>
      </c>
      <c r="T51">
        <v>3</v>
      </c>
      <c r="V51">
        <v>2</v>
      </c>
      <c r="W51" t="s">
        <v>120</v>
      </c>
      <c r="X51" t="s">
        <v>69</v>
      </c>
      <c r="AA51" t="s">
        <v>38</v>
      </c>
      <c r="AB51">
        <v>3</v>
      </c>
      <c r="AC51">
        <v>3</v>
      </c>
      <c r="AD51">
        <v>3</v>
      </c>
      <c r="AE51" t="s">
        <v>39</v>
      </c>
      <c r="AF51" t="s">
        <v>70</v>
      </c>
      <c r="AG51" t="s">
        <v>153</v>
      </c>
      <c r="AH51" t="s">
        <v>156</v>
      </c>
      <c r="AI51">
        <v>0</v>
      </c>
      <c r="AJ51">
        <v>32</v>
      </c>
    </row>
    <row r="52" spans="1:36" x14ac:dyDescent="0.25">
      <c r="A52" t="s">
        <v>879</v>
      </c>
      <c r="B52">
        <v>69</v>
      </c>
      <c r="C52" t="s">
        <v>48</v>
      </c>
      <c r="D52">
        <v>1</v>
      </c>
      <c r="F52">
        <v>1</v>
      </c>
      <c r="G52" t="s">
        <v>126</v>
      </c>
      <c r="H52" t="s">
        <v>84</v>
      </c>
      <c r="I52" t="s">
        <v>127</v>
      </c>
      <c r="J52" t="s">
        <v>129</v>
      </c>
      <c r="K52" t="s">
        <v>33</v>
      </c>
      <c r="L52">
        <v>2</v>
      </c>
      <c r="N52">
        <v>3</v>
      </c>
      <c r="O52" t="s">
        <v>34</v>
      </c>
      <c r="P52" t="s">
        <v>35</v>
      </c>
      <c r="S52" t="s">
        <v>53</v>
      </c>
      <c r="T52">
        <v>1</v>
      </c>
      <c r="U52">
        <v>1</v>
      </c>
      <c r="V52">
        <v>1</v>
      </c>
      <c r="W52" t="s">
        <v>111</v>
      </c>
      <c r="X52" t="s">
        <v>83</v>
      </c>
      <c r="Y52" t="s">
        <v>97</v>
      </c>
      <c r="AA52" t="s">
        <v>43</v>
      </c>
      <c r="AB52">
        <v>3</v>
      </c>
      <c r="AD52">
        <v>1</v>
      </c>
      <c r="AE52" t="s">
        <v>44</v>
      </c>
      <c r="AF52" t="s">
        <v>74</v>
      </c>
      <c r="AI52">
        <v>0</v>
      </c>
      <c r="AJ52">
        <v>16</v>
      </c>
    </row>
    <row r="53" spans="1:36" x14ac:dyDescent="0.25">
      <c r="A53" t="s">
        <v>880</v>
      </c>
      <c r="B53">
        <v>70</v>
      </c>
      <c r="C53" t="s">
        <v>53</v>
      </c>
      <c r="D53">
        <v>2</v>
      </c>
      <c r="E53">
        <v>3</v>
      </c>
      <c r="F53">
        <v>3</v>
      </c>
      <c r="G53" t="s">
        <v>112</v>
      </c>
      <c r="H53" t="s">
        <v>83</v>
      </c>
      <c r="I53" t="s">
        <v>97</v>
      </c>
      <c r="J53" t="s">
        <v>98</v>
      </c>
      <c r="K53" t="s">
        <v>43</v>
      </c>
      <c r="L53">
        <v>3</v>
      </c>
      <c r="N53">
        <v>3</v>
      </c>
      <c r="O53" t="s">
        <v>44</v>
      </c>
      <c r="P53" t="s">
        <v>136</v>
      </c>
      <c r="Q53" t="s">
        <v>100</v>
      </c>
      <c r="R53" t="s">
        <v>138</v>
      </c>
      <c r="S53" t="s">
        <v>48</v>
      </c>
      <c r="T53">
        <v>1</v>
      </c>
      <c r="V53">
        <v>1</v>
      </c>
      <c r="W53" t="s">
        <v>126</v>
      </c>
      <c r="X53" t="s">
        <v>84</v>
      </c>
      <c r="Y53" t="s">
        <v>127</v>
      </c>
      <c r="Z53" t="s">
        <v>129</v>
      </c>
      <c r="AA53" t="s">
        <v>45</v>
      </c>
      <c r="AB53">
        <v>3</v>
      </c>
      <c r="AD53">
        <v>3</v>
      </c>
      <c r="AE53" t="s">
        <v>140</v>
      </c>
      <c r="AF53" t="s">
        <v>141</v>
      </c>
      <c r="AG53" t="s">
        <v>102</v>
      </c>
      <c r="AH53" t="s">
        <v>143</v>
      </c>
      <c r="AI53">
        <v>0</v>
      </c>
      <c r="AJ53">
        <v>33</v>
      </c>
    </row>
    <row r="54" spans="1:36" x14ac:dyDescent="0.25">
      <c r="A54" t="s">
        <v>881</v>
      </c>
      <c r="B54">
        <v>71</v>
      </c>
      <c r="C54" t="s">
        <v>53</v>
      </c>
      <c r="D54">
        <v>3</v>
      </c>
      <c r="E54">
        <v>3</v>
      </c>
      <c r="F54">
        <v>3</v>
      </c>
      <c r="G54" t="s">
        <v>112</v>
      </c>
      <c r="H54" t="s">
        <v>83</v>
      </c>
      <c r="I54" t="s">
        <v>97</v>
      </c>
      <c r="J54" t="s">
        <v>115</v>
      </c>
      <c r="K54" t="s">
        <v>43</v>
      </c>
      <c r="L54">
        <v>3</v>
      </c>
      <c r="N54">
        <v>3</v>
      </c>
      <c r="O54" t="s">
        <v>44</v>
      </c>
      <c r="P54" t="s">
        <v>74</v>
      </c>
      <c r="Q54" t="s">
        <v>137</v>
      </c>
      <c r="R54" t="s">
        <v>139</v>
      </c>
      <c r="S54" t="s">
        <v>48</v>
      </c>
      <c r="T54">
        <v>3</v>
      </c>
      <c r="V54">
        <v>3</v>
      </c>
      <c r="W54" t="s">
        <v>126</v>
      </c>
      <c r="X54" t="s">
        <v>84</v>
      </c>
      <c r="Y54" t="s">
        <v>90</v>
      </c>
      <c r="Z54" t="s">
        <v>129</v>
      </c>
      <c r="AA54" t="s">
        <v>63</v>
      </c>
      <c r="AB54">
        <v>2</v>
      </c>
      <c r="AD54">
        <v>2</v>
      </c>
      <c r="AE54" t="s">
        <v>103</v>
      </c>
      <c r="AF54" t="s">
        <v>146</v>
      </c>
      <c r="AG54" t="s">
        <v>148</v>
      </c>
      <c r="AH54" t="s">
        <v>150</v>
      </c>
      <c r="AI54">
        <v>0</v>
      </c>
      <c r="AJ54">
        <v>53</v>
      </c>
    </row>
    <row r="55" spans="1:36" x14ac:dyDescent="0.25">
      <c r="A55" t="s">
        <v>882</v>
      </c>
      <c r="B55">
        <v>72</v>
      </c>
      <c r="C55" t="s">
        <v>53</v>
      </c>
      <c r="D55">
        <v>3</v>
      </c>
      <c r="E55">
        <v>3</v>
      </c>
      <c r="F55">
        <v>3</v>
      </c>
      <c r="G55" t="s">
        <v>112</v>
      </c>
      <c r="H55" t="s">
        <v>83</v>
      </c>
      <c r="I55" t="s">
        <v>97</v>
      </c>
      <c r="J55" t="s">
        <v>116</v>
      </c>
      <c r="K55" t="s">
        <v>43</v>
      </c>
      <c r="L55">
        <v>3</v>
      </c>
      <c r="N55">
        <v>3</v>
      </c>
      <c r="O55" t="s">
        <v>73</v>
      </c>
      <c r="P55" t="s">
        <v>74</v>
      </c>
      <c r="Q55" t="s">
        <v>75</v>
      </c>
      <c r="R55" t="s">
        <v>138</v>
      </c>
      <c r="S55" t="s">
        <v>48</v>
      </c>
      <c r="T55">
        <v>3</v>
      </c>
      <c r="V55">
        <v>3</v>
      </c>
      <c r="W55" t="s">
        <v>126</v>
      </c>
      <c r="X55" t="s">
        <v>84</v>
      </c>
      <c r="Y55" t="s">
        <v>90</v>
      </c>
      <c r="Z55" t="s">
        <v>129</v>
      </c>
      <c r="AA55" t="s">
        <v>38</v>
      </c>
      <c r="AB55">
        <v>1</v>
      </c>
      <c r="AC55">
        <v>1</v>
      </c>
      <c r="AD55">
        <v>3</v>
      </c>
      <c r="AE55" t="s">
        <v>39</v>
      </c>
      <c r="AF55" t="s">
        <v>40</v>
      </c>
      <c r="AG55" t="s">
        <v>154</v>
      </c>
      <c r="AH55" t="s">
        <v>156</v>
      </c>
      <c r="AI55">
        <v>0</v>
      </c>
      <c r="AJ55">
        <v>57</v>
      </c>
    </row>
    <row r="56" spans="1:36" x14ac:dyDescent="0.25">
      <c r="A56" t="s">
        <v>883</v>
      </c>
      <c r="B56">
        <v>74</v>
      </c>
      <c r="C56" t="s">
        <v>53</v>
      </c>
      <c r="D56">
        <v>1</v>
      </c>
      <c r="E56">
        <v>3</v>
      </c>
      <c r="F56">
        <v>3</v>
      </c>
      <c r="G56" t="s">
        <v>111</v>
      </c>
      <c r="K56" t="s">
        <v>43</v>
      </c>
      <c r="L56">
        <v>3</v>
      </c>
      <c r="N56">
        <v>1</v>
      </c>
      <c r="O56" t="s">
        <v>44</v>
      </c>
      <c r="P56" t="s">
        <v>136</v>
      </c>
      <c r="Q56" t="s">
        <v>100</v>
      </c>
      <c r="S56" t="s">
        <v>33</v>
      </c>
      <c r="T56">
        <v>1</v>
      </c>
      <c r="V56">
        <v>2</v>
      </c>
      <c r="W56" t="s">
        <v>34</v>
      </c>
      <c r="AA56" t="s">
        <v>45</v>
      </c>
      <c r="AB56">
        <v>3</v>
      </c>
      <c r="AD56">
        <v>1</v>
      </c>
      <c r="AE56" t="s">
        <v>140</v>
      </c>
      <c r="AF56" t="s">
        <v>141</v>
      </c>
      <c r="AG56" t="s">
        <v>102</v>
      </c>
      <c r="AH56" t="s">
        <v>94</v>
      </c>
      <c r="AI56">
        <v>0</v>
      </c>
      <c r="AJ56">
        <v>19</v>
      </c>
    </row>
    <row r="57" spans="1:36" x14ac:dyDescent="0.25">
      <c r="A57" t="s">
        <v>884</v>
      </c>
      <c r="B57">
        <v>75</v>
      </c>
      <c r="C57" t="s">
        <v>53</v>
      </c>
      <c r="D57">
        <v>3</v>
      </c>
      <c r="E57">
        <v>3</v>
      </c>
      <c r="F57">
        <v>3</v>
      </c>
      <c r="G57" t="s">
        <v>111</v>
      </c>
      <c r="H57" t="s">
        <v>83</v>
      </c>
      <c r="I57" t="s">
        <v>97</v>
      </c>
      <c r="J57" t="s">
        <v>116</v>
      </c>
      <c r="K57" t="s">
        <v>43</v>
      </c>
      <c r="L57">
        <v>3</v>
      </c>
      <c r="N57">
        <v>3</v>
      </c>
      <c r="O57" t="s">
        <v>135</v>
      </c>
      <c r="P57" t="s">
        <v>136</v>
      </c>
      <c r="Q57" t="s">
        <v>137</v>
      </c>
      <c r="R57" t="s">
        <v>139</v>
      </c>
      <c r="S57" t="s">
        <v>33</v>
      </c>
      <c r="T57">
        <v>1</v>
      </c>
      <c r="V57">
        <v>2</v>
      </c>
      <c r="W57" t="s">
        <v>34</v>
      </c>
      <c r="AA57" t="s">
        <v>63</v>
      </c>
      <c r="AB57">
        <v>3</v>
      </c>
      <c r="AD57">
        <v>3</v>
      </c>
      <c r="AE57" t="s">
        <v>103</v>
      </c>
      <c r="AF57" t="s">
        <v>146</v>
      </c>
      <c r="AG57" t="s">
        <v>104</v>
      </c>
      <c r="AH57" t="s">
        <v>149</v>
      </c>
      <c r="AI57">
        <v>0</v>
      </c>
      <c r="AJ57">
        <v>48</v>
      </c>
    </row>
    <row r="58" spans="1:36" x14ac:dyDescent="0.25">
      <c r="A58" t="s">
        <v>885</v>
      </c>
      <c r="B58">
        <v>76</v>
      </c>
      <c r="C58" t="s">
        <v>53</v>
      </c>
      <c r="D58">
        <v>3</v>
      </c>
      <c r="E58">
        <v>1</v>
      </c>
      <c r="F58">
        <v>1</v>
      </c>
      <c r="G58" t="s">
        <v>111</v>
      </c>
      <c r="H58" t="s">
        <v>83</v>
      </c>
      <c r="I58" t="s">
        <v>105</v>
      </c>
      <c r="J58" t="s">
        <v>115</v>
      </c>
      <c r="K58" t="s">
        <v>43</v>
      </c>
      <c r="L58">
        <v>1</v>
      </c>
      <c r="N58">
        <v>1</v>
      </c>
      <c r="O58" t="s">
        <v>44</v>
      </c>
      <c r="S58" t="s">
        <v>33</v>
      </c>
      <c r="T58">
        <v>2</v>
      </c>
      <c r="V58">
        <v>2</v>
      </c>
      <c r="W58" t="s">
        <v>34</v>
      </c>
      <c r="X58" t="s">
        <v>130</v>
      </c>
      <c r="AA58" t="s">
        <v>38</v>
      </c>
      <c r="AB58">
        <v>1</v>
      </c>
      <c r="AC58">
        <v>1</v>
      </c>
      <c r="AD58">
        <v>2</v>
      </c>
      <c r="AE58" t="s">
        <v>39</v>
      </c>
      <c r="AF58" t="s">
        <v>96</v>
      </c>
      <c r="AG58" t="s">
        <v>154</v>
      </c>
      <c r="AH58" t="s">
        <v>155</v>
      </c>
      <c r="AI58">
        <v>0</v>
      </c>
      <c r="AJ58">
        <v>17</v>
      </c>
    </row>
    <row r="59" spans="1:36" x14ac:dyDescent="0.25">
      <c r="A59" t="s">
        <v>886</v>
      </c>
      <c r="B59">
        <v>78</v>
      </c>
      <c r="C59" t="s">
        <v>45</v>
      </c>
      <c r="D59">
        <v>3</v>
      </c>
      <c r="F59">
        <v>1</v>
      </c>
      <c r="G59" t="s">
        <v>140</v>
      </c>
      <c r="H59" t="s">
        <v>141</v>
      </c>
      <c r="I59" t="s">
        <v>102</v>
      </c>
      <c r="J59" t="s">
        <v>143</v>
      </c>
      <c r="K59" t="s">
        <v>63</v>
      </c>
      <c r="L59">
        <v>1</v>
      </c>
      <c r="N59">
        <v>2</v>
      </c>
      <c r="O59" t="s">
        <v>72</v>
      </c>
      <c r="P59" t="s">
        <v>95</v>
      </c>
      <c r="Q59" t="s">
        <v>148</v>
      </c>
      <c r="R59" t="s">
        <v>150</v>
      </c>
      <c r="S59" t="s">
        <v>53</v>
      </c>
      <c r="T59">
        <v>2</v>
      </c>
      <c r="U59">
        <v>3</v>
      </c>
      <c r="V59">
        <v>3</v>
      </c>
      <c r="W59" t="s">
        <v>112</v>
      </c>
      <c r="AA59" t="s">
        <v>43</v>
      </c>
      <c r="AB59">
        <v>1</v>
      </c>
      <c r="AD59">
        <v>1</v>
      </c>
      <c r="AE59" t="s">
        <v>73</v>
      </c>
      <c r="AF59" t="s">
        <v>136</v>
      </c>
      <c r="AI59">
        <v>0</v>
      </c>
      <c r="AJ59">
        <v>19</v>
      </c>
    </row>
    <row r="60" spans="1:36" x14ac:dyDescent="0.25">
      <c r="A60" t="s">
        <v>887</v>
      </c>
      <c r="B60">
        <v>79</v>
      </c>
      <c r="C60" t="s">
        <v>53</v>
      </c>
      <c r="D60">
        <v>3</v>
      </c>
      <c r="E60">
        <v>3</v>
      </c>
      <c r="F60">
        <v>3</v>
      </c>
      <c r="G60" t="s">
        <v>112</v>
      </c>
      <c r="H60" t="s">
        <v>83</v>
      </c>
      <c r="I60" t="s">
        <v>97</v>
      </c>
      <c r="J60" t="s">
        <v>98</v>
      </c>
      <c r="K60" t="s">
        <v>43</v>
      </c>
      <c r="L60">
        <v>1</v>
      </c>
      <c r="N60">
        <v>1</v>
      </c>
      <c r="O60" t="s">
        <v>73</v>
      </c>
      <c r="P60" t="s">
        <v>136</v>
      </c>
      <c r="Q60" t="s">
        <v>137</v>
      </c>
      <c r="R60" t="s">
        <v>101</v>
      </c>
      <c r="S60" t="s">
        <v>45</v>
      </c>
      <c r="T60">
        <v>3</v>
      </c>
      <c r="V60">
        <v>3</v>
      </c>
      <c r="W60" t="s">
        <v>86</v>
      </c>
      <c r="X60" t="s">
        <v>141</v>
      </c>
      <c r="Y60" t="s">
        <v>93</v>
      </c>
      <c r="Z60" t="s">
        <v>143</v>
      </c>
      <c r="AA60" t="s">
        <v>38</v>
      </c>
      <c r="AB60">
        <v>1</v>
      </c>
      <c r="AC60">
        <v>1</v>
      </c>
      <c r="AD60">
        <v>2</v>
      </c>
      <c r="AE60" t="s">
        <v>39</v>
      </c>
      <c r="AF60" t="s">
        <v>40</v>
      </c>
      <c r="AG60" t="s">
        <v>153</v>
      </c>
      <c r="AH60" t="s">
        <v>42</v>
      </c>
      <c r="AI60">
        <v>0</v>
      </c>
      <c r="AJ60">
        <v>32</v>
      </c>
    </row>
    <row r="61" spans="1:36" x14ac:dyDescent="0.25">
      <c r="A61" t="s">
        <v>888</v>
      </c>
      <c r="B61">
        <v>81</v>
      </c>
      <c r="C61" t="s">
        <v>63</v>
      </c>
      <c r="D61">
        <v>3</v>
      </c>
      <c r="F61">
        <v>3</v>
      </c>
      <c r="G61" t="s">
        <v>103</v>
      </c>
      <c r="H61" t="s">
        <v>91</v>
      </c>
      <c r="I61" t="s">
        <v>147</v>
      </c>
      <c r="J61" t="s">
        <v>151</v>
      </c>
      <c r="K61" t="s">
        <v>38</v>
      </c>
      <c r="L61">
        <v>3</v>
      </c>
      <c r="M61">
        <v>3</v>
      </c>
      <c r="N61">
        <v>3</v>
      </c>
      <c r="O61" t="s">
        <v>39</v>
      </c>
      <c r="P61" t="s">
        <v>70</v>
      </c>
      <c r="Q61" t="s">
        <v>41</v>
      </c>
      <c r="R61" t="s">
        <v>156</v>
      </c>
      <c r="S61" t="s">
        <v>53</v>
      </c>
      <c r="T61">
        <v>3</v>
      </c>
      <c r="U61">
        <v>3</v>
      </c>
      <c r="V61">
        <v>3</v>
      </c>
      <c r="W61" t="s">
        <v>112</v>
      </c>
      <c r="X61" t="s">
        <v>83</v>
      </c>
      <c r="Y61" t="s">
        <v>97</v>
      </c>
      <c r="Z61" t="s">
        <v>115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G61" t="s">
        <v>137</v>
      </c>
      <c r="AI61">
        <v>0</v>
      </c>
      <c r="AJ61">
        <v>47</v>
      </c>
    </row>
    <row r="62" spans="1:36" x14ac:dyDescent="0.25">
      <c r="A62" t="s">
        <v>889</v>
      </c>
      <c r="B62">
        <v>84</v>
      </c>
      <c r="C62" t="s">
        <v>56</v>
      </c>
      <c r="D62">
        <v>2</v>
      </c>
      <c r="F62">
        <v>1</v>
      </c>
      <c r="G62" t="s">
        <v>57</v>
      </c>
      <c r="K62" t="s">
        <v>48</v>
      </c>
      <c r="L62">
        <v>3</v>
      </c>
      <c r="N62">
        <v>3</v>
      </c>
      <c r="O62" t="s">
        <v>126</v>
      </c>
      <c r="P62" t="s">
        <v>84</v>
      </c>
      <c r="Q62" t="s">
        <v>90</v>
      </c>
      <c r="R62" t="s">
        <v>128</v>
      </c>
      <c r="S62" t="s">
        <v>53</v>
      </c>
      <c r="T62">
        <v>3</v>
      </c>
      <c r="U62">
        <v>3</v>
      </c>
      <c r="V62">
        <v>3</v>
      </c>
      <c r="W62" t="s">
        <v>112</v>
      </c>
      <c r="X62" t="s">
        <v>55</v>
      </c>
      <c r="Y62" t="s">
        <v>97</v>
      </c>
      <c r="Z62" t="s">
        <v>98</v>
      </c>
      <c r="AA62" t="s">
        <v>45</v>
      </c>
      <c r="AB62">
        <v>3</v>
      </c>
      <c r="AD62">
        <v>1</v>
      </c>
      <c r="AE62" t="s">
        <v>86</v>
      </c>
      <c r="AF62" t="s">
        <v>141</v>
      </c>
      <c r="AG62" t="s">
        <v>93</v>
      </c>
      <c r="AH62" t="s">
        <v>94</v>
      </c>
      <c r="AI62">
        <v>0</v>
      </c>
      <c r="AJ62">
        <v>46</v>
      </c>
    </row>
    <row r="63" spans="1:36" x14ac:dyDescent="0.25">
      <c r="A63" t="s">
        <v>890</v>
      </c>
      <c r="B63">
        <v>85</v>
      </c>
      <c r="C63" t="s">
        <v>56</v>
      </c>
      <c r="D63">
        <v>3</v>
      </c>
      <c r="F63">
        <v>2</v>
      </c>
      <c r="G63" t="s">
        <v>57</v>
      </c>
      <c r="H63" t="s">
        <v>122</v>
      </c>
      <c r="I63" t="s">
        <v>85</v>
      </c>
      <c r="J63" t="s">
        <v>124</v>
      </c>
      <c r="K63" t="s">
        <v>33</v>
      </c>
      <c r="L63">
        <v>1</v>
      </c>
      <c r="N63">
        <v>2</v>
      </c>
      <c r="O63" t="s">
        <v>34</v>
      </c>
      <c r="S63" t="s">
        <v>53</v>
      </c>
      <c r="T63">
        <v>1</v>
      </c>
      <c r="U63">
        <v>3</v>
      </c>
      <c r="V63">
        <v>3</v>
      </c>
      <c r="W63" t="s">
        <v>111</v>
      </c>
      <c r="X63" t="s">
        <v>83</v>
      </c>
      <c r="Y63" t="s">
        <v>97</v>
      </c>
      <c r="AA63" t="s">
        <v>45</v>
      </c>
      <c r="AB63">
        <v>3</v>
      </c>
      <c r="AD63">
        <v>1</v>
      </c>
      <c r="AE63" t="s">
        <v>140</v>
      </c>
      <c r="AI63">
        <v>0</v>
      </c>
      <c r="AJ63">
        <v>19</v>
      </c>
    </row>
    <row r="64" spans="1:36" x14ac:dyDescent="0.25">
      <c r="A64" t="s">
        <v>891</v>
      </c>
      <c r="B64">
        <v>86</v>
      </c>
      <c r="C64" t="s">
        <v>53</v>
      </c>
      <c r="D64">
        <v>3</v>
      </c>
      <c r="E64">
        <v>1</v>
      </c>
      <c r="F64">
        <v>2</v>
      </c>
      <c r="G64" t="s">
        <v>112</v>
      </c>
      <c r="H64" t="s">
        <v>55</v>
      </c>
      <c r="I64" t="s">
        <v>97</v>
      </c>
      <c r="J64" t="s">
        <v>98</v>
      </c>
      <c r="K64" t="s">
        <v>45</v>
      </c>
      <c r="L64">
        <v>3</v>
      </c>
      <c r="N64">
        <v>1</v>
      </c>
      <c r="O64" t="s">
        <v>140</v>
      </c>
      <c r="S64" t="s">
        <v>56</v>
      </c>
      <c r="T64">
        <v>3</v>
      </c>
      <c r="V64">
        <v>1</v>
      </c>
      <c r="W64" t="s">
        <v>120</v>
      </c>
      <c r="X64" t="s">
        <v>69</v>
      </c>
      <c r="Y64" t="s">
        <v>87</v>
      </c>
      <c r="AA64" t="s">
        <v>43</v>
      </c>
      <c r="AB64">
        <v>1</v>
      </c>
      <c r="AD64">
        <v>1</v>
      </c>
      <c r="AE64" t="s">
        <v>73</v>
      </c>
      <c r="AF64" t="s">
        <v>136</v>
      </c>
      <c r="AG64" t="s">
        <v>75</v>
      </c>
      <c r="AI64">
        <v>0</v>
      </c>
      <c r="AJ64">
        <v>18</v>
      </c>
    </row>
    <row r="65" spans="1:36" x14ac:dyDescent="0.25">
      <c r="A65" t="s">
        <v>892</v>
      </c>
      <c r="B65">
        <v>87</v>
      </c>
      <c r="C65" t="s">
        <v>56</v>
      </c>
      <c r="D65">
        <v>3</v>
      </c>
      <c r="F65">
        <v>3</v>
      </c>
      <c r="G65" t="s">
        <v>57</v>
      </c>
      <c r="H65" t="s">
        <v>122</v>
      </c>
      <c r="I65" t="s">
        <v>85</v>
      </c>
      <c r="J65" t="s">
        <v>125</v>
      </c>
      <c r="K65" t="s">
        <v>63</v>
      </c>
      <c r="L65">
        <v>3</v>
      </c>
      <c r="N65">
        <v>3</v>
      </c>
      <c r="O65" t="s">
        <v>103</v>
      </c>
      <c r="P65" t="s">
        <v>91</v>
      </c>
      <c r="Q65" t="s">
        <v>148</v>
      </c>
      <c r="R65" t="s">
        <v>150</v>
      </c>
      <c r="S65" t="s">
        <v>53</v>
      </c>
      <c r="T65">
        <v>3</v>
      </c>
      <c r="U65">
        <v>3</v>
      </c>
      <c r="V65">
        <v>3</v>
      </c>
      <c r="W65" t="s">
        <v>112</v>
      </c>
      <c r="X65" t="s">
        <v>83</v>
      </c>
      <c r="Y65" t="s">
        <v>97</v>
      </c>
      <c r="Z65" t="s">
        <v>115</v>
      </c>
      <c r="AA65" t="s">
        <v>45</v>
      </c>
      <c r="AB65">
        <v>3</v>
      </c>
      <c r="AD65">
        <v>1</v>
      </c>
      <c r="AE65" t="s">
        <v>86</v>
      </c>
      <c r="AI65">
        <v>0</v>
      </c>
      <c r="AJ65">
        <v>33</v>
      </c>
    </row>
    <row r="66" spans="1:36" x14ac:dyDescent="0.25">
      <c r="A66" t="s">
        <v>893</v>
      </c>
      <c r="B66">
        <v>88</v>
      </c>
      <c r="C66" t="s">
        <v>53</v>
      </c>
      <c r="D66">
        <v>1</v>
      </c>
      <c r="E66">
        <v>1</v>
      </c>
      <c r="F66">
        <v>3</v>
      </c>
      <c r="G66" t="s">
        <v>112</v>
      </c>
      <c r="H66" t="s">
        <v>113</v>
      </c>
      <c r="I66" t="s">
        <v>97</v>
      </c>
      <c r="K66" t="s">
        <v>45</v>
      </c>
      <c r="L66">
        <v>3</v>
      </c>
      <c r="N66">
        <v>1</v>
      </c>
      <c r="O66" t="s">
        <v>140</v>
      </c>
      <c r="P66" t="s">
        <v>76</v>
      </c>
      <c r="Q66" t="s">
        <v>102</v>
      </c>
      <c r="S66" t="s">
        <v>56</v>
      </c>
      <c r="T66">
        <v>3</v>
      </c>
      <c r="V66">
        <v>2</v>
      </c>
      <c r="W66" t="s">
        <v>68</v>
      </c>
      <c r="AA66" t="s">
        <v>38</v>
      </c>
      <c r="AB66">
        <v>3</v>
      </c>
      <c r="AC66">
        <v>1</v>
      </c>
      <c r="AD66">
        <v>3</v>
      </c>
      <c r="AE66" t="s">
        <v>39</v>
      </c>
      <c r="AF66" t="s">
        <v>40</v>
      </c>
      <c r="AI66">
        <v>0</v>
      </c>
      <c r="AJ66">
        <v>21</v>
      </c>
    </row>
    <row r="67" spans="1:36" x14ac:dyDescent="0.25">
      <c r="A67" t="s">
        <v>894</v>
      </c>
      <c r="B67">
        <v>90</v>
      </c>
      <c r="C67" t="s">
        <v>53</v>
      </c>
      <c r="D67">
        <v>3</v>
      </c>
      <c r="E67">
        <v>2</v>
      </c>
      <c r="F67">
        <v>1</v>
      </c>
      <c r="G67" t="s">
        <v>111</v>
      </c>
      <c r="H67" t="s">
        <v>55</v>
      </c>
      <c r="K67" t="s">
        <v>45</v>
      </c>
      <c r="L67">
        <v>3</v>
      </c>
      <c r="N67">
        <v>1</v>
      </c>
      <c r="O67" t="s">
        <v>86</v>
      </c>
      <c r="P67" t="s">
        <v>76</v>
      </c>
      <c r="S67" t="s">
        <v>48</v>
      </c>
      <c r="T67">
        <v>1</v>
      </c>
      <c r="V67">
        <v>1</v>
      </c>
      <c r="W67" t="s">
        <v>126</v>
      </c>
      <c r="X67" t="s">
        <v>50</v>
      </c>
      <c r="Y67" t="s">
        <v>127</v>
      </c>
      <c r="Z67" t="s">
        <v>129</v>
      </c>
      <c r="AA67" t="s">
        <v>33</v>
      </c>
      <c r="AB67">
        <v>1</v>
      </c>
      <c r="AD67">
        <v>3</v>
      </c>
      <c r="AE67" t="s">
        <v>34</v>
      </c>
      <c r="AI67">
        <v>0</v>
      </c>
      <c r="AJ67">
        <v>16</v>
      </c>
    </row>
    <row r="68" spans="1:36" x14ac:dyDescent="0.25">
      <c r="A68" t="s">
        <v>895</v>
      </c>
      <c r="B68">
        <v>91</v>
      </c>
      <c r="C68" t="s">
        <v>53</v>
      </c>
      <c r="D68">
        <v>3</v>
      </c>
      <c r="E68">
        <v>3</v>
      </c>
      <c r="F68">
        <v>3</v>
      </c>
      <c r="G68" t="s">
        <v>112</v>
      </c>
      <c r="H68" t="s">
        <v>55</v>
      </c>
      <c r="I68" t="s">
        <v>97</v>
      </c>
      <c r="J68" t="s">
        <v>115</v>
      </c>
      <c r="K68" t="s">
        <v>45</v>
      </c>
      <c r="L68">
        <v>3</v>
      </c>
      <c r="N68">
        <v>3</v>
      </c>
      <c r="O68" t="s">
        <v>86</v>
      </c>
      <c r="P68" t="s">
        <v>141</v>
      </c>
      <c r="Q68" t="s">
        <v>102</v>
      </c>
      <c r="R68" t="s">
        <v>144</v>
      </c>
      <c r="S68" t="s">
        <v>48</v>
      </c>
      <c r="T68">
        <v>3</v>
      </c>
      <c r="V68">
        <v>3</v>
      </c>
      <c r="W68" t="s">
        <v>126</v>
      </c>
      <c r="X68" t="s">
        <v>84</v>
      </c>
      <c r="Y68" t="s">
        <v>90</v>
      </c>
      <c r="Z68" t="s">
        <v>129</v>
      </c>
      <c r="AA68" t="s">
        <v>43</v>
      </c>
      <c r="AB68">
        <v>1</v>
      </c>
      <c r="AD68">
        <v>1</v>
      </c>
      <c r="AE68" t="s">
        <v>135</v>
      </c>
      <c r="AF68" t="s">
        <v>136</v>
      </c>
      <c r="AG68" t="s">
        <v>100</v>
      </c>
      <c r="AH68" t="s">
        <v>138</v>
      </c>
      <c r="AI68">
        <v>0</v>
      </c>
      <c r="AJ68">
        <v>56</v>
      </c>
    </row>
    <row r="69" spans="1:36" x14ac:dyDescent="0.25">
      <c r="A69" t="s">
        <v>896</v>
      </c>
      <c r="B69">
        <v>92</v>
      </c>
      <c r="C69" t="s">
        <v>48</v>
      </c>
      <c r="D69">
        <v>3</v>
      </c>
      <c r="F69">
        <v>3</v>
      </c>
      <c r="G69" t="s">
        <v>126</v>
      </c>
      <c r="H69" t="s">
        <v>84</v>
      </c>
      <c r="I69" t="s">
        <v>90</v>
      </c>
      <c r="J69" t="s">
        <v>129</v>
      </c>
      <c r="K69" t="s">
        <v>63</v>
      </c>
      <c r="L69">
        <v>3</v>
      </c>
      <c r="N69">
        <v>3</v>
      </c>
      <c r="O69" t="s">
        <v>103</v>
      </c>
      <c r="P69" t="s">
        <v>91</v>
      </c>
      <c r="Q69" t="s">
        <v>148</v>
      </c>
      <c r="R69" t="s">
        <v>151</v>
      </c>
      <c r="S69" t="s">
        <v>53</v>
      </c>
      <c r="T69">
        <v>3</v>
      </c>
      <c r="U69">
        <v>3</v>
      </c>
      <c r="V69">
        <v>3</v>
      </c>
      <c r="W69" t="s">
        <v>112</v>
      </c>
      <c r="X69" t="s">
        <v>83</v>
      </c>
      <c r="Y69" t="s">
        <v>114</v>
      </c>
      <c r="Z69" t="s">
        <v>116</v>
      </c>
      <c r="AA69" t="s">
        <v>45</v>
      </c>
      <c r="AB69">
        <v>3</v>
      </c>
      <c r="AD69">
        <v>3</v>
      </c>
      <c r="AE69" t="s">
        <v>47</v>
      </c>
      <c r="AF69" t="s">
        <v>76</v>
      </c>
      <c r="AG69" t="s">
        <v>93</v>
      </c>
      <c r="AH69" t="s">
        <v>144</v>
      </c>
      <c r="AI69">
        <v>0</v>
      </c>
      <c r="AJ69">
        <v>64</v>
      </c>
    </row>
    <row r="70" spans="1:36" x14ac:dyDescent="0.25">
      <c r="A70" t="s">
        <v>897</v>
      </c>
      <c r="B70">
        <v>93</v>
      </c>
      <c r="C70" t="s">
        <v>53</v>
      </c>
      <c r="D70">
        <v>3</v>
      </c>
      <c r="E70">
        <v>1</v>
      </c>
      <c r="F70">
        <v>1</v>
      </c>
      <c r="G70" t="s">
        <v>111</v>
      </c>
      <c r="H70" t="s">
        <v>83</v>
      </c>
      <c r="I70" t="s">
        <v>105</v>
      </c>
      <c r="J70" t="s">
        <v>116</v>
      </c>
      <c r="K70" t="s">
        <v>45</v>
      </c>
      <c r="L70">
        <v>3</v>
      </c>
      <c r="N70">
        <v>2</v>
      </c>
      <c r="O70" t="s">
        <v>86</v>
      </c>
      <c r="P70" t="s">
        <v>141</v>
      </c>
      <c r="Q70" t="s">
        <v>102</v>
      </c>
      <c r="R70" t="s">
        <v>144</v>
      </c>
      <c r="S70" t="s">
        <v>48</v>
      </c>
      <c r="T70">
        <v>1</v>
      </c>
      <c r="V70">
        <v>1</v>
      </c>
      <c r="W70" t="s">
        <v>126</v>
      </c>
      <c r="X70" t="s">
        <v>84</v>
      </c>
      <c r="Y70" t="s">
        <v>90</v>
      </c>
      <c r="Z70" t="s">
        <v>129</v>
      </c>
      <c r="AA70" t="s">
        <v>38</v>
      </c>
      <c r="AB70">
        <v>2</v>
      </c>
      <c r="AC70">
        <v>2</v>
      </c>
      <c r="AD70">
        <v>2</v>
      </c>
      <c r="AE70" t="s">
        <v>39</v>
      </c>
      <c r="AF70" t="s">
        <v>96</v>
      </c>
      <c r="AG70" t="s">
        <v>153</v>
      </c>
      <c r="AH70" t="s">
        <v>42</v>
      </c>
      <c r="AI70">
        <v>0</v>
      </c>
      <c r="AJ70">
        <v>24</v>
      </c>
    </row>
    <row r="71" spans="1:36" x14ac:dyDescent="0.25">
      <c r="A71" t="s">
        <v>898</v>
      </c>
      <c r="B71">
        <v>95</v>
      </c>
      <c r="C71" t="s">
        <v>53</v>
      </c>
      <c r="D71">
        <v>1</v>
      </c>
      <c r="E71">
        <v>1</v>
      </c>
      <c r="F71">
        <v>1</v>
      </c>
      <c r="G71" t="s">
        <v>111</v>
      </c>
      <c r="H71" t="s">
        <v>113</v>
      </c>
      <c r="I71" t="s">
        <v>114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3</v>
      </c>
      <c r="V71">
        <v>2</v>
      </c>
      <c r="W71" t="s">
        <v>34</v>
      </c>
      <c r="AA71" t="s">
        <v>43</v>
      </c>
      <c r="AB71">
        <v>2</v>
      </c>
      <c r="AD71">
        <v>1</v>
      </c>
      <c r="AE71" t="s">
        <v>135</v>
      </c>
      <c r="AI71">
        <v>0</v>
      </c>
      <c r="AJ71">
        <v>13</v>
      </c>
    </row>
    <row r="72" spans="1:36" x14ac:dyDescent="0.25">
      <c r="A72" t="s">
        <v>899</v>
      </c>
      <c r="B72">
        <v>96</v>
      </c>
      <c r="C72" t="s">
        <v>53</v>
      </c>
      <c r="D72">
        <v>2</v>
      </c>
      <c r="E72">
        <v>3</v>
      </c>
      <c r="F72">
        <v>1</v>
      </c>
      <c r="G72" t="s">
        <v>54</v>
      </c>
      <c r="K72" t="s">
        <v>45</v>
      </c>
      <c r="L72">
        <v>3</v>
      </c>
      <c r="N72">
        <v>1</v>
      </c>
      <c r="O72" t="s">
        <v>140</v>
      </c>
      <c r="P72" t="s">
        <v>76</v>
      </c>
      <c r="S72" t="s">
        <v>33</v>
      </c>
      <c r="T72">
        <v>1</v>
      </c>
      <c r="V72">
        <v>2</v>
      </c>
      <c r="W72" t="s">
        <v>34</v>
      </c>
      <c r="AA72" t="s">
        <v>63</v>
      </c>
      <c r="AB72">
        <v>2</v>
      </c>
      <c r="AD72">
        <v>1</v>
      </c>
      <c r="AE72" t="s">
        <v>103</v>
      </c>
      <c r="AF72" t="s">
        <v>91</v>
      </c>
      <c r="AI72">
        <v>0</v>
      </c>
      <c r="AJ72">
        <v>13</v>
      </c>
    </row>
    <row r="73" spans="1:36" x14ac:dyDescent="0.25">
      <c r="A73" t="s">
        <v>900</v>
      </c>
      <c r="B73">
        <v>97</v>
      </c>
      <c r="C73" t="s">
        <v>53</v>
      </c>
      <c r="D73">
        <v>1</v>
      </c>
      <c r="E73">
        <v>1</v>
      </c>
      <c r="F73">
        <v>1</v>
      </c>
      <c r="G73" t="s">
        <v>111</v>
      </c>
      <c r="H73" t="s">
        <v>113</v>
      </c>
      <c r="I73" t="s">
        <v>97</v>
      </c>
      <c r="J73" t="s">
        <v>116</v>
      </c>
      <c r="K73" t="s">
        <v>45</v>
      </c>
      <c r="L73">
        <v>3</v>
      </c>
      <c r="N73">
        <v>1</v>
      </c>
      <c r="O73" t="s">
        <v>140</v>
      </c>
      <c r="P73" t="s">
        <v>76</v>
      </c>
      <c r="S73" t="s">
        <v>33</v>
      </c>
      <c r="T73">
        <v>2</v>
      </c>
      <c r="V73">
        <v>2</v>
      </c>
      <c r="W73" t="s">
        <v>34</v>
      </c>
      <c r="AA73" t="s">
        <v>38</v>
      </c>
      <c r="AB73">
        <v>3</v>
      </c>
      <c r="AC73">
        <v>1</v>
      </c>
      <c r="AD73">
        <v>2</v>
      </c>
      <c r="AE73" t="s">
        <v>39</v>
      </c>
      <c r="AI73">
        <v>0</v>
      </c>
      <c r="AJ73">
        <v>15</v>
      </c>
    </row>
    <row r="74" spans="1:36" x14ac:dyDescent="0.25">
      <c r="A74" t="s">
        <v>901</v>
      </c>
      <c r="B74">
        <v>99</v>
      </c>
      <c r="C74" t="s">
        <v>43</v>
      </c>
      <c r="D74">
        <v>3</v>
      </c>
      <c r="F74">
        <v>3</v>
      </c>
      <c r="G74" t="s">
        <v>135</v>
      </c>
      <c r="H74" t="s">
        <v>74</v>
      </c>
      <c r="I74" t="s">
        <v>100</v>
      </c>
      <c r="J74" t="s">
        <v>138</v>
      </c>
      <c r="K74" t="s">
        <v>63</v>
      </c>
      <c r="L74">
        <v>1</v>
      </c>
      <c r="N74">
        <v>1</v>
      </c>
      <c r="O74" t="s">
        <v>145</v>
      </c>
      <c r="P74" t="s">
        <v>91</v>
      </c>
      <c r="Q74" t="s">
        <v>148</v>
      </c>
      <c r="R74" t="s">
        <v>151</v>
      </c>
      <c r="S74" t="s">
        <v>53</v>
      </c>
      <c r="T74">
        <v>3</v>
      </c>
      <c r="U74">
        <v>3</v>
      </c>
      <c r="V74">
        <v>3</v>
      </c>
      <c r="W74" t="s">
        <v>112</v>
      </c>
      <c r="X74" t="s">
        <v>83</v>
      </c>
      <c r="Y74" t="s">
        <v>97</v>
      </c>
      <c r="Z74" t="s">
        <v>115</v>
      </c>
      <c r="AA74" t="s">
        <v>45</v>
      </c>
      <c r="AB74">
        <v>3</v>
      </c>
      <c r="AD74">
        <v>1</v>
      </c>
      <c r="AE74" t="s">
        <v>140</v>
      </c>
      <c r="AF74" t="s">
        <v>141</v>
      </c>
      <c r="AG74" t="s">
        <v>102</v>
      </c>
      <c r="AI74">
        <v>0</v>
      </c>
      <c r="AJ74">
        <v>30</v>
      </c>
    </row>
    <row r="75" spans="1:36" x14ac:dyDescent="0.25">
      <c r="A75" t="s">
        <v>902</v>
      </c>
      <c r="B75">
        <v>100</v>
      </c>
      <c r="C75" t="s">
        <v>43</v>
      </c>
      <c r="D75">
        <v>3</v>
      </c>
      <c r="F75">
        <v>3</v>
      </c>
      <c r="G75" t="s">
        <v>73</v>
      </c>
      <c r="H75" t="s">
        <v>136</v>
      </c>
      <c r="I75" t="s">
        <v>75</v>
      </c>
      <c r="J75" t="s">
        <v>138</v>
      </c>
      <c r="K75" t="s">
        <v>38</v>
      </c>
      <c r="L75">
        <v>3</v>
      </c>
      <c r="M75">
        <v>3</v>
      </c>
      <c r="N75">
        <v>3</v>
      </c>
      <c r="O75" t="s">
        <v>39</v>
      </c>
      <c r="P75" t="s">
        <v>96</v>
      </c>
      <c r="Q75" t="s">
        <v>153</v>
      </c>
      <c r="R75" t="s">
        <v>42</v>
      </c>
      <c r="S75" t="s">
        <v>53</v>
      </c>
      <c r="T75">
        <v>3</v>
      </c>
      <c r="U75">
        <v>3</v>
      </c>
      <c r="V75">
        <v>3</v>
      </c>
      <c r="W75" t="s">
        <v>112</v>
      </c>
      <c r="X75" t="s">
        <v>55</v>
      </c>
      <c r="Y75" t="s">
        <v>97</v>
      </c>
      <c r="Z75" t="s">
        <v>115</v>
      </c>
      <c r="AA75" t="s">
        <v>45</v>
      </c>
      <c r="AB75">
        <v>2</v>
      </c>
      <c r="AD75">
        <v>1</v>
      </c>
      <c r="AE75" t="s">
        <v>140</v>
      </c>
      <c r="AF75" t="s">
        <v>76</v>
      </c>
      <c r="AI75">
        <v>0</v>
      </c>
      <c r="AJ75">
        <v>52</v>
      </c>
    </row>
    <row r="76" spans="1:36" x14ac:dyDescent="0.25">
      <c r="A76" t="s">
        <v>903</v>
      </c>
      <c r="B76">
        <v>102</v>
      </c>
      <c r="C76" t="s">
        <v>53</v>
      </c>
      <c r="D76">
        <v>3</v>
      </c>
      <c r="E76">
        <v>3</v>
      </c>
      <c r="F76">
        <v>3</v>
      </c>
      <c r="G76" t="s">
        <v>112</v>
      </c>
      <c r="H76" t="s">
        <v>83</v>
      </c>
      <c r="I76" t="s">
        <v>97</v>
      </c>
      <c r="J76" t="s">
        <v>115</v>
      </c>
      <c r="K76" t="s">
        <v>45</v>
      </c>
      <c r="L76">
        <v>3</v>
      </c>
      <c r="N76">
        <v>3</v>
      </c>
      <c r="O76" t="s">
        <v>86</v>
      </c>
      <c r="P76" t="s">
        <v>76</v>
      </c>
      <c r="Q76" t="s">
        <v>102</v>
      </c>
      <c r="R76" t="s">
        <v>144</v>
      </c>
      <c r="S76" t="s">
        <v>63</v>
      </c>
      <c r="T76">
        <v>3</v>
      </c>
      <c r="V76">
        <v>2</v>
      </c>
      <c r="W76" t="s">
        <v>103</v>
      </c>
      <c r="X76" t="s">
        <v>91</v>
      </c>
      <c r="Y76" t="s">
        <v>148</v>
      </c>
      <c r="Z76" t="s">
        <v>151</v>
      </c>
      <c r="AA76" t="s">
        <v>38</v>
      </c>
      <c r="AB76">
        <v>3</v>
      </c>
      <c r="AC76">
        <v>3</v>
      </c>
      <c r="AD76">
        <v>3</v>
      </c>
      <c r="AE76" t="s">
        <v>39</v>
      </c>
      <c r="AF76" t="s">
        <v>96</v>
      </c>
      <c r="AG76" t="s">
        <v>153</v>
      </c>
      <c r="AH76" t="s">
        <v>156</v>
      </c>
      <c r="AI76">
        <v>0</v>
      </c>
      <c r="AJ76">
        <v>40</v>
      </c>
    </row>
    <row r="77" spans="1:36" x14ac:dyDescent="0.25">
      <c r="A77" t="s">
        <v>904</v>
      </c>
      <c r="B77">
        <v>105</v>
      </c>
      <c r="C77" t="s">
        <v>53</v>
      </c>
      <c r="D77">
        <v>3</v>
      </c>
      <c r="E77">
        <v>3</v>
      </c>
      <c r="F77">
        <v>3</v>
      </c>
      <c r="G77" t="s">
        <v>112</v>
      </c>
      <c r="H77" t="s">
        <v>83</v>
      </c>
      <c r="I77" t="s">
        <v>97</v>
      </c>
      <c r="J77" t="s">
        <v>98</v>
      </c>
      <c r="K77" t="s">
        <v>63</v>
      </c>
      <c r="L77">
        <v>1</v>
      </c>
      <c r="N77">
        <v>1</v>
      </c>
      <c r="O77" t="s">
        <v>103</v>
      </c>
      <c r="P77" t="s">
        <v>91</v>
      </c>
      <c r="Q77" t="s">
        <v>148</v>
      </c>
      <c r="R77" t="s">
        <v>149</v>
      </c>
      <c r="S77" t="s">
        <v>56</v>
      </c>
      <c r="T77">
        <v>3</v>
      </c>
      <c r="V77">
        <v>1</v>
      </c>
      <c r="W77" t="s">
        <v>120</v>
      </c>
      <c r="X77" t="s">
        <v>122</v>
      </c>
      <c r="AA77" t="s">
        <v>48</v>
      </c>
      <c r="AB77">
        <v>3</v>
      </c>
      <c r="AD77">
        <v>3</v>
      </c>
      <c r="AE77" t="s">
        <v>126</v>
      </c>
      <c r="AF77" t="s">
        <v>84</v>
      </c>
      <c r="AG77" t="s">
        <v>127</v>
      </c>
      <c r="AH77" t="s">
        <v>129</v>
      </c>
      <c r="AI77">
        <v>0</v>
      </c>
      <c r="AJ77">
        <v>39</v>
      </c>
    </row>
    <row r="78" spans="1:36" x14ac:dyDescent="0.25">
      <c r="A78" t="s">
        <v>905</v>
      </c>
      <c r="B78">
        <v>106</v>
      </c>
      <c r="C78" t="s">
        <v>56</v>
      </c>
      <c r="D78">
        <v>3</v>
      </c>
      <c r="F78">
        <v>2</v>
      </c>
      <c r="G78" t="s">
        <v>57</v>
      </c>
      <c r="H78" t="s">
        <v>121</v>
      </c>
      <c r="I78" t="s">
        <v>123</v>
      </c>
      <c r="J78" t="s">
        <v>124</v>
      </c>
      <c r="K78" t="s">
        <v>33</v>
      </c>
      <c r="L78">
        <v>1</v>
      </c>
      <c r="N78">
        <v>3</v>
      </c>
      <c r="O78" t="s">
        <v>34</v>
      </c>
      <c r="S78" t="s">
        <v>53</v>
      </c>
      <c r="T78">
        <v>3</v>
      </c>
      <c r="U78">
        <v>1</v>
      </c>
      <c r="V78">
        <v>1</v>
      </c>
      <c r="W78" t="s">
        <v>111</v>
      </c>
      <c r="AA78" t="s">
        <v>63</v>
      </c>
      <c r="AB78">
        <v>2</v>
      </c>
      <c r="AD78">
        <v>3</v>
      </c>
      <c r="AE78" t="s">
        <v>145</v>
      </c>
      <c r="AF78" t="s">
        <v>146</v>
      </c>
      <c r="AG78" t="s">
        <v>147</v>
      </c>
      <c r="AH78" t="s">
        <v>150</v>
      </c>
      <c r="AI78">
        <v>0</v>
      </c>
      <c r="AJ78">
        <v>21</v>
      </c>
    </row>
    <row r="79" spans="1:36" x14ac:dyDescent="0.25">
      <c r="A79" t="s">
        <v>906</v>
      </c>
      <c r="B79">
        <v>107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J79" t="s">
        <v>125</v>
      </c>
      <c r="K79" t="s">
        <v>43</v>
      </c>
      <c r="L79">
        <v>3</v>
      </c>
      <c r="N79">
        <v>3</v>
      </c>
      <c r="O79" t="s">
        <v>135</v>
      </c>
      <c r="P79" t="s">
        <v>136</v>
      </c>
      <c r="Q79" t="s">
        <v>137</v>
      </c>
      <c r="S79" t="s">
        <v>53</v>
      </c>
      <c r="T79">
        <v>1</v>
      </c>
      <c r="U79">
        <v>3</v>
      </c>
      <c r="V79">
        <v>3</v>
      </c>
      <c r="W79" t="s">
        <v>112</v>
      </c>
      <c r="X79" t="s">
        <v>83</v>
      </c>
      <c r="AA79" t="s">
        <v>63</v>
      </c>
      <c r="AB79">
        <v>1</v>
      </c>
      <c r="AD79">
        <v>2</v>
      </c>
      <c r="AE79" t="s">
        <v>145</v>
      </c>
      <c r="AF79" t="s">
        <v>146</v>
      </c>
      <c r="AG79" t="s">
        <v>104</v>
      </c>
      <c r="AI79">
        <v>0</v>
      </c>
      <c r="AJ79">
        <v>25</v>
      </c>
    </row>
    <row r="80" spans="1:36" x14ac:dyDescent="0.25">
      <c r="A80" t="s">
        <v>907</v>
      </c>
      <c r="B80">
        <v>108</v>
      </c>
      <c r="C80" t="s">
        <v>53</v>
      </c>
      <c r="D80">
        <v>3</v>
      </c>
      <c r="E80">
        <v>3</v>
      </c>
      <c r="F80">
        <v>3</v>
      </c>
      <c r="G80" t="s">
        <v>112</v>
      </c>
      <c r="H80" t="s">
        <v>83</v>
      </c>
      <c r="I80" t="s">
        <v>97</v>
      </c>
      <c r="J80" t="s">
        <v>116</v>
      </c>
      <c r="K80" t="s">
        <v>63</v>
      </c>
      <c r="L80">
        <v>3</v>
      </c>
      <c r="N80">
        <v>3</v>
      </c>
      <c r="O80" t="s">
        <v>145</v>
      </c>
      <c r="P80" t="s">
        <v>146</v>
      </c>
      <c r="Q80" t="s">
        <v>104</v>
      </c>
      <c r="R80" t="s">
        <v>150</v>
      </c>
      <c r="S80" t="s">
        <v>56</v>
      </c>
      <c r="T80">
        <v>3</v>
      </c>
      <c r="V80">
        <v>3</v>
      </c>
      <c r="W80" t="s">
        <v>57</v>
      </c>
      <c r="X80" t="s">
        <v>122</v>
      </c>
      <c r="Y80" t="s">
        <v>123</v>
      </c>
      <c r="Z80" t="s">
        <v>124</v>
      </c>
      <c r="AA80" t="s">
        <v>45</v>
      </c>
      <c r="AB80">
        <v>3</v>
      </c>
      <c r="AD80">
        <v>1</v>
      </c>
      <c r="AE80" t="s">
        <v>86</v>
      </c>
      <c r="AF80" t="s">
        <v>76</v>
      </c>
      <c r="AI80">
        <v>0</v>
      </c>
      <c r="AJ80">
        <v>42</v>
      </c>
    </row>
    <row r="81" spans="1:36" x14ac:dyDescent="0.25">
      <c r="A81" t="s">
        <v>908</v>
      </c>
      <c r="B81">
        <v>109</v>
      </c>
      <c r="C81" t="s">
        <v>53</v>
      </c>
      <c r="D81">
        <v>3</v>
      </c>
      <c r="E81">
        <v>3</v>
      </c>
      <c r="F81">
        <v>3</v>
      </c>
      <c r="G81" t="s">
        <v>112</v>
      </c>
      <c r="H81" t="s">
        <v>83</v>
      </c>
      <c r="I81" t="s">
        <v>97</v>
      </c>
      <c r="J81" t="s">
        <v>116</v>
      </c>
      <c r="K81" t="s">
        <v>63</v>
      </c>
      <c r="L81">
        <v>3</v>
      </c>
      <c r="N81">
        <v>3</v>
      </c>
      <c r="O81" t="s">
        <v>103</v>
      </c>
      <c r="P81" t="s">
        <v>91</v>
      </c>
      <c r="Q81" t="s">
        <v>147</v>
      </c>
      <c r="R81" t="s">
        <v>151</v>
      </c>
      <c r="S81" t="s">
        <v>56</v>
      </c>
      <c r="T81">
        <v>3</v>
      </c>
      <c r="V81">
        <v>1</v>
      </c>
      <c r="W81" t="s">
        <v>57</v>
      </c>
      <c r="X81" t="s">
        <v>122</v>
      </c>
      <c r="AA81" t="s">
        <v>38</v>
      </c>
      <c r="AB81">
        <v>3</v>
      </c>
      <c r="AC81">
        <v>3</v>
      </c>
      <c r="AD81">
        <v>3</v>
      </c>
      <c r="AE81" t="s">
        <v>39</v>
      </c>
      <c r="AF81" t="s">
        <v>40</v>
      </c>
      <c r="AG81" t="s">
        <v>153</v>
      </c>
      <c r="AH81" t="s">
        <v>42</v>
      </c>
      <c r="AI81">
        <v>0</v>
      </c>
      <c r="AJ81">
        <v>36</v>
      </c>
    </row>
    <row r="82" spans="1:36" x14ac:dyDescent="0.25">
      <c r="A82" t="s">
        <v>909</v>
      </c>
      <c r="B82">
        <v>111</v>
      </c>
      <c r="C82" t="s">
        <v>53</v>
      </c>
      <c r="D82">
        <v>3</v>
      </c>
      <c r="E82">
        <v>1</v>
      </c>
      <c r="F82">
        <v>2</v>
      </c>
      <c r="G82" t="s">
        <v>111</v>
      </c>
      <c r="K82" t="s">
        <v>63</v>
      </c>
      <c r="L82">
        <v>3</v>
      </c>
      <c r="N82">
        <v>1</v>
      </c>
      <c r="O82" t="s">
        <v>72</v>
      </c>
      <c r="P82" t="s">
        <v>146</v>
      </c>
      <c r="S82" t="s">
        <v>48</v>
      </c>
      <c r="T82">
        <v>2</v>
      </c>
      <c r="V82">
        <v>1</v>
      </c>
      <c r="W82" t="s">
        <v>49</v>
      </c>
      <c r="X82" t="s">
        <v>84</v>
      </c>
      <c r="Y82" t="s">
        <v>127</v>
      </c>
      <c r="AA82" t="s">
        <v>33</v>
      </c>
      <c r="AB82">
        <v>1</v>
      </c>
      <c r="AD82">
        <v>3</v>
      </c>
      <c r="AE82" t="s">
        <v>34</v>
      </c>
      <c r="AI82">
        <v>0</v>
      </c>
      <c r="AJ82">
        <v>15</v>
      </c>
    </row>
    <row r="83" spans="1:36" x14ac:dyDescent="0.25">
      <c r="A83" t="s">
        <v>910</v>
      </c>
      <c r="B83">
        <v>112</v>
      </c>
      <c r="C83" t="s">
        <v>53</v>
      </c>
      <c r="D83">
        <v>3</v>
      </c>
      <c r="E83">
        <v>3</v>
      </c>
      <c r="F83">
        <v>3</v>
      </c>
      <c r="G83" t="s">
        <v>112</v>
      </c>
      <c r="H83" t="s">
        <v>113</v>
      </c>
      <c r="I83" t="s">
        <v>97</v>
      </c>
      <c r="J83" t="s">
        <v>116</v>
      </c>
      <c r="K83" t="s">
        <v>63</v>
      </c>
      <c r="L83">
        <v>3</v>
      </c>
      <c r="N83">
        <v>3</v>
      </c>
      <c r="O83" t="s">
        <v>145</v>
      </c>
      <c r="P83" t="s">
        <v>91</v>
      </c>
      <c r="Q83" t="s">
        <v>148</v>
      </c>
      <c r="R83" t="s">
        <v>150</v>
      </c>
      <c r="S83" t="s">
        <v>48</v>
      </c>
      <c r="T83">
        <v>3</v>
      </c>
      <c r="V83">
        <v>3</v>
      </c>
      <c r="W83" t="s">
        <v>49</v>
      </c>
      <c r="X83" t="s">
        <v>50</v>
      </c>
      <c r="Y83" t="s">
        <v>127</v>
      </c>
      <c r="Z83" t="s">
        <v>129</v>
      </c>
      <c r="AA83" t="s">
        <v>43</v>
      </c>
      <c r="AB83">
        <v>3</v>
      </c>
      <c r="AD83">
        <v>3</v>
      </c>
      <c r="AE83" t="s">
        <v>73</v>
      </c>
      <c r="AF83" t="s">
        <v>99</v>
      </c>
      <c r="AG83" t="s">
        <v>75</v>
      </c>
      <c r="AH83" t="s">
        <v>139</v>
      </c>
      <c r="AI83">
        <v>0</v>
      </c>
      <c r="AJ83">
        <v>48</v>
      </c>
    </row>
    <row r="84" spans="1:36" x14ac:dyDescent="0.25">
      <c r="A84" t="s">
        <v>911</v>
      </c>
      <c r="B84">
        <v>113</v>
      </c>
      <c r="C84" t="s">
        <v>53</v>
      </c>
      <c r="D84">
        <v>3</v>
      </c>
      <c r="E84">
        <v>3</v>
      </c>
      <c r="F84">
        <v>3</v>
      </c>
      <c r="G84" t="s">
        <v>112</v>
      </c>
      <c r="H84" t="s">
        <v>113</v>
      </c>
      <c r="I84" t="s">
        <v>97</v>
      </c>
      <c r="J84" t="s">
        <v>116</v>
      </c>
      <c r="K84" t="s">
        <v>63</v>
      </c>
      <c r="L84">
        <v>3</v>
      </c>
      <c r="N84">
        <v>3</v>
      </c>
      <c r="O84" t="s">
        <v>145</v>
      </c>
      <c r="P84" t="s">
        <v>91</v>
      </c>
      <c r="Q84" t="s">
        <v>148</v>
      </c>
      <c r="R84" t="s">
        <v>151</v>
      </c>
      <c r="S84" t="s">
        <v>48</v>
      </c>
      <c r="T84">
        <v>3</v>
      </c>
      <c r="V84">
        <v>3</v>
      </c>
      <c r="W84" t="s">
        <v>126</v>
      </c>
      <c r="X84" t="s">
        <v>84</v>
      </c>
      <c r="Y84" t="s">
        <v>127</v>
      </c>
      <c r="Z84" t="s">
        <v>129</v>
      </c>
      <c r="AA84" t="s">
        <v>45</v>
      </c>
      <c r="AB84">
        <v>3</v>
      </c>
      <c r="AD84">
        <v>3</v>
      </c>
      <c r="AE84" t="s">
        <v>86</v>
      </c>
      <c r="AF84" t="s">
        <v>76</v>
      </c>
      <c r="AG84" t="s">
        <v>102</v>
      </c>
      <c r="AH84" t="s">
        <v>94</v>
      </c>
      <c r="AI84">
        <v>0</v>
      </c>
      <c r="AJ84">
        <v>50</v>
      </c>
    </row>
    <row r="85" spans="1:36" x14ac:dyDescent="0.25">
      <c r="A85" t="s">
        <v>912</v>
      </c>
      <c r="B85">
        <v>114</v>
      </c>
      <c r="C85" t="s">
        <v>53</v>
      </c>
      <c r="D85">
        <v>3</v>
      </c>
      <c r="E85">
        <v>3</v>
      </c>
      <c r="F85">
        <v>3</v>
      </c>
      <c r="G85" t="s">
        <v>112</v>
      </c>
      <c r="H85" t="s">
        <v>113</v>
      </c>
      <c r="I85" t="s">
        <v>105</v>
      </c>
      <c r="J85" t="s">
        <v>116</v>
      </c>
      <c r="K85" t="s">
        <v>63</v>
      </c>
      <c r="L85">
        <v>3</v>
      </c>
      <c r="N85">
        <v>3</v>
      </c>
      <c r="O85" t="s">
        <v>145</v>
      </c>
      <c r="P85" t="s">
        <v>91</v>
      </c>
      <c r="Q85" t="s">
        <v>147</v>
      </c>
      <c r="R85" t="s">
        <v>150</v>
      </c>
      <c r="S85" t="s">
        <v>48</v>
      </c>
      <c r="T85">
        <v>3</v>
      </c>
      <c r="V85">
        <v>3</v>
      </c>
      <c r="W85" t="s">
        <v>49</v>
      </c>
      <c r="X85" t="s">
        <v>84</v>
      </c>
      <c r="Y85" t="s">
        <v>127</v>
      </c>
      <c r="Z85" t="s">
        <v>129</v>
      </c>
      <c r="AA85" t="s">
        <v>38</v>
      </c>
      <c r="AB85">
        <v>2</v>
      </c>
      <c r="AC85">
        <v>1</v>
      </c>
      <c r="AD85">
        <v>3</v>
      </c>
      <c r="AE85" t="s">
        <v>152</v>
      </c>
      <c r="AF85" t="s">
        <v>40</v>
      </c>
      <c r="AG85" t="s">
        <v>41</v>
      </c>
      <c r="AH85" t="s">
        <v>155</v>
      </c>
      <c r="AI85">
        <v>0</v>
      </c>
      <c r="AJ85">
        <v>43</v>
      </c>
    </row>
    <row r="86" spans="1:36" x14ac:dyDescent="0.25">
      <c r="A86" t="s">
        <v>913</v>
      </c>
      <c r="B86">
        <v>116</v>
      </c>
      <c r="C86" t="s">
        <v>53</v>
      </c>
      <c r="D86">
        <v>3</v>
      </c>
      <c r="E86">
        <v>3</v>
      </c>
      <c r="F86">
        <v>3</v>
      </c>
      <c r="G86" t="s">
        <v>112</v>
      </c>
      <c r="H86" t="s">
        <v>55</v>
      </c>
      <c r="I86" t="s">
        <v>114</v>
      </c>
      <c r="J86" t="s">
        <v>98</v>
      </c>
      <c r="K86" t="s">
        <v>63</v>
      </c>
      <c r="L86">
        <v>3</v>
      </c>
      <c r="N86">
        <v>3</v>
      </c>
      <c r="O86" t="s">
        <v>145</v>
      </c>
      <c r="P86" t="s">
        <v>146</v>
      </c>
      <c r="Q86" t="s">
        <v>104</v>
      </c>
      <c r="R86" t="s">
        <v>149</v>
      </c>
      <c r="S86" t="s">
        <v>33</v>
      </c>
      <c r="T86">
        <v>2</v>
      </c>
      <c r="V86">
        <v>1</v>
      </c>
      <c r="W86" t="s">
        <v>34</v>
      </c>
      <c r="AA86" t="s">
        <v>43</v>
      </c>
      <c r="AB86">
        <v>3</v>
      </c>
      <c r="AD86">
        <v>3</v>
      </c>
      <c r="AE86" t="s">
        <v>135</v>
      </c>
      <c r="AF86" t="s">
        <v>136</v>
      </c>
      <c r="AG86" t="s">
        <v>137</v>
      </c>
      <c r="AH86" t="s">
        <v>138</v>
      </c>
      <c r="AI86">
        <v>0</v>
      </c>
      <c r="AJ86">
        <v>37</v>
      </c>
    </row>
    <row r="87" spans="1:36" x14ac:dyDescent="0.25">
      <c r="A87" t="s">
        <v>914</v>
      </c>
      <c r="B87">
        <v>117</v>
      </c>
      <c r="C87" t="s">
        <v>33</v>
      </c>
      <c r="D87">
        <v>3</v>
      </c>
      <c r="F87">
        <v>1</v>
      </c>
      <c r="G87" t="s">
        <v>34</v>
      </c>
      <c r="H87" t="s">
        <v>130</v>
      </c>
      <c r="I87" t="s">
        <v>132</v>
      </c>
      <c r="J87" t="s">
        <v>37</v>
      </c>
      <c r="K87" t="s">
        <v>45</v>
      </c>
      <c r="L87">
        <v>3</v>
      </c>
      <c r="N87">
        <v>1</v>
      </c>
      <c r="O87" t="s">
        <v>86</v>
      </c>
      <c r="P87" t="s">
        <v>141</v>
      </c>
      <c r="S87" t="s">
        <v>53</v>
      </c>
      <c r="T87">
        <v>2</v>
      </c>
      <c r="U87">
        <v>1</v>
      </c>
      <c r="V87">
        <v>3</v>
      </c>
      <c r="W87" t="s">
        <v>112</v>
      </c>
      <c r="X87" t="s">
        <v>113</v>
      </c>
      <c r="AA87" t="s">
        <v>63</v>
      </c>
      <c r="AB87">
        <v>1</v>
      </c>
      <c r="AD87">
        <v>1</v>
      </c>
      <c r="AE87" t="s">
        <v>145</v>
      </c>
      <c r="AF87" t="s">
        <v>146</v>
      </c>
      <c r="AI87">
        <v>0</v>
      </c>
      <c r="AJ87">
        <v>17</v>
      </c>
    </row>
    <row r="88" spans="1:36" x14ac:dyDescent="0.25">
      <c r="A88" t="s">
        <v>915</v>
      </c>
      <c r="B88">
        <v>118</v>
      </c>
      <c r="C88" t="s">
        <v>53</v>
      </c>
      <c r="D88">
        <v>1</v>
      </c>
      <c r="E88">
        <v>1</v>
      </c>
      <c r="F88">
        <v>2</v>
      </c>
      <c r="G88" t="s">
        <v>111</v>
      </c>
      <c r="H88" t="s">
        <v>83</v>
      </c>
      <c r="I88" t="s">
        <v>105</v>
      </c>
      <c r="J88" t="s">
        <v>116</v>
      </c>
      <c r="K88" t="s">
        <v>63</v>
      </c>
      <c r="L88">
        <v>2</v>
      </c>
      <c r="N88">
        <v>1</v>
      </c>
      <c r="O88" t="s">
        <v>145</v>
      </c>
      <c r="P88" t="s">
        <v>146</v>
      </c>
      <c r="Q88" t="s">
        <v>147</v>
      </c>
      <c r="S88" t="s">
        <v>33</v>
      </c>
      <c r="T88">
        <v>3</v>
      </c>
      <c r="V88">
        <v>1</v>
      </c>
      <c r="W88" t="s">
        <v>34</v>
      </c>
      <c r="AA88" t="s">
        <v>38</v>
      </c>
      <c r="AB88">
        <v>2</v>
      </c>
      <c r="AC88">
        <v>1</v>
      </c>
      <c r="AD88">
        <v>1</v>
      </c>
      <c r="AE88" t="s">
        <v>152</v>
      </c>
      <c r="AF88" t="s">
        <v>96</v>
      </c>
      <c r="AG88" t="s">
        <v>41</v>
      </c>
      <c r="AH88" t="s">
        <v>42</v>
      </c>
      <c r="AI88">
        <v>0</v>
      </c>
      <c r="AJ88">
        <v>17</v>
      </c>
    </row>
    <row r="89" spans="1:36" x14ac:dyDescent="0.25">
      <c r="A89" t="s">
        <v>916</v>
      </c>
      <c r="B89">
        <v>120</v>
      </c>
      <c r="C89" t="s">
        <v>53</v>
      </c>
      <c r="D89">
        <v>3</v>
      </c>
      <c r="E89">
        <v>2</v>
      </c>
      <c r="F89">
        <v>3</v>
      </c>
      <c r="G89" t="s">
        <v>112</v>
      </c>
      <c r="H89" t="s">
        <v>113</v>
      </c>
      <c r="I89" t="s">
        <v>97</v>
      </c>
      <c r="J89" t="s">
        <v>98</v>
      </c>
      <c r="K89" t="s">
        <v>63</v>
      </c>
      <c r="L89">
        <v>3</v>
      </c>
      <c r="N89">
        <v>3</v>
      </c>
      <c r="O89" t="s">
        <v>145</v>
      </c>
      <c r="P89" t="s">
        <v>146</v>
      </c>
      <c r="Q89" t="s">
        <v>104</v>
      </c>
      <c r="R89" t="s">
        <v>150</v>
      </c>
      <c r="S89" t="s">
        <v>43</v>
      </c>
      <c r="T89">
        <v>3</v>
      </c>
      <c r="V89">
        <v>3</v>
      </c>
      <c r="W89" t="s">
        <v>73</v>
      </c>
      <c r="X89" t="s">
        <v>99</v>
      </c>
      <c r="Y89" t="s">
        <v>75</v>
      </c>
      <c r="Z89" t="s">
        <v>101</v>
      </c>
      <c r="AA89" t="s">
        <v>45</v>
      </c>
      <c r="AB89">
        <v>3</v>
      </c>
      <c r="AD89">
        <v>3</v>
      </c>
      <c r="AE89" t="s">
        <v>86</v>
      </c>
      <c r="AF89" t="s">
        <v>76</v>
      </c>
      <c r="AG89" t="s">
        <v>102</v>
      </c>
      <c r="AH89" t="s">
        <v>144</v>
      </c>
      <c r="AI89">
        <v>0</v>
      </c>
      <c r="AJ89">
        <v>34</v>
      </c>
    </row>
    <row r="90" spans="1:36" x14ac:dyDescent="0.25">
      <c r="A90" t="s">
        <v>917</v>
      </c>
      <c r="B90">
        <v>121</v>
      </c>
      <c r="C90" t="s">
        <v>53</v>
      </c>
      <c r="D90">
        <v>3</v>
      </c>
      <c r="E90">
        <v>3</v>
      </c>
      <c r="F90">
        <v>3</v>
      </c>
      <c r="G90" t="s">
        <v>112</v>
      </c>
      <c r="H90" t="s">
        <v>113</v>
      </c>
      <c r="I90" t="s">
        <v>97</v>
      </c>
      <c r="J90" t="s">
        <v>116</v>
      </c>
      <c r="K90" t="s">
        <v>63</v>
      </c>
      <c r="L90">
        <v>3</v>
      </c>
      <c r="N90">
        <v>3</v>
      </c>
      <c r="O90" t="s">
        <v>103</v>
      </c>
      <c r="P90" t="s">
        <v>91</v>
      </c>
      <c r="Q90" t="s">
        <v>147</v>
      </c>
      <c r="R90" t="s">
        <v>151</v>
      </c>
      <c r="S90" t="s">
        <v>43</v>
      </c>
      <c r="T90">
        <v>3</v>
      </c>
      <c r="V90">
        <v>3</v>
      </c>
      <c r="W90" t="s">
        <v>73</v>
      </c>
      <c r="X90" t="s">
        <v>99</v>
      </c>
      <c r="Y90" t="s">
        <v>75</v>
      </c>
      <c r="Z90" t="s">
        <v>101</v>
      </c>
      <c r="AA90" t="s">
        <v>38</v>
      </c>
      <c r="AB90">
        <v>3</v>
      </c>
      <c r="AC90">
        <v>3</v>
      </c>
      <c r="AD90">
        <v>3</v>
      </c>
      <c r="AE90" t="s">
        <v>39</v>
      </c>
      <c r="AF90" t="s">
        <v>40</v>
      </c>
      <c r="AG90" t="s">
        <v>41</v>
      </c>
      <c r="AH90" t="s">
        <v>156</v>
      </c>
      <c r="AI90">
        <v>0</v>
      </c>
      <c r="AJ90">
        <v>54</v>
      </c>
    </row>
    <row r="91" spans="1:36" x14ac:dyDescent="0.25">
      <c r="A91" t="s">
        <v>918</v>
      </c>
      <c r="B91">
        <v>123</v>
      </c>
      <c r="C91" t="s">
        <v>53</v>
      </c>
      <c r="D91">
        <v>3</v>
      </c>
      <c r="E91">
        <v>3</v>
      </c>
      <c r="F91">
        <v>3</v>
      </c>
      <c r="G91" t="s">
        <v>112</v>
      </c>
      <c r="H91" t="s">
        <v>83</v>
      </c>
      <c r="I91" t="s">
        <v>97</v>
      </c>
      <c r="J91" t="s">
        <v>115</v>
      </c>
      <c r="K91" t="s">
        <v>63</v>
      </c>
      <c r="L91">
        <v>3</v>
      </c>
      <c r="N91">
        <v>3</v>
      </c>
      <c r="O91" t="s">
        <v>103</v>
      </c>
      <c r="P91" t="s">
        <v>146</v>
      </c>
      <c r="Q91" t="s">
        <v>147</v>
      </c>
      <c r="R91" t="s">
        <v>151</v>
      </c>
      <c r="S91" t="s">
        <v>45</v>
      </c>
      <c r="T91">
        <v>3</v>
      </c>
      <c r="V91">
        <v>3</v>
      </c>
      <c r="W91" t="s">
        <v>86</v>
      </c>
      <c r="X91" t="s">
        <v>141</v>
      </c>
      <c r="Y91" t="s">
        <v>142</v>
      </c>
      <c r="Z91" t="s">
        <v>144</v>
      </c>
      <c r="AA91" t="s">
        <v>38</v>
      </c>
      <c r="AB91">
        <v>2</v>
      </c>
      <c r="AC91">
        <v>2</v>
      </c>
      <c r="AD91">
        <v>3</v>
      </c>
      <c r="AE91" t="s">
        <v>39</v>
      </c>
      <c r="AF91" t="s">
        <v>40</v>
      </c>
      <c r="AG91" t="s">
        <v>153</v>
      </c>
      <c r="AH91" t="s">
        <v>42</v>
      </c>
      <c r="AI91">
        <v>0</v>
      </c>
      <c r="AJ91">
        <v>41</v>
      </c>
    </row>
    <row r="92" spans="1:36" x14ac:dyDescent="0.25">
      <c r="A92" t="s">
        <v>919</v>
      </c>
      <c r="B92">
        <v>126</v>
      </c>
      <c r="C92" t="s">
        <v>56</v>
      </c>
      <c r="D92">
        <v>3</v>
      </c>
      <c r="F92">
        <v>3</v>
      </c>
      <c r="G92" t="s">
        <v>120</v>
      </c>
      <c r="H92" t="s">
        <v>122</v>
      </c>
      <c r="I92" t="s">
        <v>85</v>
      </c>
      <c r="J92" t="s">
        <v>125</v>
      </c>
      <c r="K92" t="s">
        <v>48</v>
      </c>
      <c r="L92">
        <v>3</v>
      </c>
      <c r="N92">
        <v>3</v>
      </c>
      <c r="O92" t="s">
        <v>126</v>
      </c>
      <c r="P92" t="s">
        <v>84</v>
      </c>
      <c r="Q92" t="s">
        <v>127</v>
      </c>
      <c r="R92" t="s">
        <v>129</v>
      </c>
      <c r="S92" t="s">
        <v>53</v>
      </c>
      <c r="T92">
        <v>1</v>
      </c>
      <c r="U92">
        <v>1</v>
      </c>
      <c r="V92">
        <v>3</v>
      </c>
      <c r="W92" t="s">
        <v>112</v>
      </c>
      <c r="X92" t="s">
        <v>113</v>
      </c>
      <c r="Y92" t="s">
        <v>114</v>
      </c>
      <c r="Z92" t="s">
        <v>116</v>
      </c>
      <c r="AA92" t="s">
        <v>38</v>
      </c>
      <c r="AB92">
        <v>3</v>
      </c>
      <c r="AC92">
        <v>3</v>
      </c>
      <c r="AD92">
        <v>3</v>
      </c>
      <c r="AE92" t="s">
        <v>39</v>
      </c>
      <c r="AF92" t="s">
        <v>40</v>
      </c>
      <c r="AG92" t="s">
        <v>154</v>
      </c>
      <c r="AH92" t="s">
        <v>155</v>
      </c>
      <c r="AI92">
        <v>0</v>
      </c>
      <c r="AJ92">
        <v>38</v>
      </c>
    </row>
    <row r="93" spans="1:36" x14ac:dyDescent="0.25">
      <c r="A93" t="s">
        <v>920</v>
      </c>
      <c r="B93">
        <v>127</v>
      </c>
      <c r="C93" t="s">
        <v>53</v>
      </c>
      <c r="D93">
        <v>1</v>
      </c>
      <c r="E93">
        <v>3</v>
      </c>
      <c r="F93">
        <v>3</v>
      </c>
      <c r="G93" t="s">
        <v>112</v>
      </c>
      <c r="H93" t="s">
        <v>83</v>
      </c>
      <c r="I93" t="s">
        <v>97</v>
      </c>
      <c r="J93" t="s">
        <v>115</v>
      </c>
      <c r="K93" t="s">
        <v>38</v>
      </c>
      <c r="L93">
        <v>1</v>
      </c>
      <c r="M93">
        <v>1</v>
      </c>
      <c r="N93">
        <v>2</v>
      </c>
      <c r="O93" t="s">
        <v>67</v>
      </c>
      <c r="P93" t="s">
        <v>96</v>
      </c>
      <c r="Q93" t="s">
        <v>154</v>
      </c>
      <c r="S93" t="s">
        <v>56</v>
      </c>
      <c r="T93">
        <v>3</v>
      </c>
      <c r="V93">
        <v>2</v>
      </c>
      <c r="W93" t="s">
        <v>57</v>
      </c>
      <c r="X93" t="s">
        <v>121</v>
      </c>
      <c r="Y93" t="s">
        <v>123</v>
      </c>
      <c r="Z93" t="s">
        <v>124</v>
      </c>
      <c r="AA93" t="s">
        <v>33</v>
      </c>
      <c r="AB93">
        <v>1</v>
      </c>
      <c r="AD93">
        <v>1</v>
      </c>
      <c r="AE93" t="s">
        <v>46</v>
      </c>
      <c r="AI93">
        <v>0</v>
      </c>
      <c r="AJ93">
        <v>20</v>
      </c>
    </row>
    <row r="94" spans="1:36" x14ac:dyDescent="0.25">
      <c r="A94" t="s">
        <v>921</v>
      </c>
      <c r="B94">
        <v>128</v>
      </c>
      <c r="C94" t="s">
        <v>56</v>
      </c>
      <c r="D94">
        <v>3</v>
      </c>
      <c r="F94">
        <v>1</v>
      </c>
      <c r="G94" t="s">
        <v>57</v>
      </c>
      <c r="H94" t="s">
        <v>122</v>
      </c>
      <c r="I94" t="s">
        <v>123</v>
      </c>
      <c r="J94" t="s">
        <v>125</v>
      </c>
      <c r="K94" t="s">
        <v>43</v>
      </c>
      <c r="L94">
        <v>3</v>
      </c>
      <c r="N94">
        <v>2</v>
      </c>
      <c r="O94" t="s">
        <v>73</v>
      </c>
      <c r="P94" t="s">
        <v>99</v>
      </c>
      <c r="Q94" t="s">
        <v>75</v>
      </c>
      <c r="R94" t="s">
        <v>138</v>
      </c>
      <c r="S94" t="s">
        <v>53</v>
      </c>
      <c r="T94">
        <v>1</v>
      </c>
      <c r="U94">
        <v>3</v>
      </c>
      <c r="V94">
        <v>3</v>
      </c>
      <c r="W94" t="s">
        <v>112</v>
      </c>
      <c r="X94" t="s">
        <v>83</v>
      </c>
      <c r="Y94" t="s">
        <v>97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40</v>
      </c>
      <c r="AI94">
        <v>0</v>
      </c>
      <c r="AJ94">
        <v>24</v>
      </c>
    </row>
    <row r="95" spans="1:36" x14ac:dyDescent="0.25">
      <c r="A95" t="s">
        <v>922</v>
      </c>
      <c r="B95">
        <v>129</v>
      </c>
      <c r="C95" t="s">
        <v>56</v>
      </c>
      <c r="D95">
        <v>3</v>
      </c>
      <c r="F95">
        <v>2</v>
      </c>
      <c r="G95" t="s">
        <v>57</v>
      </c>
      <c r="H95" t="s">
        <v>121</v>
      </c>
      <c r="I95" t="s">
        <v>123</v>
      </c>
      <c r="J95" t="s">
        <v>124</v>
      </c>
      <c r="K95" t="s">
        <v>45</v>
      </c>
      <c r="L95">
        <v>3</v>
      </c>
      <c r="N95">
        <v>3</v>
      </c>
      <c r="O95" t="s">
        <v>86</v>
      </c>
      <c r="P95" t="s">
        <v>141</v>
      </c>
      <c r="Q95" t="s">
        <v>93</v>
      </c>
      <c r="R95" t="s">
        <v>94</v>
      </c>
      <c r="S95" t="s">
        <v>53</v>
      </c>
      <c r="T95">
        <v>2</v>
      </c>
      <c r="U95">
        <v>3</v>
      </c>
      <c r="V95">
        <v>3</v>
      </c>
      <c r="W95" t="s">
        <v>112</v>
      </c>
      <c r="X95" t="s">
        <v>83</v>
      </c>
      <c r="Y95" t="s">
        <v>97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27</v>
      </c>
    </row>
    <row r="96" spans="1:36" x14ac:dyDescent="0.25">
      <c r="A96" t="s">
        <v>923</v>
      </c>
      <c r="B96">
        <v>130</v>
      </c>
      <c r="C96" t="s">
        <v>53</v>
      </c>
      <c r="D96">
        <v>2</v>
      </c>
      <c r="E96">
        <v>2</v>
      </c>
      <c r="F96">
        <v>3</v>
      </c>
      <c r="G96" t="s">
        <v>112</v>
      </c>
      <c r="H96" t="s">
        <v>113</v>
      </c>
      <c r="I96" t="s">
        <v>114</v>
      </c>
      <c r="J96" t="s">
        <v>116</v>
      </c>
      <c r="K96" t="s">
        <v>38</v>
      </c>
      <c r="L96">
        <v>2</v>
      </c>
      <c r="M96">
        <v>2</v>
      </c>
      <c r="N96">
        <v>3</v>
      </c>
      <c r="O96" t="s">
        <v>39</v>
      </c>
      <c r="P96" t="s">
        <v>96</v>
      </c>
      <c r="Q96" t="s">
        <v>154</v>
      </c>
      <c r="R96" t="s">
        <v>42</v>
      </c>
      <c r="S96" t="s">
        <v>56</v>
      </c>
      <c r="T96">
        <v>1</v>
      </c>
      <c r="V96">
        <v>1</v>
      </c>
      <c r="W96" t="s">
        <v>57</v>
      </c>
      <c r="X96" t="s">
        <v>121</v>
      </c>
      <c r="Y96" t="s">
        <v>85</v>
      </c>
      <c r="AA96" t="s">
        <v>63</v>
      </c>
      <c r="AB96">
        <v>3</v>
      </c>
      <c r="AD96">
        <v>3</v>
      </c>
      <c r="AE96" t="s">
        <v>103</v>
      </c>
      <c r="AF96" t="s">
        <v>91</v>
      </c>
      <c r="AG96" t="s">
        <v>147</v>
      </c>
      <c r="AH96" t="s">
        <v>151</v>
      </c>
      <c r="AI96">
        <v>0</v>
      </c>
      <c r="AJ96">
        <v>28</v>
      </c>
    </row>
    <row r="97" spans="1:36" x14ac:dyDescent="0.25">
      <c r="A97" t="s">
        <v>924</v>
      </c>
      <c r="B97">
        <v>132</v>
      </c>
      <c r="C97" t="s">
        <v>53</v>
      </c>
      <c r="D97">
        <v>1</v>
      </c>
      <c r="E97">
        <v>3</v>
      </c>
      <c r="F97">
        <v>2</v>
      </c>
      <c r="G97" t="s">
        <v>112</v>
      </c>
      <c r="H97" t="s">
        <v>113</v>
      </c>
      <c r="K97" t="s">
        <v>38</v>
      </c>
      <c r="L97">
        <v>3</v>
      </c>
      <c r="M97">
        <v>2</v>
      </c>
      <c r="N97">
        <v>2</v>
      </c>
      <c r="O97" t="s">
        <v>67</v>
      </c>
      <c r="P97" t="s">
        <v>96</v>
      </c>
      <c r="Q97" t="s">
        <v>41</v>
      </c>
      <c r="R97" t="s">
        <v>42</v>
      </c>
      <c r="S97" t="s">
        <v>48</v>
      </c>
      <c r="T97">
        <v>2</v>
      </c>
      <c r="V97">
        <v>3</v>
      </c>
      <c r="W97" t="s">
        <v>126</v>
      </c>
      <c r="X97" t="s">
        <v>84</v>
      </c>
      <c r="Y97" t="s">
        <v>127</v>
      </c>
      <c r="Z97" t="s">
        <v>52</v>
      </c>
      <c r="AA97" t="s">
        <v>33</v>
      </c>
      <c r="AB97">
        <v>2</v>
      </c>
      <c r="AD97">
        <v>1</v>
      </c>
      <c r="AE97" t="s">
        <v>65</v>
      </c>
      <c r="AF97" t="s">
        <v>130</v>
      </c>
      <c r="AG97" t="s">
        <v>36</v>
      </c>
      <c r="AH97" t="s">
        <v>37</v>
      </c>
      <c r="AI97">
        <v>0</v>
      </c>
      <c r="AJ97">
        <v>25</v>
      </c>
    </row>
    <row r="98" spans="1:36" x14ac:dyDescent="0.25">
      <c r="A98" t="s">
        <v>925</v>
      </c>
      <c r="B98">
        <v>133</v>
      </c>
      <c r="C98" t="s">
        <v>48</v>
      </c>
      <c r="D98">
        <v>3</v>
      </c>
      <c r="F98">
        <v>2</v>
      </c>
      <c r="G98" t="s">
        <v>49</v>
      </c>
      <c r="H98" t="s">
        <v>84</v>
      </c>
      <c r="I98" t="s">
        <v>127</v>
      </c>
      <c r="J98" t="s">
        <v>129</v>
      </c>
      <c r="K98" t="s">
        <v>43</v>
      </c>
      <c r="L98">
        <v>3</v>
      </c>
      <c r="N98">
        <v>2</v>
      </c>
      <c r="O98" t="s">
        <v>73</v>
      </c>
      <c r="P98" t="s">
        <v>74</v>
      </c>
      <c r="Q98" t="s">
        <v>137</v>
      </c>
      <c r="R98" t="s">
        <v>139</v>
      </c>
      <c r="S98" t="s">
        <v>53</v>
      </c>
      <c r="T98">
        <v>1</v>
      </c>
      <c r="U98">
        <v>2</v>
      </c>
      <c r="V98">
        <v>2</v>
      </c>
      <c r="W98" t="s">
        <v>112</v>
      </c>
      <c r="AA98" t="s">
        <v>38</v>
      </c>
      <c r="AB98">
        <v>2</v>
      </c>
      <c r="AC98">
        <v>1</v>
      </c>
      <c r="AD98">
        <v>3</v>
      </c>
      <c r="AE98" t="s">
        <v>39</v>
      </c>
      <c r="AF98" t="s">
        <v>40</v>
      </c>
      <c r="AG98" t="s">
        <v>153</v>
      </c>
      <c r="AH98" t="s">
        <v>156</v>
      </c>
      <c r="AI98">
        <v>0</v>
      </c>
      <c r="AJ98">
        <v>26</v>
      </c>
    </row>
    <row r="99" spans="1:36" x14ac:dyDescent="0.25">
      <c r="A99" t="s">
        <v>926</v>
      </c>
      <c r="B99">
        <v>134</v>
      </c>
      <c r="C99" t="s">
        <v>48</v>
      </c>
      <c r="D99">
        <v>3</v>
      </c>
      <c r="F99">
        <v>3</v>
      </c>
      <c r="G99" t="s">
        <v>49</v>
      </c>
      <c r="H99" t="s">
        <v>84</v>
      </c>
      <c r="I99" t="s">
        <v>127</v>
      </c>
      <c r="J99" t="s">
        <v>129</v>
      </c>
      <c r="K99" t="s">
        <v>45</v>
      </c>
      <c r="L99">
        <v>3</v>
      </c>
      <c r="N99">
        <v>3</v>
      </c>
      <c r="O99" t="s">
        <v>140</v>
      </c>
      <c r="P99" t="s">
        <v>141</v>
      </c>
      <c r="Q99" t="s">
        <v>93</v>
      </c>
      <c r="R99" t="s">
        <v>94</v>
      </c>
      <c r="S99" t="s">
        <v>53</v>
      </c>
      <c r="T99">
        <v>1</v>
      </c>
      <c r="U99">
        <v>3</v>
      </c>
      <c r="V99">
        <v>3</v>
      </c>
      <c r="W99" t="s">
        <v>112</v>
      </c>
      <c r="X99" t="s">
        <v>83</v>
      </c>
      <c r="Y99" t="s">
        <v>114</v>
      </c>
      <c r="Z99" t="s">
        <v>115</v>
      </c>
      <c r="AA99" t="s">
        <v>38</v>
      </c>
      <c r="AB99">
        <v>1</v>
      </c>
      <c r="AC99">
        <v>1</v>
      </c>
      <c r="AD99">
        <v>2</v>
      </c>
      <c r="AE99" t="s">
        <v>39</v>
      </c>
      <c r="AF99" t="s">
        <v>96</v>
      </c>
      <c r="AI99">
        <v>0</v>
      </c>
      <c r="AJ99">
        <v>27</v>
      </c>
    </row>
    <row r="100" spans="1:36" x14ac:dyDescent="0.25">
      <c r="A100" t="s">
        <v>927</v>
      </c>
      <c r="B100">
        <v>135</v>
      </c>
      <c r="C100" t="s">
        <v>48</v>
      </c>
      <c r="D100">
        <v>3</v>
      </c>
      <c r="F100">
        <v>3</v>
      </c>
      <c r="G100" t="s">
        <v>49</v>
      </c>
      <c r="H100" t="s">
        <v>84</v>
      </c>
      <c r="I100" t="s">
        <v>127</v>
      </c>
      <c r="J100" t="s">
        <v>129</v>
      </c>
      <c r="K100" t="s">
        <v>63</v>
      </c>
      <c r="L100">
        <v>3</v>
      </c>
      <c r="N100">
        <v>3</v>
      </c>
      <c r="O100" t="s">
        <v>103</v>
      </c>
      <c r="P100" t="s">
        <v>91</v>
      </c>
      <c r="Q100" t="s">
        <v>147</v>
      </c>
      <c r="R100" t="s">
        <v>150</v>
      </c>
      <c r="S100" t="s">
        <v>53</v>
      </c>
      <c r="T100">
        <v>3</v>
      </c>
      <c r="U100">
        <v>3</v>
      </c>
      <c r="V100">
        <v>3</v>
      </c>
      <c r="W100" t="s">
        <v>112</v>
      </c>
      <c r="X100" t="s">
        <v>83</v>
      </c>
      <c r="Y100" t="s">
        <v>105</v>
      </c>
      <c r="Z100" t="s">
        <v>115</v>
      </c>
      <c r="AA100" t="s">
        <v>38</v>
      </c>
      <c r="AB100">
        <v>1</v>
      </c>
      <c r="AC100">
        <v>2</v>
      </c>
      <c r="AD100">
        <v>3</v>
      </c>
      <c r="AE100" t="s">
        <v>39</v>
      </c>
      <c r="AF100" t="s">
        <v>96</v>
      </c>
      <c r="AG100" t="s">
        <v>153</v>
      </c>
      <c r="AH100" t="s">
        <v>155</v>
      </c>
      <c r="AI100">
        <v>0</v>
      </c>
      <c r="AJ100">
        <v>37</v>
      </c>
    </row>
    <row r="101" spans="1:36" x14ac:dyDescent="0.25">
      <c r="A101" t="s">
        <v>928</v>
      </c>
      <c r="B101">
        <v>137</v>
      </c>
      <c r="C101" t="s">
        <v>33</v>
      </c>
      <c r="D101">
        <v>1</v>
      </c>
      <c r="F101">
        <v>1</v>
      </c>
      <c r="G101" t="s">
        <v>46</v>
      </c>
      <c r="H101" t="s">
        <v>130</v>
      </c>
      <c r="I101" t="s">
        <v>36</v>
      </c>
      <c r="K101" t="s">
        <v>43</v>
      </c>
      <c r="L101">
        <v>2</v>
      </c>
      <c r="N101">
        <v>1</v>
      </c>
      <c r="O101" t="s">
        <v>135</v>
      </c>
      <c r="P101" t="s">
        <v>136</v>
      </c>
      <c r="Q101" t="s">
        <v>137</v>
      </c>
      <c r="S101" t="s">
        <v>53</v>
      </c>
      <c r="T101">
        <v>2</v>
      </c>
      <c r="U101">
        <v>1</v>
      </c>
      <c r="V101">
        <v>2</v>
      </c>
      <c r="W101" t="s">
        <v>112</v>
      </c>
      <c r="AA101" t="s">
        <v>38</v>
      </c>
      <c r="AB101">
        <v>2</v>
      </c>
      <c r="AC101">
        <v>1</v>
      </c>
      <c r="AD101">
        <v>2</v>
      </c>
      <c r="AE101" t="s">
        <v>67</v>
      </c>
      <c r="AI101">
        <v>0</v>
      </c>
      <c r="AJ101">
        <v>15</v>
      </c>
    </row>
    <row r="102" spans="1:36" x14ac:dyDescent="0.25">
      <c r="A102" t="s">
        <v>929</v>
      </c>
      <c r="B102">
        <v>138</v>
      </c>
      <c r="C102" t="s">
        <v>53</v>
      </c>
      <c r="D102">
        <v>3</v>
      </c>
      <c r="E102">
        <v>3</v>
      </c>
      <c r="F102">
        <v>3</v>
      </c>
      <c r="G102" t="s">
        <v>112</v>
      </c>
      <c r="H102" t="s">
        <v>55</v>
      </c>
      <c r="I102" t="s">
        <v>114</v>
      </c>
      <c r="J102" t="s">
        <v>98</v>
      </c>
      <c r="K102" t="s">
        <v>38</v>
      </c>
      <c r="L102">
        <v>1</v>
      </c>
      <c r="M102">
        <v>1</v>
      </c>
      <c r="N102">
        <v>2</v>
      </c>
      <c r="O102" t="s">
        <v>67</v>
      </c>
      <c r="P102" t="s">
        <v>40</v>
      </c>
      <c r="S102" t="s">
        <v>33</v>
      </c>
      <c r="T102">
        <v>1</v>
      </c>
      <c r="V102">
        <v>1</v>
      </c>
      <c r="W102" t="s">
        <v>46</v>
      </c>
      <c r="X102" t="s">
        <v>130</v>
      </c>
      <c r="AA102" t="s">
        <v>45</v>
      </c>
      <c r="AB102">
        <v>3</v>
      </c>
      <c r="AD102">
        <v>3</v>
      </c>
      <c r="AE102" t="s">
        <v>140</v>
      </c>
      <c r="AF102" t="s">
        <v>141</v>
      </c>
      <c r="AG102" t="s">
        <v>102</v>
      </c>
      <c r="AH102" t="s">
        <v>144</v>
      </c>
      <c r="AI102">
        <v>0</v>
      </c>
      <c r="AJ102">
        <v>27</v>
      </c>
    </row>
    <row r="103" spans="1:36" x14ac:dyDescent="0.25">
      <c r="A103" t="s">
        <v>930</v>
      </c>
      <c r="B103">
        <v>139</v>
      </c>
      <c r="C103" t="s">
        <v>53</v>
      </c>
      <c r="D103">
        <v>1</v>
      </c>
      <c r="E103">
        <v>3</v>
      </c>
      <c r="F103">
        <v>2</v>
      </c>
      <c r="G103" t="s">
        <v>111</v>
      </c>
      <c r="H103" t="s">
        <v>113</v>
      </c>
      <c r="I103" t="s">
        <v>97</v>
      </c>
      <c r="K103" t="s">
        <v>38</v>
      </c>
      <c r="L103">
        <v>3</v>
      </c>
      <c r="M103">
        <v>1</v>
      </c>
      <c r="N103">
        <v>2</v>
      </c>
      <c r="O103" t="s">
        <v>67</v>
      </c>
      <c r="P103" t="s">
        <v>96</v>
      </c>
      <c r="Q103" t="s">
        <v>154</v>
      </c>
      <c r="R103" t="s">
        <v>42</v>
      </c>
      <c r="S103" t="s">
        <v>33</v>
      </c>
      <c r="T103">
        <v>1</v>
      </c>
      <c r="V103">
        <v>1</v>
      </c>
      <c r="W103" t="s">
        <v>65</v>
      </c>
      <c r="AA103" t="s">
        <v>63</v>
      </c>
      <c r="AB103">
        <v>2</v>
      </c>
      <c r="AD103">
        <v>2</v>
      </c>
      <c r="AE103" t="s">
        <v>145</v>
      </c>
      <c r="AF103" t="s">
        <v>91</v>
      </c>
      <c r="AG103" t="s">
        <v>147</v>
      </c>
      <c r="AH103" t="s">
        <v>151</v>
      </c>
      <c r="AI103">
        <v>0</v>
      </c>
      <c r="AJ103">
        <v>21</v>
      </c>
    </row>
    <row r="104" spans="1:36" x14ac:dyDescent="0.25">
      <c r="A104" t="s">
        <v>931</v>
      </c>
      <c r="B104">
        <v>141</v>
      </c>
      <c r="C104" t="s">
        <v>53</v>
      </c>
      <c r="D104">
        <v>3</v>
      </c>
      <c r="E104">
        <v>3</v>
      </c>
      <c r="F104">
        <v>3</v>
      </c>
      <c r="G104" t="s">
        <v>112</v>
      </c>
      <c r="H104" t="s">
        <v>83</v>
      </c>
      <c r="I104" t="s">
        <v>105</v>
      </c>
      <c r="J104" t="s">
        <v>115</v>
      </c>
      <c r="K104" t="s">
        <v>38</v>
      </c>
      <c r="L104">
        <v>1</v>
      </c>
      <c r="M104">
        <v>1</v>
      </c>
      <c r="N104">
        <v>2</v>
      </c>
      <c r="O104" t="s">
        <v>39</v>
      </c>
      <c r="P104" t="s">
        <v>96</v>
      </c>
      <c r="Q104" t="s">
        <v>153</v>
      </c>
      <c r="S104" t="s">
        <v>43</v>
      </c>
      <c r="T104">
        <v>3</v>
      </c>
      <c r="V104">
        <v>3</v>
      </c>
      <c r="W104" t="s">
        <v>73</v>
      </c>
      <c r="X104" t="s">
        <v>136</v>
      </c>
      <c r="Y104" t="s">
        <v>75</v>
      </c>
      <c r="Z104" t="s">
        <v>138</v>
      </c>
      <c r="AA104" t="s">
        <v>45</v>
      </c>
      <c r="AB104">
        <v>3</v>
      </c>
      <c r="AD104">
        <v>3</v>
      </c>
      <c r="AE104" t="s">
        <v>140</v>
      </c>
      <c r="AF104" t="s">
        <v>76</v>
      </c>
      <c r="AG104" t="s">
        <v>102</v>
      </c>
      <c r="AH104" t="s">
        <v>94</v>
      </c>
      <c r="AI104">
        <v>0</v>
      </c>
      <c r="AJ104">
        <v>39</v>
      </c>
    </row>
    <row r="105" spans="1:36" x14ac:dyDescent="0.25">
      <c r="A105" t="s">
        <v>932</v>
      </c>
      <c r="B105">
        <v>142</v>
      </c>
      <c r="C105" t="s">
        <v>53</v>
      </c>
      <c r="D105">
        <v>3</v>
      </c>
      <c r="E105">
        <v>3</v>
      </c>
      <c r="F105">
        <v>3</v>
      </c>
      <c r="G105" t="s">
        <v>112</v>
      </c>
      <c r="H105" t="s">
        <v>55</v>
      </c>
      <c r="I105" t="s">
        <v>97</v>
      </c>
      <c r="J105" t="s">
        <v>115</v>
      </c>
      <c r="K105" t="s">
        <v>38</v>
      </c>
      <c r="L105">
        <v>1</v>
      </c>
      <c r="M105">
        <v>2</v>
      </c>
      <c r="N105">
        <v>2</v>
      </c>
      <c r="O105" t="s">
        <v>39</v>
      </c>
      <c r="P105" t="s">
        <v>40</v>
      </c>
      <c r="S105" t="s">
        <v>43</v>
      </c>
      <c r="T105">
        <v>2</v>
      </c>
      <c r="V105">
        <v>1</v>
      </c>
      <c r="W105" t="s">
        <v>135</v>
      </c>
      <c r="X105" t="s">
        <v>74</v>
      </c>
      <c r="AA105" t="s">
        <v>63</v>
      </c>
      <c r="AB105">
        <v>3</v>
      </c>
      <c r="AD105">
        <v>3</v>
      </c>
      <c r="AE105" t="s">
        <v>103</v>
      </c>
      <c r="AF105" t="s">
        <v>91</v>
      </c>
      <c r="AG105" t="s">
        <v>147</v>
      </c>
      <c r="AH105" t="s">
        <v>151</v>
      </c>
      <c r="AI105">
        <v>0</v>
      </c>
      <c r="AJ105">
        <v>32</v>
      </c>
    </row>
    <row r="106" spans="1:36" x14ac:dyDescent="0.25">
      <c r="A106" t="s">
        <v>933</v>
      </c>
      <c r="B106">
        <v>144</v>
      </c>
      <c r="C106" t="s">
        <v>53</v>
      </c>
      <c r="D106">
        <v>3</v>
      </c>
      <c r="E106">
        <v>3</v>
      </c>
      <c r="F106">
        <v>3</v>
      </c>
      <c r="G106" t="s">
        <v>112</v>
      </c>
      <c r="H106" t="s">
        <v>113</v>
      </c>
      <c r="I106" t="s">
        <v>97</v>
      </c>
      <c r="J106" t="s">
        <v>116</v>
      </c>
      <c r="K106" t="s">
        <v>38</v>
      </c>
      <c r="L106">
        <v>3</v>
      </c>
      <c r="M106">
        <v>3</v>
      </c>
      <c r="N106">
        <v>3</v>
      </c>
      <c r="O106" t="s">
        <v>39</v>
      </c>
      <c r="P106" t="s">
        <v>96</v>
      </c>
      <c r="Q106" t="s">
        <v>154</v>
      </c>
      <c r="R106" t="s">
        <v>42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3</v>
      </c>
      <c r="AD106">
        <v>3</v>
      </c>
      <c r="AE106" t="s">
        <v>103</v>
      </c>
      <c r="AF106" t="s">
        <v>95</v>
      </c>
      <c r="AG106" t="s">
        <v>147</v>
      </c>
      <c r="AH106" t="s">
        <v>150</v>
      </c>
      <c r="AI106">
        <v>0</v>
      </c>
      <c r="AJ106">
        <v>33</v>
      </c>
    </row>
    <row r="107" spans="1:36" x14ac:dyDescent="0.25">
      <c r="A107" t="s">
        <v>934</v>
      </c>
      <c r="B107">
        <v>168</v>
      </c>
      <c r="C107" t="s">
        <v>33</v>
      </c>
      <c r="D107">
        <v>3</v>
      </c>
      <c r="F107">
        <v>3</v>
      </c>
      <c r="G107" t="s">
        <v>46</v>
      </c>
      <c r="H107" t="s">
        <v>130</v>
      </c>
      <c r="I107" t="s">
        <v>132</v>
      </c>
      <c r="J107" t="s">
        <v>37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S107" t="s">
        <v>56</v>
      </c>
      <c r="T107">
        <v>3</v>
      </c>
      <c r="V107">
        <v>3</v>
      </c>
      <c r="W107" t="s">
        <v>120</v>
      </c>
      <c r="X107" t="s">
        <v>69</v>
      </c>
      <c r="Y107" t="s">
        <v>85</v>
      </c>
      <c r="Z107" t="s">
        <v>88</v>
      </c>
      <c r="AA107" t="s">
        <v>48</v>
      </c>
      <c r="AB107">
        <v>1</v>
      </c>
      <c r="AD107">
        <v>1</v>
      </c>
      <c r="AE107" t="s">
        <v>126</v>
      </c>
      <c r="AF107" t="s">
        <v>50</v>
      </c>
      <c r="AI107">
        <v>0</v>
      </c>
      <c r="AJ107">
        <v>26</v>
      </c>
    </row>
    <row r="108" spans="1:36" x14ac:dyDescent="0.25">
      <c r="A108" t="s">
        <v>935</v>
      </c>
      <c r="B108">
        <v>169</v>
      </c>
      <c r="C108" t="s">
        <v>33</v>
      </c>
      <c r="D108">
        <v>1</v>
      </c>
      <c r="F108">
        <v>2</v>
      </c>
      <c r="G108" t="s">
        <v>46</v>
      </c>
      <c r="H108" t="s">
        <v>130</v>
      </c>
      <c r="I108" t="s">
        <v>132</v>
      </c>
      <c r="J108" t="s">
        <v>133</v>
      </c>
      <c r="K108" t="s">
        <v>45</v>
      </c>
      <c r="L108">
        <v>3</v>
      </c>
      <c r="N108">
        <v>1</v>
      </c>
      <c r="O108" t="s">
        <v>140</v>
      </c>
      <c r="P108" t="s">
        <v>141</v>
      </c>
      <c r="Q108" t="s">
        <v>102</v>
      </c>
      <c r="S108" t="s">
        <v>56</v>
      </c>
      <c r="T108">
        <v>3</v>
      </c>
      <c r="V108">
        <v>1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0</v>
      </c>
      <c r="AJ108">
        <v>16</v>
      </c>
    </row>
    <row r="109" spans="1:36" x14ac:dyDescent="0.25">
      <c r="A109" t="s">
        <v>936</v>
      </c>
      <c r="B109">
        <v>170</v>
      </c>
      <c r="C109" t="s">
        <v>33</v>
      </c>
      <c r="D109">
        <v>2</v>
      </c>
      <c r="F109">
        <v>3</v>
      </c>
      <c r="G109" t="s">
        <v>46</v>
      </c>
      <c r="K109" t="s">
        <v>63</v>
      </c>
      <c r="L109">
        <v>3</v>
      </c>
      <c r="N109">
        <v>3</v>
      </c>
      <c r="O109" t="s">
        <v>103</v>
      </c>
      <c r="P109" t="s">
        <v>146</v>
      </c>
      <c r="Q109" t="s">
        <v>147</v>
      </c>
      <c r="R109" t="s">
        <v>151</v>
      </c>
      <c r="S109" t="s">
        <v>56</v>
      </c>
      <c r="T109">
        <v>2</v>
      </c>
      <c r="V109">
        <v>1</v>
      </c>
      <c r="W109" t="s">
        <v>57</v>
      </c>
      <c r="X109" t="s">
        <v>122</v>
      </c>
      <c r="AA109" t="s">
        <v>48</v>
      </c>
      <c r="AB109">
        <v>3</v>
      </c>
      <c r="AD109">
        <v>3</v>
      </c>
      <c r="AE109" t="s">
        <v>89</v>
      </c>
      <c r="AF109" t="s">
        <v>50</v>
      </c>
      <c r="AG109" t="s">
        <v>127</v>
      </c>
      <c r="AH109" t="s">
        <v>129</v>
      </c>
      <c r="AI109">
        <v>0</v>
      </c>
      <c r="AJ109">
        <v>31</v>
      </c>
    </row>
    <row r="110" spans="1:36" x14ac:dyDescent="0.25">
      <c r="A110" t="s">
        <v>937</v>
      </c>
      <c r="B110">
        <v>171</v>
      </c>
      <c r="C110" t="s">
        <v>33</v>
      </c>
      <c r="D110">
        <v>2</v>
      </c>
      <c r="F110">
        <v>2</v>
      </c>
      <c r="G110" t="s">
        <v>46</v>
      </c>
      <c r="K110" t="s">
        <v>38</v>
      </c>
      <c r="L110">
        <v>3</v>
      </c>
      <c r="M110">
        <v>3</v>
      </c>
      <c r="N110">
        <v>3</v>
      </c>
      <c r="O110" t="s">
        <v>39</v>
      </c>
      <c r="P110" t="s">
        <v>96</v>
      </c>
      <c r="Q110" t="s">
        <v>154</v>
      </c>
      <c r="R110" t="s">
        <v>156</v>
      </c>
      <c r="S110" t="s">
        <v>56</v>
      </c>
      <c r="T110">
        <v>3</v>
      </c>
      <c r="V110">
        <v>3</v>
      </c>
      <c r="W110" t="s">
        <v>120</v>
      </c>
      <c r="X110" t="s">
        <v>122</v>
      </c>
      <c r="Y110" t="s">
        <v>87</v>
      </c>
      <c r="Z110" t="s">
        <v>125</v>
      </c>
      <c r="AA110" t="s">
        <v>48</v>
      </c>
      <c r="AB110">
        <v>1</v>
      </c>
      <c r="AD110">
        <v>1</v>
      </c>
      <c r="AE110" t="s">
        <v>126</v>
      </c>
      <c r="AF110" t="s">
        <v>50</v>
      </c>
      <c r="AI110">
        <v>0</v>
      </c>
      <c r="AJ110">
        <v>30</v>
      </c>
    </row>
    <row r="111" spans="1:36" x14ac:dyDescent="0.25">
      <c r="A111" t="s">
        <v>938</v>
      </c>
      <c r="B111">
        <v>173</v>
      </c>
      <c r="C111" t="s">
        <v>43</v>
      </c>
      <c r="D111">
        <v>3</v>
      </c>
      <c r="F111">
        <v>1</v>
      </c>
      <c r="G111" t="s">
        <v>73</v>
      </c>
      <c r="H111" t="s">
        <v>99</v>
      </c>
      <c r="I111" t="s">
        <v>75</v>
      </c>
      <c r="J111" t="s">
        <v>138</v>
      </c>
      <c r="K111" t="s">
        <v>45</v>
      </c>
      <c r="L111">
        <v>3</v>
      </c>
      <c r="N111">
        <v>3</v>
      </c>
      <c r="O111" t="s">
        <v>86</v>
      </c>
      <c r="P111" t="s">
        <v>76</v>
      </c>
      <c r="Q111" t="s">
        <v>102</v>
      </c>
      <c r="S111" t="s">
        <v>56</v>
      </c>
      <c r="T111">
        <v>1</v>
      </c>
      <c r="V111">
        <v>3</v>
      </c>
      <c r="W111" t="s">
        <v>120</v>
      </c>
      <c r="X111" t="s">
        <v>69</v>
      </c>
      <c r="Y111" t="s">
        <v>87</v>
      </c>
      <c r="Z111" t="s">
        <v>124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21</v>
      </c>
    </row>
    <row r="112" spans="1:36" x14ac:dyDescent="0.25">
      <c r="A112" t="s">
        <v>939</v>
      </c>
      <c r="B112">
        <v>174</v>
      </c>
      <c r="C112" t="s">
        <v>43</v>
      </c>
      <c r="D112">
        <v>3</v>
      </c>
      <c r="F112">
        <v>1</v>
      </c>
      <c r="G112" t="s">
        <v>135</v>
      </c>
      <c r="H112" t="s">
        <v>74</v>
      </c>
      <c r="I112" t="s">
        <v>75</v>
      </c>
      <c r="K112" t="s">
        <v>63</v>
      </c>
      <c r="L112">
        <v>1</v>
      </c>
      <c r="N112">
        <v>1</v>
      </c>
      <c r="O112" t="s">
        <v>145</v>
      </c>
      <c r="P112" t="s">
        <v>91</v>
      </c>
      <c r="Q112" t="s">
        <v>104</v>
      </c>
      <c r="R112" t="s">
        <v>151</v>
      </c>
      <c r="S112" t="s">
        <v>56</v>
      </c>
      <c r="T112">
        <v>3</v>
      </c>
      <c r="V112">
        <v>1</v>
      </c>
      <c r="W112" t="s">
        <v>120</v>
      </c>
      <c r="X112" t="s">
        <v>121</v>
      </c>
      <c r="AA112" t="s">
        <v>48</v>
      </c>
      <c r="AB112">
        <v>1</v>
      </c>
      <c r="AD112">
        <v>1</v>
      </c>
      <c r="AE112" t="s">
        <v>126</v>
      </c>
      <c r="AF112" t="s">
        <v>84</v>
      </c>
      <c r="AI112">
        <v>0</v>
      </c>
      <c r="AJ112">
        <v>15</v>
      </c>
    </row>
    <row r="113" spans="1:36" x14ac:dyDescent="0.25">
      <c r="A113" t="s">
        <v>940</v>
      </c>
      <c r="B113">
        <v>175</v>
      </c>
      <c r="C113" t="s">
        <v>56</v>
      </c>
      <c r="D113">
        <v>3</v>
      </c>
      <c r="F113">
        <v>3</v>
      </c>
      <c r="G113" t="s">
        <v>120</v>
      </c>
      <c r="H113" t="s">
        <v>122</v>
      </c>
      <c r="I113" t="s">
        <v>85</v>
      </c>
      <c r="J113" t="s">
        <v>125</v>
      </c>
      <c r="K113" t="s">
        <v>48</v>
      </c>
      <c r="L113">
        <v>3</v>
      </c>
      <c r="N113">
        <v>3</v>
      </c>
      <c r="O113" t="s">
        <v>126</v>
      </c>
      <c r="P113" t="s">
        <v>84</v>
      </c>
      <c r="Q113" t="s">
        <v>90</v>
      </c>
      <c r="R113" t="s">
        <v>129</v>
      </c>
      <c r="S113" t="s">
        <v>43</v>
      </c>
      <c r="T113">
        <v>3</v>
      </c>
      <c r="V113">
        <v>1</v>
      </c>
      <c r="W113" t="s">
        <v>73</v>
      </c>
      <c r="X113" t="s">
        <v>74</v>
      </c>
      <c r="Y113" t="s">
        <v>137</v>
      </c>
      <c r="AA113" t="s">
        <v>38</v>
      </c>
      <c r="AB113">
        <v>3</v>
      </c>
      <c r="AC113">
        <v>3</v>
      </c>
      <c r="AD113">
        <v>3</v>
      </c>
      <c r="AE113" t="s">
        <v>39</v>
      </c>
      <c r="AF113" t="s">
        <v>96</v>
      </c>
      <c r="AG113" t="s">
        <v>154</v>
      </c>
      <c r="AH113" t="s">
        <v>155</v>
      </c>
      <c r="AI113">
        <v>0</v>
      </c>
      <c r="AJ113">
        <v>41</v>
      </c>
    </row>
    <row r="114" spans="1:36" x14ac:dyDescent="0.25">
      <c r="A114" t="s">
        <v>941</v>
      </c>
      <c r="B114">
        <v>177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K114" t="s">
        <v>48</v>
      </c>
      <c r="L114">
        <v>1</v>
      </c>
      <c r="N114">
        <v>3</v>
      </c>
      <c r="O114" t="s">
        <v>126</v>
      </c>
      <c r="P114" t="s">
        <v>84</v>
      </c>
      <c r="Q114" t="s">
        <v>127</v>
      </c>
      <c r="S114" t="s">
        <v>45</v>
      </c>
      <c r="T114">
        <v>3</v>
      </c>
      <c r="V114">
        <v>1</v>
      </c>
      <c r="W114" t="s">
        <v>86</v>
      </c>
      <c r="X114" t="s">
        <v>76</v>
      </c>
      <c r="Y114" t="s">
        <v>93</v>
      </c>
      <c r="Z114" t="s">
        <v>94</v>
      </c>
      <c r="AA114" t="s">
        <v>63</v>
      </c>
      <c r="AB114">
        <v>1</v>
      </c>
      <c r="AD114">
        <v>1</v>
      </c>
      <c r="AE114" t="s">
        <v>145</v>
      </c>
      <c r="AF114" t="s">
        <v>91</v>
      </c>
      <c r="AI114">
        <v>0</v>
      </c>
      <c r="AJ114">
        <v>17</v>
      </c>
    </row>
    <row r="115" spans="1:36" x14ac:dyDescent="0.25">
      <c r="A115" s="39" t="s">
        <v>942</v>
      </c>
      <c r="B115">
        <v>178</v>
      </c>
      <c r="C115" t="s">
        <v>56</v>
      </c>
      <c r="D115">
        <v>2</v>
      </c>
      <c r="F115">
        <v>3</v>
      </c>
      <c r="G115" t="s">
        <v>57</v>
      </c>
      <c r="H115" t="s">
        <v>122</v>
      </c>
      <c r="I115" t="s">
        <v>85</v>
      </c>
      <c r="J115" t="s">
        <v>125</v>
      </c>
      <c r="K115" t="s">
        <v>48</v>
      </c>
      <c r="L115">
        <v>3</v>
      </c>
      <c r="N115">
        <v>2</v>
      </c>
      <c r="O115" t="s">
        <v>126</v>
      </c>
      <c r="P115" t="s">
        <v>84</v>
      </c>
      <c r="Q115" t="s">
        <v>90</v>
      </c>
      <c r="R115" t="s">
        <v>129</v>
      </c>
      <c r="S115" t="s">
        <v>45</v>
      </c>
      <c r="T115">
        <v>3</v>
      </c>
      <c r="V115">
        <v>2</v>
      </c>
      <c r="W115" t="s">
        <v>86</v>
      </c>
      <c r="X115" t="s">
        <v>141</v>
      </c>
      <c r="Y115" t="s">
        <v>93</v>
      </c>
      <c r="Z115" t="s">
        <v>144</v>
      </c>
      <c r="AA115" t="s">
        <v>38</v>
      </c>
      <c r="AB115">
        <v>1</v>
      </c>
      <c r="AC115">
        <v>1</v>
      </c>
      <c r="AD115">
        <v>2</v>
      </c>
      <c r="AE115" t="s">
        <v>39</v>
      </c>
      <c r="AF115" t="s">
        <v>96</v>
      </c>
      <c r="AG115" t="s">
        <v>153</v>
      </c>
      <c r="AH115" t="s">
        <v>42</v>
      </c>
      <c r="AI115">
        <v>0</v>
      </c>
      <c r="AJ115">
        <v>26</v>
      </c>
    </row>
    <row r="116" spans="1:36" x14ac:dyDescent="0.25">
      <c r="A116" t="s">
        <v>943</v>
      </c>
      <c r="B116">
        <v>180</v>
      </c>
      <c r="C116" t="s">
        <v>56</v>
      </c>
      <c r="D116">
        <v>2</v>
      </c>
      <c r="F116">
        <v>1</v>
      </c>
      <c r="G116" t="s">
        <v>57</v>
      </c>
      <c r="H116" t="s">
        <v>122</v>
      </c>
      <c r="I116" t="s">
        <v>85</v>
      </c>
      <c r="K116" t="s">
        <v>48</v>
      </c>
      <c r="L116">
        <v>2</v>
      </c>
      <c r="N116">
        <v>2</v>
      </c>
      <c r="O116" t="s">
        <v>49</v>
      </c>
      <c r="P116" t="s">
        <v>71</v>
      </c>
      <c r="Q116" t="s">
        <v>51</v>
      </c>
      <c r="S116" t="s">
        <v>63</v>
      </c>
      <c r="T116">
        <v>1</v>
      </c>
      <c r="V116">
        <v>1</v>
      </c>
      <c r="W116" t="s">
        <v>145</v>
      </c>
      <c r="X116" t="s">
        <v>91</v>
      </c>
      <c r="Y116" t="s">
        <v>148</v>
      </c>
      <c r="AA116" t="s">
        <v>38</v>
      </c>
      <c r="AB116">
        <v>1</v>
      </c>
      <c r="AC116">
        <v>1</v>
      </c>
      <c r="AD116">
        <v>2</v>
      </c>
      <c r="AE116" t="s">
        <v>39</v>
      </c>
      <c r="AF116" t="s">
        <v>96</v>
      </c>
      <c r="AG116" t="s">
        <v>153</v>
      </c>
      <c r="AH116" t="s">
        <v>155</v>
      </c>
      <c r="AI116">
        <v>0</v>
      </c>
      <c r="AJ116">
        <v>18</v>
      </c>
    </row>
    <row r="117" spans="1:36" x14ac:dyDescent="0.25">
      <c r="A117" t="s">
        <v>944</v>
      </c>
      <c r="B117">
        <v>183</v>
      </c>
      <c r="C117" t="s">
        <v>48</v>
      </c>
      <c r="D117">
        <v>3</v>
      </c>
      <c r="F117">
        <v>3</v>
      </c>
      <c r="G117" t="s">
        <v>89</v>
      </c>
      <c r="H117" t="s">
        <v>84</v>
      </c>
      <c r="I117" t="s">
        <v>127</v>
      </c>
      <c r="J117" t="s">
        <v>52</v>
      </c>
      <c r="K117" t="s">
        <v>43</v>
      </c>
      <c r="L117">
        <v>2</v>
      </c>
      <c r="N117">
        <v>1</v>
      </c>
      <c r="O117" t="s">
        <v>135</v>
      </c>
      <c r="S117" t="s">
        <v>56</v>
      </c>
      <c r="T117">
        <v>3</v>
      </c>
      <c r="V117">
        <v>3</v>
      </c>
      <c r="W117" t="s">
        <v>120</v>
      </c>
      <c r="X117" t="s">
        <v>122</v>
      </c>
      <c r="Y117" t="s">
        <v>87</v>
      </c>
      <c r="Z117" t="s">
        <v>124</v>
      </c>
      <c r="AA117" t="s">
        <v>33</v>
      </c>
      <c r="AB117">
        <v>1</v>
      </c>
      <c r="AD117">
        <v>3</v>
      </c>
      <c r="AE117" t="s">
        <v>34</v>
      </c>
      <c r="AI117">
        <v>0</v>
      </c>
      <c r="AJ117">
        <v>22</v>
      </c>
    </row>
    <row r="118" spans="1:36" x14ac:dyDescent="0.25">
      <c r="A118" t="s">
        <v>945</v>
      </c>
      <c r="B118">
        <v>184</v>
      </c>
      <c r="C118" t="s">
        <v>56</v>
      </c>
      <c r="D118">
        <v>1</v>
      </c>
      <c r="F118">
        <v>1</v>
      </c>
      <c r="G118" t="s">
        <v>120</v>
      </c>
      <c r="H118" t="s">
        <v>69</v>
      </c>
      <c r="I118" t="s">
        <v>123</v>
      </c>
      <c r="J118" t="s">
        <v>125</v>
      </c>
      <c r="K118" t="s">
        <v>33</v>
      </c>
      <c r="L118">
        <v>1</v>
      </c>
      <c r="N118">
        <v>1</v>
      </c>
      <c r="O118" t="s">
        <v>46</v>
      </c>
      <c r="P118" t="s">
        <v>66</v>
      </c>
      <c r="S118" t="s">
        <v>48</v>
      </c>
      <c r="T118">
        <v>1</v>
      </c>
      <c r="V118">
        <v>1</v>
      </c>
      <c r="W118" t="s">
        <v>89</v>
      </c>
      <c r="X118" t="s">
        <v>84</v>
      </c>
      <c r="Y118" t="s">
        <v>51</v>
      </c>
      <c r="AA118" t="s">
        <v>45</v>
      </c>
      <c r="AB118">
        <v>3</v>
      </c>
      <c r="AD118">
        <v>2</v>
      </c>
      <c r="AE118" t="s">
        <v>140</v>
      </c>
      <c r="AF118" t="s">
        <v>141</v>
      </c>
      <c r="AI118">
        <v>0</v>
      </c>
      <c r="AJ118">
        <v>14</v>
      </c>
    </row>
    <row r="119" spans="1:36" x14ac:dyDescent="0.25">
      <c r="A119" t="s">
        <v>946</v>
      </c>
      <c r="B119">
        <v>185</v>
      </c>
      <c r="C119" t="s">
        <v>48</v>
      </c>
      <c r="D119">
        <v>3</v>
      </c>
      <c r="F119">
        <v>2</v>
      </c>
      <c r="G119" t="s">
        <v>89</v>
      </c>
      <c r="H119" t="s">
        <v>50</v>
      </c>
      <c r="I119" t="s">
        <v>127</v>
      </c>
      <c r="J119" t="s">
        <v>129</v>
      </c>
      <c r="K119" t="s">
        <v>63</v>
      </c>
      <c r="L119">
        <v>1</v>
      </c>
      <c r="N119">
        <v>2</v>
      </c>
      <c r="O119" t="s">
        <v>145</v>
      </c>
      <c r="P119" t="s">
        <v>146</v>
      </c>
      <c r="Q119" t="s">
        <v>104</v>
      </c>
      <c r="R119" t="s">
        <v>150</v>
      </c>
      <c r="S119" t="s">
        <v>56</v>
      </c>
      <c r="T119">
        <v>3</v>
      </c>
      <c r="V119">
        <v>1</v>
      </c>
      <c r="W119" t="s">
        <v>57</v>
      </c>
      <c r="X119" t="s">
        <v>122</v>
      </c>
      <c r="Y119" t="s">
        <v>123</v>
      </c>
      <c r="AA119" t="s">
        <v>33</v>
      </c>
      <c r="AB119">
        <v>2</v>
      </c>
      <c r="AD119">
        <v>1</v>
      </c>
      <c r="AE119" t="s">
        <v>34</v>
      </c>
      <c r="AI119">
        <v>0</v>
      </c>
      <c r="AJ119">
        <v>19</v>
      </c>
    </row>
    <row r="120" spans="1:36" x14ac:dyDescent="0.25">
      <c r="A120" t="s">
        <v>947</v>
      </c>
      <c r="B120">
        <v>186</v>
      </c>
      <c r="C120" t="s">
        <v>56</v>
      </c>
      <c r="D120">
        <v>3</v>
      </c>
      <c r="F120">
        <v>2</v>
      </c>
      <c r="G120" t="s">
        <v>57</v>
      </c>
      <c r="H120" t="s">
        <v>121</v>
      </c>
      <c r="I120" t="s">
        <v>87</v>
      </c>
      <c r="K120" t="s">
        <v>33</v>
      </c>
      <c r="L120">
        <v>1</v>
      </c>
      <c r="N120">
        <v>1</v>
      </c>
      <c r="O120" t="s">
        <v>46</v>
      </c>
      <c r="S120" t="s">
        <v>48</v>
      </c>
      <c r="T120">
        <v>2</v>
      </c>
      <c r="V120">
        <v>2</v>
      </c>
      <c r="W120" t="s">
        <v>89</v>
      </c>
      <c r="X120" t="s">
        <v>84</v>
      </c>
      <c r="Y120" t="s">
        <v>90</v>
      </c>
      <c r="Z120" t="s">
        <v>128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F120" t="s">
        <v>96</v>
      </c>
      <c r="AI120">
        <v>0</v>
      </c>
      <c r="AJ120">
        <v>16</v>
      </c>
    </row>
    <row r="121" spans="1:36" x14ac:dyDescent="0.25">
      <c r="A121" t="s">
        <v>948</v>
      </c>
      <c r="B121">
        <v>188</v>
      </c>
      <c r="C121" t="s">
        <v>43</v>
      </c>
      <c r="D121">
        <v>3</v>
      </c>
      <c r="F121">
        <v>1</v>
      </c>
      <c r="G121" t="s">
        <v>135</v>
      </c>
      <c r="H121" t="s">
        <v>74</v>
      </c>
      <c r="I121" t="s">
        <v>137</v>
      </c>
      <c r="K121" t="s">
        <v>45</v>
      </c>
      <c r="L121">
        <v>3</v>
      </c>
      <c r="N121">
        <v>1</v>
      </c>
      <c r="O121" t="s">
        <v>140</v>
      </c>
      <c r="P121" t="s">
        <v>141</v>
      </c>
      <c r="Q121" t="s">
        <v>102</v>
      </c>
      <c r="S121" t="s">
        <v>56</v>
      </c>
      <c r="T121">
        <v>2</v>
      </c>
      <c r="V121">
        <v>3</v>
      </c>
      <c r="W121" t="s">
        <v>120</v>
      </c>
      <c r="AA121" t="s">
        <v>33</v>
      </c>
      <c r="AB121">
        <v>1</v>
      </c>
      <c r="AD121">
        <v>2</v>
      </c>
      <c r="AE121" t="s">
        <v>34</v>
      </c>
      <c r="AI121">
        <v>0</v>
      </c>
      <c r="AJ121">
        <v>16</v>
      </c>
    </row>
    <row r="122" spans="1:36" x14ac:dyDescent="0.25">
      <c r="A122" t="s">
        <v>949</v>
      </c>
      <c r="B122">
        <v>189</v>
      </c>
      <c r="C122" t="s">
        <v>43</v>
      </c>
      <c r="D122">
        <v>3</v>
      </c>
      <c r="F122">
        <v>1</v>
      </c>
      <c r="G122" t="s">
        <v>135</v>
      </c>
      <c r="H122" t="s">
        <v>136</v>
      </c>
      <c r="K122" t="s">
        <v>63</v>
      </c>
      <c r="L122">
        <v>3</v>
      </c>
      <c r="N122">
        <v>1</v>
      </c>
      <c r="O122" t="s">
        <v>72</v>
      </c>
      <c r="P122" t="s">
        <v>91</v>
      </c>
      <c r="S122" t="s">
        <v>56</v>
      </c>
      <c r="T122">
        <v>2</v>
      </c>
      <c r="V122">
        <v>1</v>
      </c>
      <c r="W122" t="s">
        <v>120</v>
      </c>
      <c r="X122" t="s">
        <v>69</v>
      </c>
      <c r="Y122" t="s">
        <v>123</v>
      </c>
      <c r="AA122" t="s">
        <v>33</v>
      </c>
      <c r="AB122">
        <v>2</v>
      </c>
      <c r="AD122">
        <v>2</v>
      </c>
      <c r="AE122" t="s">
        <v>34</v>
      </c>
      <c r="AI122">
        <v>0</v>
      </c>
      <c r="AJ122">
        <v>15</v>
      </c>
    </row>
    <row r="123" spans="1:36" x14ac:dyDescent="0.25">
      <c r="A123" t="s">
        <v>950</v>
      </c>
      <c r="B123">
        <v>190</v>
      </c>
      <c r="C123" t="s">
        <v>43</v>
      </c>
      <c r="D123">
        <v>3</v>
      </c>
      <c r="F123">
        <v>1</v>
      </c>
      <c r="G123" t="s">
        <v>135</v>
      </c>
      <c r="H123" t="s">
        <v>74</v>
      </c>
      <c r="I123" t="s">
        <v>75</v>
      </c>
      <c r="J123" t="s">
        <v>101</v>
      </c>
      <c r="K123" t="s">
        <v>38</v>
      </c>
      <c r="L123">
        <v>2</v>
      </c>
      <c r="M123">
        <v>1</v>
      </c>
      <c r="N123">
        <v>3</v>
      </c>
      <c r="O123" t="s">
        <v>67</v>
      </c>
      <c r="P123" t="s">
        <v>96</v>
      </c>
      <c r="Q123" t="s">
        <v>154</v>
      </c>
      <c r="R123" t="s">
        <v>42</v>
      </c>
      <c r="S123" t="s">
        <v>56</v>
      </c>
      <c r="T123">
        <v>2</v>
      </c>
      <c r="V123">
        <v>3</v>
      </c>
      <c r="W123" t="s">
        <v>120</v>
      </c>
      <c r="X123" t="s">
        <v>122</v>
      </c>
      <c r="Y123" t="s">
        <v>87</v>
      </c>
      <c r="AA123" t="s">
        <v>33</v>
      </c>
      <c r="AB123">
        <v>1</v>
      </c>
      <c r="AD123">
        <v>1</v>
      </c>
      <c r="AE123" t="s">
        <v>46</v>
      </c>
      <c r="AI123">
        <v>0</v>
      </c>
      <c r="AJ123">
        <v>21</v>
      </c>
    </row>
    <row r="124" spans="1:36" x14ac:dyDescent="0.25">
      <c r="A124" t="s">
        <v>951</v>
      </c>
      <c r="B124">
        <v>192</v>
      </c>
      <c r="C124" t="s">
        <v>45</v>
      </c>
      <c r="D124">
        <v>3</v>
      </c>
      <c r="F124">
        <v>1</v>
      </c>
      <c r="G124" t="s">
        <v>140</v>
      </c>
      <c r="H124" t="s">
        <v>92</v>
      </c>
      <c r="I124" t="s">
        <v>102</v>
      </c>
      <c r="K124" t="s">
        <v>63</v>
      </c>
      <c r="L124">
        <v>1</v>
      </c>
      <c r="N124">
        <v>1</v>
      </c>
      <c r="O124" t="s">
        <v>145</v>
      </c>
      <c r="P124" t="s">
        <v>146</v>
      </c>
      <c r="Q124" t="s">
        <v>148</v>
      </c>
      <c r="R124" t="s">
        <v>150</v>
      </c>
      <c r="S124" t="s">
        <v>56</v>
      </c>
      <c r="T124">
        <v>3</v>
      </c>
      <c r="V124">
        <v>1</v>
      </c>
      <c r="W124" t="s">
        <v>57</v>
      </c>
      <c r="X124" t="s">
        <v>122</v>
      </c>
      <c r="AA124" t="s">
        <v>33</v>
      </c>
      <c r="AB124">
        <v>1</v>
      </c>
      <c r="AD124">
        <v>3</v>
      </c>
      <c r="AE124" t="s">
        <v>34</v>
      </c>
      <c r="AI124">
        <v>0</v>
      </c>
      <c r="AJ124">
        <v>16</v>
      </c>
    </row>
    <row r="125" spans="1:36" x14ac:dyDescent="0.25">
      <c r="A125" t="s">
        <v>952</v>
      </c>
      <c r="B125">
        <v>193</v>
      </c>
      <c r="C125" t="s">
        <v>45</v>
      </c>
      <c r="D125">
        <v>3</v>
      </c>
      <c r="F125">
        <v>1</v>
      </c>
      <c r="G125" t="s">
        <v>140</v>
      </c>
      <c r="H125" t="s">
        <v>141</v>
      </c>
      <c r="K125" t="s">
        <v>38</v>
      </c>
      <c r="L125">
        <v>1</v>
      </c>
      <c r="M125">
        <v>2</v>
      </c>
      <c r="N125">
        <v>1</v>
      </c>
      <c r="O125" t="s">
        <v>67</v>
      </c>
      <c r="P125" t="s">
        <v>40</v>
      </c>
      <c r="Q125" t="s">
        <v>154</v>
      </c>
      <c r="R125" t="s">
        <v>42</v>
      </c>
      <c r="S125" t="s">
        <v>56</v>
      </c>
      <c r="T125">
        <v>3</v>
      </c>
      <c r="V125">
        <v>2</v>
      </c>
      <c r="W125" t="s">
        <v>120</v>
      </c>
      <c r="AA125" t="s">
        <v>33</v>
      </c>
      <c r="AB125">
        <v>1</v>
      </c>
      <c r="AD125">
        <v>1</v>
      </c>
      <c r="AE125" t="s">
        <v>46</v>
      </c>
      <c r="AI125">
        <v>0</v>
      </c>
      <c r="AJ125">
        <v>15</v>
      </c>
    </row>
    <row r="126" spans="1:36" x14ac:dyDescent="0.25">
      <c r="A126" t="s">
        <v>953</v>
      </c>
      <c r="B126">
        <v>195</v>
      </c>
      <c r="C126" t="s">
        <v>63</v>
      </c>
      <c r="D126">
        <v>3</v>
      </c>
      <c r="F126">
        <v>3</v>
      </c>
      <c r="G126" t="s">
        <v>145</v>
      </c>
      <c r="H126" t="s">
        <v>146</v>
      </c>
      <c r="I126" t="s">
        <v>148</v>
      </c>
      <c r="J126" t="s">
        <v>150</v>
      </c>
      <c r="K126" t="s">
        <v>38</v>
      </c>
      <c r="L126">
        <v>1</v>
      </c>
      <c r="M126">
        <v>1</v>
      </c>
      <c r="N126">
        <v>2</v>
      </c>
      <c r="O126" t="s">
        <v>67</v>
      </c>
      <c r="P126" t="s">
        <v>96</v>
      </c>
      <c r="Q126" t="s">
        <v>154</v>
      </c>
      <c r="S126" t="s">
        <v>56</v>
      </c>
      <c r="T126">
        <v>3</v>
      </c>
      <c r="V126">
        <v>3</v>
      </c>
      <c r="W126" t="s">
        <v>57</v>
      </c>
      <c r="X126" t="s">
        <v>122</v>
      </c>
      <c r="Y126" t="s">
        <v>123</v>
      </c>
      <c r="Z126" t="s">
        <v>88</v>
      </c>
      <c r="AA126" t="s">
        <v>33</v>
      </c>
      <c r="AB126">
        <v>1</v>
      </c>
      <c r="AD126">
        <v>1</v>
      </c>
      <c r="AE126" t="s">
        <v>46</v>
      </c>
      <c r="AI126">
        <v>0</v>
      </c>
      <c r="AJ126">
        <v>31</v>
      </c>
    </row>
    <row r="127" spans="1:36" x14ac:dyDescent="0.25">
      <c r="A127" t="s">
        <v>954</v>
      </c>
      <c r="B127">
        <v>198</v>
      </c>
      <c r="C127" t="s">
        <v>56</v>
      </c>
      <c r="D127">
        <v>3</v>
      </c>
      <c r="F127">
        <v>1</v>
      </c>
      <c r="G127" t="s">
        <v>68</v>
      </c>
      <c r="H127" t="s">
        <v>122</v>
      </c>
      <c r="K127" t="s">
        <v>43</v>
      </c>
      <c r="L127">
        <v>3</v>
      </c>
      <c r="N127">
        <v>1</v>
      </c>
      <c r="O127" t="s">
        <v>44</v>
      </c>
      <c r="S127" t="s">
        <v>48</v>
      </c>
      <c r="T127">
        <v>1</v>
      </c>
      <c r="V127">
        <v>2</v>
      </c>
      <c r="W127" t="s">
        <v>126</v>
      </c>
      <c r="X127" t="s">
        <v>84</v>
      </c>
      <c r="Y127" t="s">
        <v>127</v>
      </c>
      <c r="AA127" t="s">
        <v>33</v>
      </c>
      <c r="AB127">
        <v>1</v>
      </c>
      <c r="AD127">
        <v>3</v>
      </c>
      <c r="AE127" t="s">
        <v>34</v>
      </c>
      <c r="AI127">
        <v>0</v>
      </c>
      <c r="AJ127">
        <v>14</v>
      </c>
    </row>
    <row r="128" spans="1:36" x14ac:dyDescent="0.25">
      <c r="A128" t="s">
        <v>955</v>
      </c>
      <c r="B128">
        <v>199</v>
      </c>
      <c r="C128" t="s">
        <v>48</v>
      </c>
      <c r="D128">
        <v>2</v>
      </c>
      <c r="F128">
        <v>2</v>
      </c>
      <c r="G128" t="s">
        <v>126</v>
      </c>
      <c r="H128" t="s">
        <v>84</v>
      </c>
      <c r="I128" t="s">
        <v>127</v>
      </c>
      <c r="J128" t="s">
        <v>52</v>
      </c>
      <c r="K128" t="s">
        <v>45</v>
      </c>
      <c r="L128">
        <v>3</v>
      </c>
      <c r="N128">
        <v>1</v>
      </c>
      <c r="O128" t="s">
        <v>140</v>
      </c>
      <c r="S128" t="s">
        <v>56</v>
      </c>
      <c r="T128">
        <v>3</v>
      </c>
      <c r="V128">
        <v>1</v>
      </c>
      <c r="W128" t="s">
        <v>120</v>
      </c>
      <c r="X128" t="s">
        <v>69</v>
      </c>
      <c r="Y128" t="s">
        <v>87</v>
      </c>
      <c r="AA128" t="s">
        <v>43</v>
      </c>
      <c r="AB128">
        <v>1</v>
      </c>
      <c r="AD128">
        <v>1</v>
      </c>
      <c r="AE128" t="s">
        <v>73</v>
      </c>
      <c r="AF128" t="s">
        <v>136</v>
      </c>
      <c r="AG128" t="s">
        <v>137</v>
      </c>
      <c r="AI128">
        <v>0</v>
      </c>
      <c r="AJ128">
        <v>17</v>
      </c>
    </row>
    <row r="129" spans="1:36" x14ac:dyDescent="0.25">
      <c r="A129" t="s">
        <v>956</v>
      </c>
      <c r="B129">
        <v>200</v>
      </c>
      <c r="C129" t="s">
        <v>56</v>
      </c>
      <c r="D129">
        <v>3</v>
      </c>
      <c r="F129">
        <v>3</v>
      </c>
      <c r="G129" t="s">
        <v>57</v>
      </c>
      <c r="H129" t="s">
        <v>122</v>
      </c>
      <c r="I129" t="s">
        <v>123</v>
      </c>
      <c r="J129" t="s">
        <v>124</v>
      </c>
      <c r="K129" t="s">
        <v>43</v>
      </c>
      <c r="L129">
        <v>3</v>
      </c>
      <c r="N129">
        <v>3</v>
      </c>
      <c r="O129" t="s">
        <v>44</v>
      </c>
      <c r="P129" t="s">
        <v>136</v>
      </c>
      <c r="Q129" t="s">
        <v>137</v>
      </c>
      <c r="R129" t="s">
        <v>139</v>
      </c>
      <c r="S129" t="s">
        <v>48</v>
      </c>
      <c r="T129">
        <v>3</v>
      </c>
      <c r="V129">
        <v>3</v>
      </c>
      <c r="W129" t="s">
        <v>126</v>
      </c>
      <c r="X129" t="s">
        <v>50</v>
      </c>
      <c r="Y129" t="s">
        <v>90</v>
      </c>
      <c r="Z129" t="s">
        <v>129</v>
      </c>
      <c r="AA129" t="s">
        <v>63</v>
      </c>
      <c r="AB129">
        <v>1</v>
      </c>
      <c r="AD129">
        <v>1</v>
      </c>
      <c r="AE129" t="s">
        <v>145</v>
      </c>
      <c r="AF129" t="s">
        <v>95</v>
      </c>
      <c r="AI129">
        <v>0</v>
      </c>
      <c r="AJ129">
        <v>32</v>
      </c>
    </row>
    <row r="130" spans="1:36" x14ac:dyDescent="0.25">
      <c r="A130" t="s">
        <v>957</v>
      </c>
      <c r="B130">
        <v>201</v>
      </c>
      <c r="C130" t="s">
        <v>56</v>
      </c>
      <c r="D130">
        <v>3</v>
      </c>
      <c r="F130">
        <v>3</v>
      </c>
      <c r="G130" t="s">
        <v>57</v>
      </c>
      <c r="H130" t="s">
        <v>122</v>
      </c>
      <c r="I130" t="s">
        <v>85</v>
      </c>
      <c r="J130" t="s">
        <v>124</v>
      </c>
      <c r="K130" t="s">
        <v>43</v>
      </c>
      <c r="L130">
        <v>1</v>
      </c>
      <c r="N130">
        <v>1</v>
      </c>
      <c r="O130" t="s">
        <v>44</v>
      </c>
      <c r="S130" t="s">
        <v>48</v>
      </c>
      <c r="T130">
        <v>3</v>
      </c>
      <c r="V130">
        <v>3</v>
      </c>
      <c r="W130" t="s">
        <v>89</v>
      </c>
      <c r="X130" t="s">
        <v>84</v>
      </c>
      <c r="Y130" t="s">
        <v>127</v>
      </c>
      <c r="Z130" t="s">
        <v>52</v>
      </c>
      <c r="AA130" t="s">
        <v>38</v>
      </c>
      <c r="AB130">
        <v>1</v>
      </c>
      <c r="AC130">
        <v>1</v>
      </c>
      <c r="AD130">
        <v>2</v>
      </c>
      <c r="AE130" t="s">
        <v>39</v>
      </c>
      <c r="AF130" t="s">
        <v>96</v>
      </c>
      <c r="AI130">
        <v>0</v>
      </c>
      <c r="AJ130">
        <v>21</v>
      </c>
    </row>
    <row r="131" spans="1:36" x14ac:dyDescent="0.25">
      <c r="A131" t="s">
        <v>958</v>
      </c>
      <c r="B131">
        <v>203</v>
      </c>
      <c r="C131" t="s">
        <v>56</v>
      </c>
      <c r="D131">
        <v>2</v>
      </c>
      <c r="F131">
        <v>2</v>
      </c>
      <c r="G131" t="s">
        <v>68</v>
      </c>
      <c r="H131" t="s">
        <v>121</v>
      </c>
      <c r="K131" t="s">
        <v>43</v>
      </c>
      <c r="L131">
        <v>1</v>
      </c>
      <c r="N131">
        <v>1</v>
      </c>
      <c r="O131" t="s">
        <v>135</v>
      </c>
      <c r="P131" t="s">
        <v>136</v>
      </c>
      <c r="Q131" t="s">
        <v>137</v>
      </c>
      <c r="S131" t="s">
        <v>33</v>
      </c>
      <c r="T131">
        <v>1</v>
      </c>
      <c r="V131">
        <v>3</v>
      </c>
      <c r="W131" t="s">
        <v>34</v>
      </c>
      <c r="AA131" t="s">
        <v>45</v>
      </c>
      <c r="AB131">
        <v>3</v>
      </c>
      <c r="AD131">
        <v>1</v>
      </c>
      <c r="AE131" t="s">
        <v>140</v>
      </c>
      <c r="AF131" t="s">
        <v>76</v>
      </c>
      <c r="AI131">
        <v>0</v>
      </c>
      <c r="AJ131">
        <v>14</v>
      </c>
    </row>
    <row r="132" spans="1:36" x14ac:dyDescent="0.25">
      <c r="A132" t="s">
        <v>959</v>
      </c>
      <c r="B132">
        <v>204</v>
      </c>
      <c r="C132" t="s">
        <v>33</v>
      </c>
      <c r="D132">
        <v>2</v>
      </c>
      <c r="F132">
        <v>2</v>
      </c>
      <c r="G132" t="s">
        <v>34</v>
      </c>
      <c r="K132" t="s">
        <v>63</v>
      </c>
      <c r="L132">
        <v>3</v>
      </c>
      <c r="N132">
        <v>3</v>
      </c>
      <c r="O132" t="s">
        <v>103</v>
      </c>
      <c r="P132" t="s">
        <v>146</v>
      </c>
      <c r="Q132" t="s">
        <v>148</v>
      </c>
      <c r="R132" t="s">
        <v>150</v>
      </c>
      <c r="S132" t="s">
        <v>56</v>
      </c>
      <c r="T132">
        <v>3</v>
      </c>
      <c r="V132">
        <v>3</v>
      </c>
      <c r="W132" t="s">
        <v>68</v>
      </c>
      <c r="X132" t="s">
        <v>122</v>
      </c>
      <c r="Y132" t="s">
        <v>123</v>
      </c>
      <c r="Z132" t="s">
        <v>88</v>
      </c>
      <c r="AA132" t="s">
        <v>43</v>
      </c>
      <c r="AB132">
        <v>2</v>
      </c>
      <c r="AD132">
        <v>1</v>
      </c>
      <c r="AE132" t="s">
        <v>135</v>
      </c>
      <c r="AI132">
        <v>0</v>
      </c>
      <c r="AJ132">
        <v>21</v>
      </c>
    </row>
    <row r="133" spans="1:36" x14ac:dyDescent="0.25">
      <c r="A133" t="s">
        <v>960</v>
      </c>
      <c r="B133">
        <v>205</v>
      </c>
      <c r="C133" t="s">
        <v>56</v>
      </c>
      <c r="D133">
        <v>2</v>
      </c>
      <c r="F133">
        <v>1</v>
      </c>
      <c r="G133" t="s">
        <v>68</v>
      </c>
      <c r="H133" t="s">
        <v>122</v>
      </c>
      <c r="I133" t="s">
        <v>85</v>
      </c>
      <c r="K133" t="s">
        <v>43</v>
      </c>
      <c r="L133">
        <v>2</v>
      </c>
      <c r="N133">
        <v>1</v>
      </c>
      <c r="O133" t="s">
        <v>44</v>
      </c>
      <c r="P133" t="s">
        <v>99</v>
      </c>
      <c r="Q133" t="s">
        <v>75</v>
      </c>
      <c r="S133" t="s">
        <v>33</v>
      </c>
      <c r="T133">
        <v>2</v>
      </c>
      <c r="V133">
        <v>2</v>
      </c>
      <c r="W133" t="s">
        <v>34</v>
      </c>
      <c r="AA133" t="s">
        <v>38</v>
      </c>
      <c r="AB133">
        <v>1</v>
      </c>
      <c r="AC133">
        <v>1</v>
      </c>
      <c r="AD133">
        <v>3</v>
      </c>
      <c r="AE133" t="s">
        <v>39</v>
      </c>
      <c r="AF133" t="s">
        <v>96</v>
      </c>
      <c r="AI133">
        <v>0</v>
      </c>
      <c r="AJ133">
        <v>15</v>
      </c>
    </row>
    <row r="134" spans="1:36" x14ac:dyDescent="0.25">
      <c r="A134" t="s">
        <v>961</v>
      </c>
      <c r="B134">
        <v>207</v>
      </c>
      <c r="C134" t="s">
        <v>45</v>
      </c>
      <c r="D134">
        <v>3</v>
      </c>
      <c r="F134">
        <v>2</v>
      </c>
      <c r="G134" t="s">
        <v>140</v>
      </c>
      <c r="K134" t="s">
        <v>63</v>
      </c>
      <c r="L134">
        <v>2</v>
      </c>
      <c r="N134">
        <v>2</v>
      </c>
      <c r="O134" t="s">
        <v>145</v>
      </c>
      <c r="P134" t="s">
        <v>146</v>
      </c>
      <c r="Q134" t="s">
        <v>148</v>
      </c>
      <c r="R134" t="s">
        <v>149</v>
      </c>
      <c r="S134" t="s">
        <v>56</v>
      </c>
      <c r="T134">
        <v>3</v>
      </c>
      <c r="V134">
        <v>2</v>
      </c>
      <c r="W134" t="s">
        <v>57</v>
      </c>
      <c r="X134" t="s">
        <v>121</v>
      </c>
      <c r="Y134" t="s">
        <v>123</v>
      </c>
      <c r="Z134" t="s">
        <v>88</v>
      </c>
      <c r="AA134" t="s">
        <v>43</v>
      </c>
      <c r="AB134">
        <v>1</v>
      </c>
      <c r="AD134">
        <v>1</v>
      </c>
      <c r="AE134" t="s">
        <v>135</v>
      </c>
      <c r="AF134" t="s">
        <v>136</v>
      </c>
      <c r="AG134" t="s">
        <v>100</v>
      </c>
      <c r="AI134">
        <v>0</v>
      </c>
      <c r="AJ134">
        <v>22</v>
      </c>
    </row>
    <row r="135" spans="1:36" x14ac:dyDescent="0.25">
      <c r="A135" t="s">
        <v>962</v>
      </c>
      <c r="B135">
        <v>208</v>
      </c>
      <c r="C135" t="s">
        <v>56</v>
      </c>
      <c r="D135">
        <v>3</v>
      </c>
      <c r="F135">
        <v>3</v>
      </c>
      <c r="G135" t="s">
        <v>57</v>
      </c>
      <c r="H135" t="s">
        <v>122</v>
      </c>
      <c r="I135" t="s">
        <v>85</v>
      </c>
      <c r="J135" t="s">
        <v>125</v>
      </c>
      <c r="K135" t="s">
        <v>43</v>
      </c>
      <c r="L135">
        <v>1</v>
      </c>
      <c r="N135">
        <v>1</v>
      </c>
      <c r="O135" t="s">
        <v>135</v>
      </c>
      <c r="P135" t="s">
        <v>136</v>
      </c>
      <c r="S135" t="s">
        <v>45</v>
      </c>
      <c r="T135">
        <v>3</v>
      </c>
      <c r="V135">
        <v>1</v>
      </c>
      <c r="W135" t="s">
        <v>140</v>
      </c>
      <c r="AA135" t="s">
        <v>38</v>
      </c>
      <c r="AB135">
        <v>3</v>
      </c>
      <c r="AC135">
        <v>3</v>
      </c>
      <c r="AD135">
        <v>3</v>
      </c>
      <c r="AE135" t="s">
        <v>39</v>
      </c>
      <c r="AF135" t="s">
        <v>96</v>
      </c>
      <c r="AG135" t="s">
        <v>153</v>
      </c>
      <c r="AH135" t="s">
        <v>156</v>
      </c>
      <c r="AI135">
        <v>0</v>
      </c>
      <c r="AJ135">
        <v>30</v>
      </c>
    </row>
    <row r="136" spans="1:36" x14ac:dyDescent="0.25">
      <c r="A136" t="s">
        <v>963</v>
      </c>
      <c r="B136">
        <v>210</v>
      </c>
      <c r="C136" t="s">
        <v>56</v>
      </c>
      <c r="D136">
        <v>3</v>
      </c>
      <c r="F136">
        <v>3</v>
      </c>
      <c r="G136" t="s">
        <v>57</v>
      </c>
      <c r="H136" t="s">
        <v>122</v>
      </c>
      <c r="I136" t="s">
        <v>85</v>
      </c>
      <c r="J136" t="s">
        <v>124</v>
      </c>
      <c r="K136" t="s">
        <v>43</v>
      </c>
      <c r="L136">
        <v>3</v>
      </c>
      <c r="N136">
        <v>3</v>
      </c>
      <c r="O136" t="s">
        <v>73</v>
      </c>
      <c r="P136" t="s">
        <v>74</v>
      </c>
      <c r="Q136" t="s">
        <v>75</v>
      </c>
      <c r="R136" t="s">
        <v>139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AA136" t="s">
        <v>38</v>
      </c>
      <c r="AB136">
        <v>3</v>
      </c>
      <c r="AC136">
        <v>3</v>
      </c>
      <c r="AD136">
        <v>3</v>
      </c>
      <c r="AE136" t="s">
        <v>39</v>
      </c>
      <c r="AF136" t="s">
        <v>96</v>
      </c>
      <c r="AG136" t="s">
        <v>153</v>
      </c>
      <c r="AH136" t="s">
        <v>156</v>
      </c>
      <c r="AI136">
        <v>0</v>
      </c>
      <c r="AJ136">
        <v>30</v>
      </c>
    </row>
    <row r="137" spans="1:36" x14ac:dyDescent="0.25">
      <c r="A137" t="s">
        <v>964</v>
      </c>
      <c r="B137">
        <v>213</v>
      </c>
      <c r="C137" t="s">
        <v>56</v>
      </c>
      <c r="D137">
        <v>2</v>
      </c>
      <c r="F137">
        <v>2</v>
      </c>
      <c r="G137" t="s">
        <v>57</v>
      </c>
      <c r="H137" t="s">
        <v>122</v>
      </c>
      <c r="I137" t="s">
        <v>123</v>
      </c>
      <c r="J137" t="s">
        <v>124</v>
      </c>
      <c r="K137" t="s">
        <v>45</v>
      </c>
      <c r="L137">
        <v>3</v>
      </c>
      <c r="N137">
        <v>3</v>
      </c>
      <c r="O137" t="s">
        <v>86</v>
      </c>
      <c r="P137" t="s">
        <v>141</v>
      </c>
      <c r="S137" t="s">
        <v>48</v>
      </c>
      <c r="T137">
        <v>1</v>
      </c>
      <c r="V137">
        <v>3</v>
      </c>
      <c r="W137" t="s">
        <v>126</v>
      </c>
      <c r="X137" t="s">
        <v>50</v>
      </c>
      <c r="Y137" t="s">
        <v>90</v>
      </c>
      <c r="Z137" t="s">
        <v>129</v>
      </c>
      <c r="AA137" t="s">
        <v>33</v>
      </c>
      <c r="AB137">
        <v>1</v>
      </c>
      <c r="AD137">
        <v>2</v>
      </c>
      <c r="AE137" t="s">
        <v>34</v>
      </c>
      <c r="AI137">
        <v>0</v>
      </c>
      <c r="AJ137">
        <v>20</v>
      </c>
    </row>
    <row r="138" spans="1:36" x14ac:dyDescent="0.25">
      <c r="A138" t="s">
        <v>965</v>
      </c>
      <c r="B138">
        <v>214</v>
      </c>
      <c r="C138" t="s">
        <v>56</v>
      </c>
      <c r="D138">
        <v>3</v>
      </c>
      <c r="F138">
        <v>1</v>
      </c>
      <c r="G138" t="s">
        <v>120</v>
      </c>
      <c r="H138" t="s">
        <v>122</v>
      </c>
      <c r="I138" t="s">
        <v>87</v>
      </c>
      <c r="K138" t="s">
        <v>45</v>
      </c>
      <c r="L138">
        <v>3</v>
      </c>
      <c r="N138">
        <v>1</v>
      </c>
      <c r="O138" t="s">
        <v>86</v>
      </c>
      <c r="P138" t="s">
        <v>141</v>
      </c>
      <c r="Q138" t="s">
        <v>93</v>
      </c>
      <c r="S138" t="s">
        <v>48</v>
      </c>
      <c r="T138">
        <v>2</v>
      </c>
      <c r="V138">
        <v>1</v>
      </c>
      <c r="W138" t="s">
        <v>126</v>
      </c>
      <c r="X138" t="s">
        <v>84</v>
      </c>
      <c r="Y138" t="s">
        <v>127</v>
      </c>
      <c r="Z138" t="s">
        <v>129</v>
      </c>
      <c r="AA138" t="s">
        <v>43</v>
      </c>
      <c r="AB138">
        <v>1</v>
      </c>
      <c r="AD138">
        <v>2</v>
      </c>
      <c r="AE138" t="s">
        <v>73</v>
      </c>
      <c r="AF138" t="s">
        <v>99</v>
      </c>
      <c r="AG138" t="s">
        <v>100</v>
      </c>
      <c r="AI138">
        <v>0</v>
      </c>
      <c r="AJ138">
        <v>19</v>
      </c>
    </row>
    <row r="139" spans="1:36" x14ac:dyDescent="0.25">
      <c r="A139" t="s">
        <v>966</v>
      </c>
      <c r="B139">
        <v>215</v>
      </c>
      <c r="C139" t="s">
        <v>56</v>
      </c>
      <c r="D139">
        <v>3</v>
      </c>
      <c r="F139">
        <v>1</v>
      </c>
      <c r="G139" t="s">
        <v>57</v>
      </c>
      <c r="H139" t="s">
        <v>122</v>
      </c>
      <c r="I139" t="s">
        <v>123</v>
      </c>
      <c r="J139" t="s">
        <v>124</v>
      </c>
      <c r="K139" t="s">
        <v>45</v>
      </c>
      <c r="L139">
        <v>3</v>
      </c>
      <c r="N139">
        <v>1</v>
      </c>
      <c r="O139" t="s">
        <v>86</v>
      </c>
      <c r="P139" t="s">
        <v>76</v>
      </c>
      <c r="Q139" t="s">
        <v>102</v>
      </c>
      <c r="R139" t="s">
        <v>94</v>
      </c>
      <c r="S139" t="s">
        <v>48</v>
      </c>
      <c r="T139">
        <v>2</v>
      </c>
      <c r="V139">
        <v>2</v>
      </c>
      <c r="W139" t="s">
        <v>126</v>
      </c>
      <c r="X139" t="s">
        <v>84</v>
      </c>
      <c r="Y139" t="s">
        <v>90</v>
      </c>
      <c r="Z139" t="s">
        <v>128</v>
      </c>
      <c r="AA139" t="s">
        <v>63</v>
      </c>
      <c r="AB139">
        <v>1</v>
      </c>
      <c r="AD139">
        <v>1</v>
      </c>
      <c r="AE139" t="s">
        <v>145</v>
      </c>
      <c r="AF139" t="s">
        <v>146</v>
      </c>
      <c r="AI139">
        <v>0</v>
      </c>
      <c r="AJ139">
        <v>21</v>
      </c>
    </row>
    <row r="140" spans="1:36" x14ac:dyDescent="0.25">
      <c r="A140" t="s">
        <v>967</v>
      </c>
      <c r="B140">
        <v>216</v>
      </c>
      <c r="C140" t="s">
        <v>48</v>
      </c>
      <c r="D140">
        <v>2</v>
      </c>
      <c r="F140">
        <v>2</v>
      </c>
      <c r="G140" t="s">
        <v>126</v>
      </c>
      <c r="H140" t="s">
        <v>50</v>
      </c>
      <c r="I140" t="s">
        <v>90</v>
      </c>
      <c r="J140" t="s">
        <v>129</v>
      </c>
      <c r="K140" t="s">
        <v>38</v>
      </c>
      <c r="L140">
        <v>1</v>
      </c>
      <c r="M140">
        <v>1</v>
      </c>
      <c r="N140">
        <v>3</v>
      </c>
      <c r="O140" t="s">
        <v>39</v>
      </c>
      <c r="P140" t="s">
        <v>96</v>
      </c>
      <c r="Q140" t="s">
        <v>154</v>
      </c>
      <c r="R140" t="s">
        <v>42</v>
      </c>
      <c r="S140" t="s">
        <v>56</v>
      </c>
      <c r="T140">
        <v>3</v>
      </c>
      <c r="V140">
        <v>1</v>
      </c>
      <c r="W140" t="s">
        <v>57</v>
      </c>
      <c r="X140" t="s">
        <v>121</v>
      </c>
      <c r="Y140" t="s">
        <v>123</v>
      </c>
      <c r="AA140" t="s">
        <v>45</v>
      </c>
      <c r="AB140">
        <v>2</v>
      </c>
      <c r="AD140">
        <v>1</v>
      </c>
      <c r="AE140" t="s">
        <v>86</v>
      </c>
      <c r="AI140">
        <v>0</v>
      </c>
      <c r="AJ140">
        <v>19</v>
      </c>
    </row>
    <row r="141" spans="1:36" x14ac:dyDescent="0.25">
      <c r="A141" t="s">
        <v>968</v>
      </c>
      <c r="B141">
        <v>218</v>
      </c>
      <c r="C141" t="s">
        <v>56</v>
      </c>
      <c r="D141">
        <v>2</v>
      </c>
      <c r="F141">
        <v>1</v>
      </c>
      <c r="G141" t="s">
        <v>120</v>
      </c>
      <c r="H141" t="s">
        <v>69</v>
      </c>
      <c r="I141" t="s">
        <v>87</v>
      </c>
      <c r="K141" t="s">
        <v>45</v>
      </c>
      <c r="L141">
        <v>3</v>
      </c>
      <c r="N141">
        <v>1</v>
      </c>
      <c r="O141" t="s">
        <v>140</v>
      </c>
      <c r="P141" t="s">
        <v>141</v>
      </c>
      <c r="S141" t="s">
        <v>33</v>
      </c>
      <c r="T141">
        <v>1</v>
      </c>
      <c r="V141">
        <v>3</v>
      </c>
      <c r="W141" t="s">
        <v>34</v>
      </c>
      <c r="X141" t="s">
        <v>35</v>
      </c>
      <c r="AA141" t="s">
        <v>43</v>
      </c>
      <c r="AB141">
        <v>1</v>
      </c>
      <c r="AD141">
        <v>1</v>
      </c>
      <c r="AE141" t="s">
        <v>135</v>
      </c>
      <c r="AF141" t="s">
        <v>136</v>
      </c>
      <c r="AG141" t="s">
        <v>100</v>
      </c>
      <c r="AH141" t="s">
        <v>138</v>
      </c>
      <c r="AI141">
        <v>0</v>
      </c>
      <c r="AJ141">
        <v>17</v>
      </c>
    </row>
    <row r="142" spans="1:36" x14ac:dyDescent="0.25">
      <c r="A142" t="s">
        <v>969</v>
      </c>
      <c r="B142">
        <v>219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K142" t="s">
        <v>45</v>
      </c>
      <c r="L142">
        <v>3</v>
      </c>
      <c r="N142">
        <v>1</v>
      </c>
      <c r="O142" t="s">
        <v>86</v>
      </c>
      <c r="P142" t="s">
        <v>141</v>
      </c>
      <c r="S142" t="s">
        <v>33</v>
      </c>
      <c r="T142">
        <v>1</v>
      </c>
      <c r="V142">
        <v>2</v>
      </c>
      <c r="W142" t="s">
        <v>46</v>
      </c>
      <c r="AA142" t="s">
        <v>63</v>
      </c>
      <c r="AB142">
        <v>1</v>
      </c>
      <c r="AD142">
        <v>1</v>
      </c>
      <c r="AE142" t="s">
        <v>103</v>
      </c>
      <c r="AF142" t="s">
        <v>146</v>
      </c>
      <c r="AG142" t="s">
        <v>104</v>
      </c>
      <c r="AI142">
        <v>0</v>
      </c>
      <c r="AJ142">
        <v>13</v>
      </c>
    </row>
    <row r="143" spans="1:36" x14ac:dyDescent="0.25">
      <c r="A143" t="s">
        <v>970</v>
      </c>
      <c r="B143">
        <v>220</v>
      </c>
      <c r="C143" t="s">
        <v>33</v>
      </c>
      <c r="D143">
        <v>1</v>
      </c>
      <c r="F143">
        <v>3</v>
      </c>
      <c r="G143" t="s">
        <v>46</v>
      </c>
      <c r="K143" t="s">
        <v>38</v>
      </c>
      <c r="L143">
        <v>3</v>
      </c>
      <c r="M143">
        <v>3</v>
      </c>
      <c r="N143">
        <v>3</v>
      </c>
      <c r="O143" t="s">
        <v>39</v>
      </c>
      <c r="P143" t="s">
        <v>96</v>
      </c>
      <c r="Q143" t="s">
        <v>154</v>
      </c>
      <c r="R143" t="s">
        <v>156</v>
      </c>
      <c r="S143" t="s">
        <v>56</v>
      </c>
      <c r="T143">
        <v>3</v>
      </c>
      <c r="V143">
        <v>3</v>
      </c>
      <c r="W143" t="s">
        <v>57</v>
      </c>
      <c r="X143" t="s">
        <v>122</v>
      </c>
      <c r="Y143" t="s">
        <v>85</v>
      </c>
      <c r="Z143" t="s">
        <v>124</v>
      </c>
      <c r="AA143" t="s">
        <v>45</v>
      </c>
      <c r="AB143">
        <v>1</v>
      </c>
      <c r="AD143">
        <v>1</v>
      </c>
      <c r="AE143" t="s">
        <v>140</v>
      </c>
      <c r="AI143">
        <v>0</v>
      </c>
      <c r="AJ143">
        <v>25</v>
      </c>
    </row>
    <row r="144" spans="1:36" x14ac:dyDescent="0.25">
      <c r="A144" t="s">
        <v>971</v>
      </c>
      <c r="B144">
        <v>222</v>
      </c>
      <c r="C144" t="s">
        <v>43</v>
      </c>
      <c r="D144">
        <v>1</v>
      </c>
      <c r="F144">
        <v>2</v>
      </c>
      <c r="G144" t="s">
        <v>135</v>
      </c>
      <c r="H144" t="s">
        <v>136</v>
      </c>
      <c r="I144" t="s">
        <v>137</v>
      </c>
      <c r="J144" t="s">
        <v>139</v>
      </c>
      <c r="K144" t="s">
        <v>63</v>
      </c>
      <c r="L144">
        <v>3</v>
      </c>
      <c r="N144">
        <v>3</v>
      </c>
      <c r="O144" t="s">
        <v>145</v>
      </c>
      <c r="P144" t="s">
        <v>146</v>
      </c>
      <c r="Q144" t="s">
        <v>148</v>
      </c>
      <c r="R144" t="s">
        <v>150</v>
      </c>
      <c r="S144" t="s">
        <v>56</v>
      </c>
      <c r="T144">
        <v>2</v>
      </c>
      <c r="V144">
        <v>1</v>
      </c>
      <c r="W144" t="s">
        <v>57</v>
      </c>
      <c r="X144" t="s">
        <v>122</v>
      </c>
      <c r="AA144" t="s">
        <v>45</v>
      </c>
      <c r="AB144">
        <v>3</v>
      </c>
      <c r="AD144">
        <v>3</v>
      </c>
      <c r="AE144" t="s">
        <v>86</v>
      </c>
      <c r="AF144" t="s">
        <v>141</v>
      </c>
      <c r="AG144" t="s">
        <v>93</v>
      </c>
      <c r="AH144" t="s">
        <v>94</v>
      </c>
      <c r="AI144">
        <v>0</v>
      </c>
      <c r="AJ144">
        <v>27</v>
      </c>
    </row>
    <row r="145" spans="1:36" x14ac:dyDescent="0.25">
      <c r="A145" t="s">
        <v>972</v>
      </c>
      <c r="B145">
        <v>223</v>
      </c>
      <c r="C145" t="s">
        <v>43</v>
      </c>
      <c r="D145">
        <v>1</v>
      </c>
      <c r="F145">
        <v>2</v>
      </c>
      <c r="G145" t="s">
        <v>73</v>
      </c>
      <c r="H145" t="s">
        <v>136</v>
      </c>
      <c r="I145" t="s">
        <v>137</v>
      </c>
      <c r="J145" t="s">
        <v>101</v>
      </c>
      <c r="K145" t="s">
        <v>38</v>
      </c>
      <c r="L145">
        <v>2</v>
      </c>
      <c r="M145">
        <v>1</v>
      </c>
      <c r="N145">
        <v>2</v>
      </c>
      <c r="O145" t="s">
        <v>39</v>
      </c>
      <c r="P145" t="s">
        <v>96</v>
      </c>
      <c r="Q145" t="s">
        <v>154</v>
      </c>
      <c r="R145" t="s">
        <v>42</v>
      </c>
      <c r="S145" t="s">
        <v>56</v>
      </c>
      <c r="T145">
        <v>2</v>
      </c>
      <c r="V145">
        <v>2</v>
      </c>
      <c r="W145" t="s">
        <v>120</v>
      </c>
      <c r="X145" t="s">
        <v>122</v>
      </c>
      <c r="Y145" t="s">
        <v>87</v>
      </c>
      <c r="AA145" t="s">
        <v>45</v>
      </c>
      <c r="AB145">
        <v>2</v>
      </c>
      <c r="AD145">
        <v>1</v>
      </c>
      <c r="AE145" t="s">
        <v>140</v>
      </c>
      <c r="AI145">
        <v>0</v>
      </c>
      <c r="AJ145">
        <v>19</v>
      </c>
    </row>
    <row r="146" spans="1:36" x14ac:dyDescent="0.25">
      <c r="A146" t="s">
        <v>973</v>
      </c>
      <c r="B146">
        <v>225</v>
      </c>
      <c r="C146" t="s">
        <v>56</v>
      </c>
      <c r="D146">
        <v>3</v>
      </c>
      <c r="F146">
        <v>1</v>
      </c>
      <c r="G146" t="s">
        <v>57</v>
      </c>
      <c r="H146" t="s">
        <v>122</v>
      </c>
      <c r="I146" t="s">
        <v>85</v>
      </c>
      <c r="K146" t="s">
        <v>45</v>
      </c>
      <c r="L146">
        <v>3</v>
      </c>
      <c r="N146">
        <v>1</v>
      </c>
      <c r="O146" t="s">
        <v>86</v>
      </c>
      <c r="P146" t="s">
        <v>141</v>
      </c>
      <c r="Q146" t="s">
        <v>93</v>
      </c>
      <c r="S146" t="s">
        <v>63</v>
      </c>
      <c r="T146">
        <v>1</v>
      </c>
      <c r="V146">
        <v>2</v>
      </c>
      <c r="W146" t="s">
        <v>145</v>
      </c>
      <c r="X146" t="s">
        <v>146</v>
      </c>
      <c r="Y146" t="s">
        <v>104</v>
      </c>
      <c r="AA146" t="s">
        <v>38</v>
      </c>
      <c r="AB146">
        <v>1</v>
      </c>
      <c r="AC146">
        <v>1</v>
      </c>
      <c r="AD146">
        <v>2</v>
      </c>
      <c r="AE146" t="s">
        <v>39</v>
      </c>
      <c r="AF146" t="s">
        <v>96</v>
      </c>
      <c r="AI146">
        <v>0</v>
      </c>
      <c r="AJ146">
        <v>17</v>
      </c>
    </row>
    <row r="147" spans="1:36" x14ac:dyDescent="0.25">
      <c r="A147" t="s">
        <v>974</v>
      </c>
      <c r="B147">
        <v>228</v>
      </c>
      <c r="C147" t="s">
        <v>56</v>
      </c>
      <c r="D147">
        <v>3</v>
      </c>
      <c r="F147">
        <v>3</v>
      </c>
      <c r="G147" t="s">
        <v>120</v>
      </c>
      <c r="H147" t="s">
        <v>122</v>
      </c>
      <c r="I147" t="s">
        <v>123</v>
      </c>
      <c r="J147" t="s">
        <v>88</v>
      </c>
      <c r="K147" t="s">
        <v>63</v>
      </c>
      <c r="L147">
        <v>3</v>
      </c>
      <c r="N147">
        <v>3</v>
      </c>
      <c r="O147" t="s">
        <v>72</v>
      </c>
      <c r="P147" t="s">
        <v>146</v>
      </c>
      <c r="Q147" t="s">
        <v>147</v>
      </c>
      <c r="R147" t="s">
        <v>151</v>
      </c>
      <c r="S147" t="s">
        <v>48</v>
      </c>
      <c r="T147">
        <v>3</v>
      </c>
      <c r="V147">
        <v>3</v>
      </c>
      <c r="W147" t="s">
        <v>49</v>
      </c>
      <c r="X147" t="s">
        <v>50</v>
      </c>
      <c r="Y147" t="s">
        <v>127</v>
      </c>
      <c r="Z147" t="s">
        <v>129</v>
      </c>
      <c r="AA147" t="s">
        <v>33</v>
      </c>
      <c r="AB147">
        <v>2</v>
      </c>
      <c r="AD147">
        <v>2</v>
      </c>
      <c r="AE147" t="s">
        <v>34</v>
      </c>
      <c r="AI147">
        <v>0</v>
      </c>
      <c r="AJ147">
        <v>30</v>
      </c>
    </row>
    <row r="148" spans="1:36" x14ac:dyDescent="0.25">
      <c r="A148" t="s">
        <v>975</v>
      </c>
      <c r="B148">
        <v>229</v>
      </c>
      <c r="C148" t="s">
        <v>56</v>
      </c>
      <c r="D148">
        <v>2</v>
      </c>
      <c r="F148">
        <v>2</v>
      </c>
      <c r="G148" t="s">
        <v>120</v>
      </c>
      <c r="H148" t="s">
        <v>69</v>
      </c>
      <c r="K148" t="s">
        <v>63</v>
      </c>
      <c r="L148">
        <v>2</v>
      </c>
      <c r="N148">
        <v>1</v>
      </c>
      <c r="O148" t="s">
        <v>103</v>
      </c>
      <c r="P148" t="s">
        <v>91</v>
      </c>
      <c r="S148" t="s">
        <v>48</v>
      </c>
      <c r="T148">
        <v>3</v>
      </c>
      <c r="V148">
        <v>2</v>
      </c>
      <c r="W148" t="s">
        <v>49</v>
      </c>
      <c r="AA148" t="s">
        <v>43</v>
      </c>
      <c r="AB148">
        <v>1</v>
      </c>
      <c r="AD148">
        <v>1</v>
      </c>
      <c r="AE148" t="s">
        <v>73</v>
      </c>
      <c r="AF148" t="s">
        <v>99</v>
      </c>
      <c r="AG148" t="s">
        <v>137</v>
      </c>
      <c r="AH148" t="s">
        <v>101</v>
      </c>
      <c r="AI148">
        <v>0</v>
      </c>
      <c r="AJ148">
        <v>15</v>
      </c>
    </row>
    <row r="149" spans="1:36" x14ac:dyDescent="0.25">
      <c r="A149" t="s">
        <v>976</v>
      </c>
      <c r="B149">
        <v>230</v>
      </c>
      <c r="C149" t="s">
        <v>56</v>
      </c>
      <c r="D149">
        <v>3</v>
      </c>
      <c r="F149">
        <v>2</v>
      </c>
      <c r="G149" t="s">
        <v>120</v>
      </c>
      <c r="H149" t="s">
        <v>122</v>
      </c>
      <c r="K149" t="s">
        <v>63</v>
      </c>
      <c r="L149">
        <v>1</v>
      </c>
      <c r="N149">
        <v>1</v>
      </c>
      <c r="O149" t="s">
        <v>145</v>
      </c>
      <c r="P149" t="s">
        <v>91</v>
      </c>
      <c r="Q149" t="s">
        <v>104</v>
      </c>
      <c r="S149" t="s">
        <v>48</v>
      </c>
      <c r="T149">
        <v>2</v>
      </c>
      <c r="V149">
        <v>1</v>
      </c>
      <c r="W149" t="s">
        <v>49</v>
      </c>
      <c r="X149" t="s">
        <v>50</v>
      </c>
      <c r="Y149" t="s">
        <v>127</v>
      </c>
      <c r="Z149" t="s">
        <v>129</v>
      </c>
      <c r="AA149" t="s">
        <v>45</v>
      </c>
      <c r="AB149">
        <v>2</v>
      </c>
      <c r="AD149">
        <v>1</v>
      </c>
      <c r="AE149" t="s">
        <v>86</v>
      </c>
      <c r="AI149">
        <v>0</v>
      </c>
      <c r="AJ149">
        <v>15</v>
      </c>
    </row>
    <row r="150" spans="1:36" x14ac:dyDescent="0.25">
      <c r="A150" t="s">
        <v>977</v>
      </c>
      <c r="B150">
        <v>231</v>
      </c>
      <c r="C150" t="s">
        <v>56</v>
      </c>
      <c r="D150">
        <v>2</v>
      </c>
      <c r="F150">
        <v>1</v>
      </c>
      <c r="G150" t="s">
        <v>57</v>
      </c>
      <c r="H150" t="s">
        <v>121</v>
      </c>
      <c r="I150" t="s">
        <v>85</v>
      </c>
      <c r="K150" t="s">
        <v>63</v>
      </c>
      <c r="L150">
        <v>1</v>
      </c>
      <c r="N150">
        <v>1</v>
      </c>
      <c r="O150" t="s">
        <v>103</v>
      </c>
      <c r="P150" t="s">
        <v>91</v>
      </c>
      <c r="Q150" t="s">
        <v>147</v>
      </c>
      <c r="S150" t="s">
        <v>48</v>
      </c>
      <c r="T150">
        <v>2</v>
      </c>
      <c r="V150">
        <v>1</v>
      </c>
      <c r="W150" t="s">
        <v>49</v>
      </c>
      <c r="X150" t="s">
        <v>50</v>
      </c>
      <c r="Y150" t="s">
        <v>127</v>
      </c>
      <c r="AA150" t="s">
        <v>38</v>
      </c>
      <c r="AB150">
        <v>1</v>
      </c>
      <c r="AC150">
        <v>1</v>
      </c>
      <c r="AD150">
        <v>1</v>
      </c>
      <c r="AE150" t="s">
        <v>39</v>
      </c>
      <c r="AF150" t="s">
        <v>96</v>
      </c>
      <c r="AG150" t="s">
        <v>154</v>
      </c>
      <c r="AI150">
        <v>0</v>
      </c>
      <c r="AJ150">
        <v>14</v>
      </c>
    </row>
    <row r="151" spans="1:36" x14ac:dyDescent="0.25">
      <c r="A151" t="s">
        <v>978</v>
      </c>
      <c r="B151">
        <v>233</v>
      </c>
      <c r="C151" t="s">
        <v>56</v>
      </c>
      <c r="D151">
        <v>2</v>
      </c>
      <c r="F151">
        <v>2</v>
      </c>
      <c r="G151" t="s">
        <v>120</v>
      </c>
      <c r="H151" t="s">
        <v>122</v>
      </c>
      <c r="K151" t="s">
        <v>63</v>
      </c>
      <c r="L151">
        <v>2</v>
      </c>
      <c r="N151">
        <v>1</v>
      </c>
      <c r="O151" t="s">
        <v>72</v>
      </c>
      <c r="P151" t="s">
        <v>95</v>
      </c>
      <c r="S151" t="s">
        <v>33</v>
      </c>
      <c r="T151">
        <v>2</v>
      </c>
      <c r="V151">
        <v>2</v>
      </c>
      <c r="W151" t="s">
        <v>34</v>
      </c>
      <c r="X151" t="s">
        <v>35</v>
      </c>
      <c r="AA151" t="s">
        <v>43</v>
      </c>
      <c r="AB151">
        <v>2</v>
      </c>
      <c r="AD151">
        <v>1</v>
      </c>
      <c r="AE151" t="s">
        <v>135</v>
      </c>
      <c r="AI151">
        <v>0</v>
      </c>
      <c r="AJ151">
        <v>14</v>
      </c>
    </row>
    <row r="152" spans="1:36" x14ac:dyDescent="0.25">
      <c r="A152" t="s">
        <v>979</v>
      </c>
      <c r="B152">
        <v>234</v>
      </c>
      <c r="C152" t="s">
        <v>56</v>
      </c>
      <c r="D152">
        <v>3</v>
      </c>
      <c r="F152">
        <v>1</v>
      </c>
      <c r="G152" t="s">
        <v>68</v>
      </c>
      <c r="K152" t="s">
        <v>63</v>
      </c>
      <c r="L152">
        <v>1</v>
      </c>
      <c r="N152">
        <v>2</v>
      </c>
      <c r="O152" t="s">
        <v>145</v>
      </c>
      <c r="P152" t="s">
        <v>146</v>
      </c>
      <c r="S152" t="s">
        <v>33</v>
      </c>
      <c r="T152">
        <v>2</v>
      </c>
      <c r="V152">
        <v>2</v>
      </c>
      <c r="W152" t="s">
        <v>34</v>
      </c>
      <c r="AA152" t="s">
        <v>45</v>
      </c>
      <c r="AB152">
        <v>3</v>
      </c>
      <c r="AD152">
        <v>1</v>
      </c>
      <c r="AE152" t="s">
        <v>86</v>
      </c>
      <c r="AF152" t="s">
        <v>141</v>
      </c>
      <c r="AI152">
        <v>0</v>
      </c>
      <c r="AJ152">
        <v>14</v>
      </c>
    </row>
    <row r="153" spans="1:36" x14ac:dyDescent="0.25">
      <c r="A153" t="s">
        <v>980</v>
      </c>
      <c r="B153">
        <v>235</v>
      </c>
      <c r="C153" t="s">
        <v>56</v>
      </c>
      <c r="D153">
        <v>2</v>
      </c>
      <c r="F153">
        <v>1</v>
      </c>
      <c r="G153" t="s">
        <v>57</v>
      </c>
      <c r="H153" t="s">
        <v>122</v>
      </c>
      <c r="I153" t="s">
        <v>85</v>
      </c>
      <c r="J153" t="s">
        <v>125</v>
      </c>
      <c r="K153" t="s">
        <v>63</v>
      </c>
      <c r="L153">
        <v>1</v>
      </c>
      <c r="N153">
        <v>2</v>
      </c>
      <c r="O153" t="s">
        <v>72</v>
      </c>
      <c r="P153" t="s">
        <v>95</v>
      </c>
      <c r="Q153" t="s">
        <v>148</v>
      </c>
      <c r="R153" t="s">
        <v>151</v>
      </c>
      <c r="S153" t="s">
        <v>33</v>
      </c>
      <c r="T153">
        <v>2</v>
      </c>
      <c r="V153">
        <v>2</v>
      </c>
      <c r="W153" t="s">
        <v>34</v>
      </c>
      <c r="AA153" t="s">
        <v>38</v>
      </c>
      <c r="AB153">
        <v>2</v>
      </c>
      <c r="AC153">
        <v>1</v>
      </c>
      <c r="AD153">
        <v>2</v>
      </c>
      <c r="AE153" t="s">
        <v>39</v>
      </c>
      <c r="AF153" t="s">
        <v>96</v>
      </c>
      <c r="AG153" t="s">
        <v>153</v>
      </c>
      <c r="AH153" t="s">
        <v>42</v>
      </c>
      <c r="AI153">
        <v>0</v>
      </c>
      <c r="AJ153">
        <v>20</v>
      </c>
    </row>
    <row r="154" spans="1:36" x14ac:dyDescent="0.25">
      <c r="A154" t="s">
        <v>981</v>
      </c>
      <c r="B154">
        <v>237</v>
      </c>
      <c r="C154" t="s">
        <v>56</v>
      </c>
      <c r="D154">
        <v>1</v>
      </c>
      <c r="F154">
        <v>2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1</v>
      </c>
      <c r="O154" t="s">
        <v>145</v>
      </c>
      <c r="P154" t="s">
        <v>146</v>
      </c>
      <c r="S154" t="s">
        <v>43</v>
      </c>
      <c r="T154">
        <v>1</v>
      </c>
      <c r="V154">
        <v>1</v>
      </c>
      <c r="W154" t="s">
        <v>73</v>
      </c>
      <c r="X154" t="s">
        <v>99</v>
      </c>
      <c r="Y154" t="s">
        <v>75</v>
      </c>
      <c r="Z154" t="s">
        <v>101</v>
      </c>
      <c r="AA154" t="s">
        <v>45</v>
      </c>
      <c r="AB154">
        <v>3</v>
      </c>
      <c r="AD154">
        <v>1</v>
      </c>
      <c r="AE154" t="s">
        <v>86</v>
      </c>
      <c r="AI154">
        <v>0</v>
      </c>
      <c r="AJ154">
        <v>13</v>
      </c>
    </row>
    <row r="155" spans="1:36" x14ac:dyDescent="0.25">
      <c r="A155" t="s">
        <v>982</v>
      </c>
      <c r="B155">
        <v>238</v>
      </c>
      <c r="C155" t="s">
        <v>56</v>
      </c>
      <c r="D155">
        <v>3</v>
      </c>
      <c r="F155">
        <v>3</v>
      </c>
      <c r="G155" t="s">
        <v>120</v>
      </c>
      <c r="H155" t="s">
        <v>69</v>
      </c>
      <c r="I155" t="s">
        <v>87</v>
      </c>
      <c r="J155" t="s">
        <v>125</v>
      </c>
      <c r="K155" t="s">
        <v>63</v>
      </c>
      <c r="L155">
        <v>3</v>
      </c>
      <c r="N155">
        <v>2</v>
      </c>
      <c r="O155" t="s">
        <v>103</v>
      </c>
      <c r="P155" t="s">
        <v>91</v>
      </c>
      <c r="Q155" t="s">
        <v>147</v>
      </c>
      <c r="R155" t="s">
        <v>151</v>
      </c>
      <c r="S155" t="s">
        <v>43</v>
      </c>
      <c r="T155">
        <v>1</v>
      </c>
      <c r="V155">
        <v>1</v>
      </c>
      <c r="W155" t="s">
        <v>73</v>
      </c>
      <c r="X155" t="s">
        <v>136</v>
      </c>
      <c r="Y155" t="s">
        <v>75</v>
      </c>
      <c r="AA155" t="s">
        <v>38</v>
      </c>
      <c r="AB155">
        <v>2</v>
      </c>
      <c r="AC155">
        <v>2</v>
      </c>
      <c r="AD155">
        <v>3</v>
      </c>
      <c r="AE155" t="s">
        <v>39</v>
      </c>
      <c r="AF155" t="s">
        <v>96</v>
      </c>
      <c r="AG155" t="s">
        <v>154</v>
      </c>
      <c r="AH155" t="s">
        <v>156</v>
      </c>
      <c r="AI155">
        <v>0</v>
      </c>
      <c r="AJ155">
        <v>27</v>
      </c>
    </row>
    <row r="156" spans="1:36" x14ac:dyDescent="0.25">
      <c r="A156" t="s">
        <v>983</v>
      </c>
      <c r="B156">
        <v>240</v>
      </c>
      <c r="C156" t="s">
        <v>56</v>
      </c>
      <c r="D156">
        <v>2</v>
      </c>
      <c r="F156">
        <v>1</v>
      </c>
      <c r="G156" t="s">
        <v>57</v>
      </c>
      <c r="H156" t="s">
        <v>122</v>
      </c>
      <c r="I156" t="s">
        <v>87</v>
      </c>
      <c r="J156" t="s">
        <v>125</v>
      </c>
      <c r="K156" t="s">
        <v>63</v>
      </c>
      <c r="L156">
        <v>1</v>
      </c>
      <c r="N156">
        <v>1</v>
      </c>
      <c r="O156" t="s">
        <v>103</v>
      </c>
      <c r="P156" t="s">
        <v>146</v>
      </c>
      <c r="Q156" t="s">
        <v>148</v>
      </c>
      <c r="R156" t="s">
        <v>150</v>
      </c>
      <c r="S156" t="s">
        <v>45</v>
      </c>
      <c r="T156">
        <v>3</v>
      </c>
      <c r="V156">
        <v>1</v>
      </c>
      <c r="W156" t="s">
        <v>86</v>
      </c>
      <c r="X156" t="s">
        <v>141</v>
      </c>
      <c r="Y156" t="s">
        <v>102</v>
      </c>
      <c r="Z156" t="s">
        <v>144</v>
      </c>
      <c r="AA156" t="s">
        <v>38</v>
      </c>
      <c r="AB156">
        <v>1</v>
      </c>
      <c r="AC156">
        <v>1</v>
      </c>
      <c r="AD156">
        <v>1</v>
      </c>
      <c r="AE156" t="s">
        <v>39</v>
      </c>
      <c r="AF156" t="s">
        <v>96</v>
      </c>
      <c r="AG156" t="s">
        <v>153</v>
      </c>
      <c r="AI156">
        <v>0</v>
      </c>
      <c r="AJ156">
        <v>19</v>
      </c>
    </row>
    <row r="157" spans="1:36" x14ac:dyDescent="0.25">
      <c r="A157" t="s">
        <v>984</v>
      </c>
      <c r="B157">
        <v>243</v>
      </c>
      <c r="C157" t="s">
        <v>48</v>
      </c>
      <c r="D157">
        <v>3</v>
      </c>
      <c r="F157">
        <v>2</v>
      </c>
      <c r="G157" t="s">
        <v>126</v>
      </c>
      <c r="H157" t="s">
        <v>84</v>
      </c>
      <c r="I157" t="s">
        <v>127</v>
      </c>
      <c r="J157" t="s">
        <v>52</v>
      </c>
      <c r="K157" t="s">
        <v>33</v>
      </c>
      <c r="L157">
        <v>1</v>
      </c>
      <c r="N157">
        <v>2</v>
      </c>
      <c r="O157" t="s">
        <v>46</v>
      </c>
      <c r="P157" t="s">
        <v>66</v>
      </c>
      <c r="S157" t="s">
        <v>56</v>
      </c>
      <c r="T157">
        <v>3</v>
      </c>
      <c r="V157">
        <v>2</v>
      </c>
      <c r="W157" t="s">
        <v>120</v>
      </c>
      <c r="X157" t="s">
        <v>69</v>
      </c>
      <c r="Y157" t="s">
        <v>87</v>
      </c>
      <c r="Z157" t="s">
        <v>124</v>
      </c>
      <c r="AA157" t="s">
        <v>38</v>
      </c>
      <c r="AB157">
        <v>1</v>
      </c>
      <c r="AC157">
        <v>1</v>
      </c>
      <c r="AD157">
        <v>2</v>
      </c>
      <c r="AE157" t="s">
        <v>39</v>
      </c>
      <c r="AF157" t="s">
        <v>96</v>
      </c>
      <c r="AI157">
        <v>0</v>
      </c>
      <c r="AJ157">
        <v>21</v>
      </c>
    </row>
    <row r="158" spans="1:36" x14ac:dyDescent="0.25">
      <c r="A158" t="s">
        <v>985</v>
      </c>
      <c r="B158">
        <v>244</v>
      </c>
      <c r="C158" t="s">
        <v>48</v>
      </c>
      <c r="D158">
        <v>2</v>
      </c>
      <c r="F158">
        <v>2</v>
      </c>
      <c r="G158" t="s">
        <v>49</v>
      </c>
      <c r="H158" t="s">
        <v>50</v>
      </c>
      <c r="I158" t="s">
        <v>127</v>
      </c>
      <c r="J158" t="s">
        <v>129</v>
      </c>
      <c r="K158" t="s">
        <v>43</v>
      </c>
      <c r="L158">
        <v>3</v>
      </c>
      <c r="N158">
        <v>1</v>
      </c>
      <c r="O158" t="s">
        <v>73</v>
      </c>
      <c r="P158" t="s">
        <v>99</v>
      </c>
      <c r="Q158" t="s">
        <v>137</v>
      </c>
      <c r="R158" t="s">
        <v>139</v>
      </c>
      <c r="S158" t="s">
        <v>56</v>
      </c>
      <c r="T158">
        <v>2</v>
      </c>
      <c r="V158">
        <v>1</v>
      </c>
      <c r="W158" t="s">
        <v>120</v>
      </c>
      <c r="AA158" t="s">
        <v>38</v>
      </c>
      <c r="AB158">
        <v>1</v>
      </c>
      <c r="AC158">
        <v>2</v>
      </c>
      <c r="AD158">
        <v>2</v>
      </c>
      <c r="AE158" t="s">
        <v>39</v>
      </c>
      <c r="AF158" t="s">
        <v>40</v>
      </c>
      <c r="AG158" t="s">
        <v>153</v>
      </c>
      <c r="AH158" t="s">
        <v>155</v>
      </c>
      <c r="AI158">
        <v>0</v>
      </c>
      <c r="AJ158">
        <v>21</v>
      </c>
    </row>
    <row r="159" spans="1:36" x14ac:dyDescent="0.25">
      <c r="A159" t="s">
        <v>986</v>
      </c>
      <c r="B159">
        <v>245</v>
      </c>
      <c r="C159" t="s">
        <v>48</v>
      </c>
      <c r="D159">
        <v>2</v>
      </c>
      <c r="F159">
        <v>1</v>
      </c>
      <c r="G159" t="s">
        <v>49</v>
      </c>
      <c r="H159" t="s">
        <v>71</v>
      </c>
      <c r="I159" t="s">
        <v>127</v>
      </c>
      <c r="J159" t="s">
        <v>52</v>
      </c>
      <c r="K159" t="s">
        <v>45</v>
      </c>
      <c r="L159">
        <v>3</v>
      </c>
      <c r="N159">
        <v>2</v>
      </c>
      <c r="O159" t="s">
        <v>140</v>
      </c>
      <c r="S159" t="s">
        <v>56</v>
      </c>
      <c r="T159">
        <v>3</v>
      </c>
      <c r="V159">
        <v>1</v>
      </c>
      <c r="W159" t="s">
        <v>120</v>
      </c>
      <c r="X159" t="s">
        <v>69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F159" t="s">
        <v>96</v>
      </c>
      <c r="AI159">
        <v>0</v>
      </c>
      <c r="AJ159">
        <v>16</v>
      </c>
    </row>
    <row r="160" spans="1:36" x14ac:dyDescent="0.25">
      <c r="A160" t="s">
        <v>987</v>
      </c>
      <c r="B160">
        <v>246</v>
      </c>
      <c r="C160" t="s">
        <v>48</v>
      </c>
      <c r="D160">
        <v>3</v>
      </c>
      <c r="F160">
        <v>3</v>
      </c>
      <c r="G160" t="s">
        <v>49</v>
      </c>
      <c r="H160" t="s">
        <v>50</v>
      </c>
      <c r="I160" t="s">
        <v>127</v>
      </c>
      <c r="J160" t="s">
        <v>128</v>
      </c>
      <c r="K160" t="s">
        <v>63</v>
      </c>
      <c r="L160">
        <v>1</v>
      </c>
      <c r="N160">
        <v>2</v>
      </c>
      <c r="O160" t="s">
        <v>103</v>
      </c>
      <c r="P160" t="s">
        <v>146</v>
      </c>
      <c r="S160" t="s">
        <v>56</v>
      </c>
      <c r="T160">
        <v>3</v>
      </c>
      <c r="V160">
        <v>1</v>
      </c>
      <c r="W160" t="s">
        <v>57</v>
      </c>
      <c r="X160" t="s">
        <v>122</v>
      </c>
      <c r="AA160" t="s">
        <v>38</v>
      </c>
      <c r="AB160">
        <v>3</v>
      </c>
      <c r="AC160">
        <v>2</v>
      </c>
      <c r="AD160">
        <v>3</v>
      </c>
      <c r="AE160" t="s">
        <v>39</v>
      </c>
      <c r="AF160" t="s">
        <v>40</v>
      </c>
      <c r="AG160" t="s">
        <v>153</v>
      </c>
      <c r="AH160" t="s">
        <v>42</v>
      </c>
      <c r="AI160">
        <v>0</v>
      </c>
      <c r="AJ160">
        <v>25</v>
      </c>
    </row>
    <row r="161" spans="1:36" x14ac:dyDescent="0.25">
      <c r="A161" t="s">
        <v>988</v>
      </c>
      <c r="B161">
        <v>248</v>
      </c>
      <c r="C161" t="s">
        <v>56</v>
      </c>
      <c r="D161">
        <v>2</v>
      </c>
      <c r="F161">
        <v>1</v>
      </c>
      <c r="G161" t="s">
        <v>68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67</v>
      </c>
      <c r="P161" t="s">
        <v>70</v>
      </c>
      <c r="Q161" t="s">
        <v>41</v>
      </c>
      <c r="S161" t="s">
        <v>33</v>
      </c>
      <c r="T161">
        <v>1</v>
      </c>
      <c r="V161">
        <v>1</v>
      </c>
      <c r="W161" t="s">
        <v>46</v>
      </c>
      <c r="AA161" t="s">
        <v>43</v>
      </c>
      <c r="AB161">
        <v>1</v>
      </c>
      <c r="AD161">
        <v>1</v>
      </c>
      <c r="AE161" t="s">
        <v>73</v>
      </c>
      <c r="AF161" t="s">
        <v>99</v>
      </c>
      <c r="AG161" t="s">
        <v>100</v>
      </c>
      <c r="AI161">
        <v>0</v>
      </c>
      <c r="AJ161">
        <v>13</v>
      </c>
    </row>
    <row r="162" spans="1:36" x14ac:dyDescent="0.25">
      <c r="A162" t="s">
        <v>989</v>
      </c>
      <c r="B162">
        <v>249</v>
      </c>
      <c r="C162" t="s">
        <v>56</v>
      </c>
      <c r="D162">
        <v>1</v>
      </c>
      <c r="F162">
        <v>3</v>
      </c>
      <c r="G162" t="s">
        <v>68</v>
      </c>
      <c r="H162" t="s">
        <v>69</v>
      </c>
      <c r="I162" t="s">
        <v>87</v>
      </c>
      <c r="K162" t="s">
        <v>38</v>
      </c>
      <c r="L162">
        <v>1</v>
      </c>
      <c r="M162">
        <v>3</v>
      </c>
      <c r="N162">
        <v>2</v>
      </c>
      <c r="O162" t="s">
        <v>67</v>
      </c>
      <c r="P162" t="s">
        <v>96</v>
      </c>
      <c r="S162" t="s">
        <v>33</v>
      </c>
      <c r="T162">
        <v>1</v>
      </c>
      <c r="V162">
        <v>2</v>
      </c>
      <c r="W162" t="s">
        <v>46</v>
      </c>
      <c r="AA162" t="s">
        <v>45</v>
      </c>
      <c r="AB162">
        <v>3</v>
      </c>
      <c r="AD162">
        <v>2</v>
      </c>
      <c r="AE162" t="s">
        <v>140</v>
      </c>
      <c r="AF162" t="s">
        <v>76</v>
      </c>
      <c r="AI162">
        <v>0</v>
      </c>
      <c r="AJ162">
        <v>17</v>
      </c>
    </row>
    <row r="163" spans="1:36" x14ac:dyDescent="0.25">
      <c r="A163" t="s">
        <v>990</v>
      </c>
      <c r="B163">
        <v>250</v>
      </c>
      <c r="C163" t="s">
        <v>33</v>
      </c>
      <c r="D163">
        <v>1</v>
      </c>
      <c r="F163">
        <v>1</v>
      </c>
      <c r="G163" t="s">
        <v>46</v>
      </c>
      <c r="H163" t="s">
        <v>66</v>
      </c>
      <c r="K163" t="s">
        <v>63</v>
      </c>
      <c r="L163">
        <v>3</v>
      </c>
      <c r="N163">
        <v>2</v>
      </c>
      <c r="O163" t="s">
        <v>103</v>
      </c>
      <c r="P163" t="s">
        <v>146</v>
      </c>
      <c r="Q163" t="s">
        <v>104</v>
      </c>
      <c r="R163" t="s">
        <v>150</v>
      </c>
      <c r="S163" t="s">
        <v>56</v>
      </c>
      <c r="T163">
        <v>3</v>
      </c>
      <c r="V163">
        <v>2</v>
      </c>
      <c r="W163" t="s">
        <v>57</v>
      </c>
      <c r="X163" t="s">
        <v>122</v>
      </c>
      <c r="Y163" t="s">
        <v>87</v>
      </c>
      <c r="Z163" t="s">
        <v>124</v>
      </c>
      <c r="AA163" t="s">
        <v>38</v>
      </c>
      <c r="AB163">
        <v>1</v>
      </c>
      <c r="AC163">
        <v>1</v>
      </c>
      <c r="AD163">
        <v>1</v>
      </c>
      <c r="AE163" t="s">
        <v>39</v>
      </c>
      <c r="AF163" t="s">
        <v>40</v>
      </c>
      <c r="AI163">
        <v>0</v>
      </c>
      <c r="AJ163">
        <v>18</v>
      </c>
    </row>
    <row r="164" spans="1:36" x14ac:dyDescent="0.25">
      <c r="A164" t="s">
        <v>991</v>
      </c>
      <c r="B164">
        <v>252</v>
      </c>
      <c r="C164" t="s">
        <v>43</v>
      </c>
      <c r="D164">
        <v>2</v>
      </c>
      <c r="F164">
        <v>1</v>
      </c>
      <c r="G164" t="s">
        <v>44</v>
      </c>
      <c r="K164" t="s">
        <v>45</v>
      </c>
      <c r="L164">
        <v>3</v>
      </c>
      <c r="N164">
        <v>1</v>
      </c>
      <c r="O164" t="s">
        <v>140</v>
      </c>
      <c r="P164" t="s">
        <v>141</v>
      </c>
      <c r="S164" t="s">
        <v>56</v>
      </c>
      <c r="T164">
        <v>2</v>
      </c>
      <c r="V164">
        <v>1</v>
      </c>
      <c r="W164" t="s">
        <v>120</v>
      </c>
      <c r="X164" t="s">
        <v>122</v>
      </c>
      <c r="AA164" t="s">
        <v>38</v>
      </c>
      <c r="AB164">
        <v>1</v>
      </c>
      <c r="AC164">
        <v>1</v>
      </c>
      <c r="AD164">
        <v>2</v>
      </c>
      <c r="AE164" t="s">
        <v>39</v>
      </c>
      <c r="AF164" t="s">
        <v>40</v>
      </c>
      <c r="AI164">
        <v>0</v>
      </c>
      <c r="AJ164">
        <v>12</v>
      </c>
    </row>
    <row r="165" spans="1:36" x14ac:dyDescent="0.25">
      <c r="A165" t="s">
        <v>992</v>
      </c>
      <c r="B165">
        <v>253</v>
      </c>
      <c r="C165" t="s">
        <v>43</v>
      </c>
      <c r="D165">
        <v>2</v>
      </c>
      <c r="F165">
        <v>1</v>
      </c>
      <c r="G165" t="s">
        <v>44</v>
      </c>
      <c r="K165" t="s">
        <v>63</v>
      </c>
      <c r="L165">
        <v>2</v>
      </c>
      <c r="N165">
        <v>1</v>
      </c>
      <c r="O165" t="s">
        <v>103</v>
      </c>
      <c r="P165" t="s">
        <v>146</v>
      </c>
      <c r="Q165" t="s">
        <v>104</v>
      </c>
      <c r="S165" t="s">
        <v>56</v>
      </c>
      <c r="T165">
        <v>3</v>
      </c>
      <c r="V165">
        <v>1</v>
      </c>
      <c r="W165" t="s">
        <v>120</v>
      </c>
      <c r="X165" t="s">
        <v>69</v>
      </c>
      <c r="AA165" t="s">
        <v>38</v>
      </c>
      <c r="AB165">
        <v>1</v>
      </c>
      <c r="AC165">
        <v>1</v>
      </c>
      <c r="AD165">
        <v>2</v>
      </c>
      <c r="AE165" t="s">
        <v>39</v>
      </c>
      <c r="AI165">
        <v>0</v>
      </c>
      <c r="AJ165">
        <v>12</v>
      </c>
    </row>
    <row r="166" spans="1:36" x14ac:dyDescent="0.25">
      <c r="A166" t="s">
        <v>993</v>
      </c>
      <c r="B166">
        <v>255</v>
      </c>
      <c r="C166" t="s">
        <v>45</v>
      </c>
      <c r="D166">
        <v>3</v>
      </c>
      <c r="F166">
        <v>2</v>
      </c>
      <c r="G166" t="s">
        <v>140</v>
      </c>
      <c r="H166" t="s">
        <v>76</v>
      </c>
      <c r="I166" t="s">
        <v>102</v>
      </c>
      <c r="K166" t="s">
        <v>63</v>
      </c>
      <c r="L166">
        <v>1</v>
      </c>
      <c r="N166">
        <v>1</v>
      </c>
      <c r="O166" t="s">
        <v>103</v>
      </c>
      <c r="P166" t="s">
        <v>146</v>
      </c>
      <c r="Q166" t="s">
        <v>147</v>
      </c>
      <c r="S166" t="s">
        <v>56</v>
      </c>
      <c r="T166">
        <v>3</v>
      </c>
      <c r="V166">
        <v>1</v>
      </c>
      <c r="W166" t="s">
        <v>57</v>
      </c>
      <c r="X166" t="s">
        <v>122</v>
      </c>
      <c r="Y166" t="s">
        <v>85</v>
      </c>
      <c r="AA166" t="s">
        <v>38</v>
      </c>
      <c r="AB166">
        <v>1</v>
      </c>
      <c r="AC166">
        <v>1</v>
      </c>
      <c r="AD166">
        <v>2</v>
      </c>
      <c r="AE166" t="s">
        <v>39</v>
      </c>
      <c r="AF166" t="s">
        <v>96</v>
      </c>
      <c r="AG166" t="s">
        <v>153</v>
      </c>
      <c r="AH166" t="s">
        <v>155</v>
      </c>
      <c r="AI166">
        <v>0</v>
      </c>
      <c r="AJ166">
        <v>19</v>
      </c>
    </row>
    <row r="167" spans="1:36" x14ac:dyDescent="0.25">
      <c r="A167" t="s">
        <v>994</v>
      </c>
      <c r="B167">
        <v>273</v>
      </c>
      <c r="C167" t="s">
        <v>43</v>
      </c>
      <c r="D167">
        <v>3</v>
      </c>
      <c r="F167">
        <v>1</v>
      </c>
      <c r="G167" t="s">
        <v>44</v>
      </c>
      <c r="H167" t="s">
        <v>99</v>
      </c>
      <c r="I167" t="s">
        <v>75</v>
      </c>
      <c r="J167" t="s">
        <v>139</v>
      </c>
      <c r="K167" t="s">
        <v>45</v>
      </c>
      <c r="L167">
        <v>3</v>
      </c>
      <c r="N167">
        <v>1</v>
      </c>
      <c r="O167" t="s">
        <v>86</v>
      </c>
      <c r="P167" t="s">
        <v>141</v>
      </c>
      <c r="Q167" t="s">
        <v>93</v>
      </c>
      <c r="R167" t="s">
        <v>143</v>
      </c>
      <c r="S167" t="s">
        <v>48</v>
      </c>
      <c r="T167">
        <v>1</v>
      </c>
      <c r="V167">
        <v>2</v>
      </c>
      <c r="W167" t="s">
        <v>126</v>
      </c>
      <c r="X167" t="s">
        <v>84</v>
      </c>
      <c r="Y167" t="s">
        <v>90</v>
      </c>
      <c r="Z167" t="s">
        <v>128</v>
      </c>
      <c r="AA167" t="s">
        <v>33</v>
      </c>
      <c r="AB167">
        <v>1</v>
      </c>
      <c r="AD167">
        <v>2</v>
      </c>
      <c r="AE167" t="s">
        <v>34</v>
      </c>
      <c r="AI167">
        <v>0</v>
      </c>
      <c r="AJ167">
        <v>19</v>
      </c>
    </row>
    <row r="168" spans="1:36" x14ac:dyDescent="0.25">
      <c r="A168" t="s">
        <v>995</v>
      </c>
      <c r="B168">
        <v>274</v>
      </c>
      <c r="C168" t="s">
        <v>43</v>
      </c>
      <c r="D168">
        <v>3</v>
      </c>
      <c r="F168">
        <v>2</v>
      </c>
      <c r="G168" t="s">
        <v>135</v>
      </c>
      <c r="H168" t="s">
        <v>136</v>
      </c>
      <c r="I168" t="s">
        <v>100</v>
      </c>
      <c r="J168" t="s">
        <v>139</v>
      </c>
      <c r="K168" t="s">
        <v>63</v>
      </c>
      <c r="L168">
        <v>3</v>
      </c>
      <c r="N168">
        <v>1</v>
      </c>
      <c r="O168" t="s">
        <v>72</v>
      </c>
      <c r="P168" t="s">
        <v>91</v>
      </c>
      <c r="Q168" t="s">
        <v>148</v>
      </c>
      <c r="R168" t="s">
        <v>151</v>
      </c>
      <c r="S168" t="s">
        <v>48</v>
      </c>
      <c r="T168">
        <v>3</v>
      </c>
      <c r="V168">
        <v>2</v>
      </c>
      <c r="W168" t="s">
        <v>49</v>
      </c>
      <c r="X168" t="s">
        <v>50</v>
      </c>
      <c r="Y168" t="s">
        <v>127</v>
      </c>
      <c r="Z168" t="s">
        <v>129</v>
      </c>
      <c r="AA168" t="s">
        <v>33</v>
      </c>
      <c r="AB168">
        <v>1</v>
      </c>
      <c r="AD168">
        <v>2</v>
      </c>
      <c r="AE168" t="s">
        <v>34</v>
      </c>
      <c r="AI168">
        <v>0</v>
      </c>
      <c r="AJ168">
        <v>23</v>
      </c>
    </row>
    <row r="169" spans="1:36" x14ac:dyDescent="0.25">
      <c r="A169" t="s">
        <v>996</v>
      </c>
      <c r="B169">
        <v>275</v>
      </c>
      <c r="C169" t="s">
        <v>43</v>
      </c>
      <c r="D169">
        <v>3</v>
      </c>
      <c r="F169">
        <v>3</v>
      </c>
      <c r="G169" t="s">
        <v>135</v>
      </c>
      <c r="H169" t="s">
        <v>99</v>
      </c>
      <c r="I169" t="s">
        <v>137</v>
      </c>
      <c r="J169" t="s">
        <v>139</v>
      </c>
      <c r="K169" t="s">
        <v>38</v>
      </c>
      <c r="L169">
        <v>3</v>
      </c>
      <c r="M169">
        <v>3</v>
      </c>
      <c r="N169">
        <v>3</v>
      </c>
      <c r="O169" t="s">
        <v>39</v>
      </c>
      <c r="P169" t="s">
        <v>96</v>
      </c>
      <c r="Q169" t="s">
        <v>154</v>
      </c>
      <c r="R169" t="s">
        <v>42</v>
      </c>
      <c r="S169" t="s">
        <v>48</v>
      </c>
      <c r="T169">
        <v>3</v>
      </c>
      <c r="V169">
        <v>3</v>
      </c>
      <c r="W169" t="s">
        <v>126</v>
      </c>
      <c r="X169" t="s">
        <v>84</v>
      </c>
      <c r="Y169" t="s">
        <v>90</v>
      </c>
      <c r="Z169" t="s">
        <v>52</v>
      </c>
      <c r="AA169" t="s">
        <v>33</v>
      </c>
      <c r="AB169">
        <v>1</v>
      </c>
      <c r="AD169">
        <v>2</v>
      </c>
      <c r="AE169" t="s">
        <v>65</v>
      </c>
      <c r="AI169">
        <v>0</v>
      </c>
      <c r="AJ169">
        <v>46</v>
      </c>
    </row>
    <row r="170" spans="1:36" x14ac:dyDescent="0.25">
      <c r="A170" t="s">
        <v>997</v>
      </c>
      <c r="B170">
        <v>277</v>
      </c>
      <c r="C170" t="s">
        <v>45</v>
      </c>
      <c r="D170">
        <v>3</v>
      </c>
      <c r="F170">
        <v>1</v>
      </c>
      <c r="G170" t="s">
        <v>140</v>
      </c>
      <c r="H170" t="s">
        <v>76</v>
      </c>
      <c r="K170" t="s">
        <v>63</v>
      </c>
      <c r="L170">
        <v>1</v>
      </c>
      <c r="N170">
        <v>1</v>
      </c>
      <c r="O170" t="s">
        <v>145</v>
      </c>
      <c r="P170" t="s">
        <v>91</v>
      </c>
      <c r="Q170" t="s">
        <v>148</v>
      </c>
      <c r="R170" t="s">
        <v>151</v>
      </c>
      <c r="S170" t="s">
        <v>48</v>
      </c>
      <c r="T170">
        <v>1</v>
      </c>
      <c r="V170">
        <v>1</v>
      </c>
      <c r="W170" t="s">
        <v>49</v>
      </c>
      <c r="X170" t="s">
        <v>84</v>
      </c>
      <c r="Y170" t="s">
        <v>127</v>
      </c>
      <c r="Z170" t="s">
        <v>52</v>
      </c>
      <c r="AA170" t="s">
        <v>33</v>
      </c>
      <c r="AB170">
        <v>2</v>
      </c>
      <c r="AD170">
        <v>2</v>
      </c>
      <c r="AE170" t="s">
        <v>34</v>
      </c>
      <c r="AI170">
        <v>0</v>
      </c>
      <c r="AJ170">
        <v>16</v>
      </c>
    </row>
    <row r="171" spans="1:36" x14ac:dyDescent="0.25">
      <c r="A171" t="s">
        <v>998</v>
      </c>
      <c r="B171">
        <v>278</v>
      </c>
      <c r="C171" t="s">
        <v>48</v>
      </c>
      <c r="D171">
        <v>3</v>
      </c>
      <c r="F171">
        <v>3</v>
      </c>
      <c r="G171" t="s">
        <v>126</v>
      </c>
      <c r="H171" t="s">
        <v>84</v>
      </c>
      <c r="I171" t="s">
        <v>90</v>
      </c>
      <c r="J171" t="s">
        <v>128</v>
      </c>
      <c r="K171" t="s">
        <v>33</v>
      </c>
      <c r="L171">
        <v>1</v>
      </c>
      <c r="N171">
        <v>1</v>
      </c>
      <c r="O171" t="s">
        <v>46</v>
      </c>
      <c r="S171" t="s">
        <v>45</v>
      </c>
      <c r="T171">
        <v>3</v>
      </c>
      <c r="V171">
        <v>3</v>
      </c>
      <c r="W171" t="s">
        <v>86</v>
      </c>
      <c r="X171" t="s">
        <v>141</v>
      </c>
      <c r="Y171" t="s">
        <v>93</v>
      </c>
      <c r="Z171" t="s">
        <v>94</v>
      </c>
      <c r="AA171" t="s">
        <v>38</v>
      </c>
      <c r="AB171">
        <v>3</v>
      </c>
      <c r="AC171">
        <v>3</v>
      </c>
      <c r="AD171">
        <v>3</v>
      </c>
      <c r="AE171" t="s">
        <v>67</v>
      </c>
      <c r="AF171" t="s">
        <v>96</v>
      </c>
      <c r="AG171" t="s">
        <v>154</v>
      </c>
      <c r="AH171" t="s">
        <v>42</v>
      </c>
      <c r="AI171">
        <v>0</v>
      </c>
      <c r="AJ171">
        <v>42</v>
      </c>
    </row>
    <row r="172" spans="1:36" x14ac:dyDescent="0.25">
      <c r="A172" t="s">
        <v>999</v>
      </c>
      <c r="B172">
        <v>280</v>
      </c>
      <c r="C172" t="s">
        <v>63</v>
      </c>
      <c r="D172">
        <v>1</v>
      </c>
      <c r="F172">
        <v>1</v>
      </c>
      <c r="G172" t="s">
        <v>72</v>
      </c>
      <c r="H172" t="s">
        <v>91</v>
      </c>
      <c r="K172" t="s">
        <v>38</v>
      </c>
      <c r="L172">
        <v>3</v>
      </c>
      <c r="M172">
        <v>1</v>
      </c>
      <c r="N172">
        <v>2</v>
      </c>
      <c r="O172" t="s">
        <v>67</v>
      </c>
      <c r="P172" t="s">
        <v>96</v>
      </c>
      <c r="Q172" t="s">
        <v>153</v>
      </c>
      <c r="R172" t="s">
        <v>42</v>
      </c>
      <c r="S172" t="s">
        <v>48</v>
      </c>
      <c r="T172">
        <v>1</v>
      </c>
      <c r="V172">
        <v>3</v>
      </c>
      <c r="W172" t="s">
        <v>49</v>
      </c>
      <c r="X172" t="s">
        <v>50</v>
      </c>
      <c r="Y172" t="s">
        <v>127</v>
      </c>
      <c r="Z172" t="s">
        <v>129</v>
      </c>
      <c r="AA172" t="s">
        <v>33</v>
      </c>
      <c r="AB172">
        <v>1</v>
      </c>
      <c r="AD172">
        <v>1</v>
      </c>
      <c r="AE172" t="s">
        <v>46</v>
      </c>
      <c r="AF172" t="s">
        <v>35</v>
      </c>
      <c r="AI172">
        <v>0</v>
      </c>
      <c r="AJ172">
        <v>17</v>
      </c>
    </row>
    <row r="173" spans="1:36" x14ac:dyDescent="0.25">
      <c r="A173" t="s">
        <v>1000</v>
      </c>
      <c r="B173">
        <v>283</v>
      </c>
      <c r="C173" t="s">
        <v>33</v>
      </c>
      <c r="D173">
        <v>3</v>
      </c>
      <c r="F173">
        <v>1</v>
      </c>
      <c r="G173" t="s">
        <v>34</v>
      </c>
      <c r="K173" t="s">
        <v>45</v>
      </c>
      <c r="L173">
        <v>3</v>
      </c>
      <c r="N173">
        <v>1</v>
      </c>
      <c r="O173" t="s">
        <v>140</v>
      </c>
      <c r="P173" t="s">
        <v>92</v>
      </c>
      <c r="S173" t="s">
        <v>48</v>
      </c>
      <c r="T173">
        <v>1</v>
      </c>
      <c r="V173">
        <v>1</v>
      </c>
      <c r="W173" t="s">
        <v>89</v>
      </c>
      <c r="X173" t="s">
        <v>50</v>
      </c>
      <c r="AA173" t="s">
        <v>43</v>
      </c>
      <c r="AB173">
        <v>1</v>
      </c>
      <c r="AD173">
        <v>2</v>
      </c>
      <c r="AE173" t="s">
        <v>135</v>
      </c>
      <c r="AF173" t="s">
        <v>136</v>
      </c>
      <c r="AI173">
        <v>0</v>
      </c>
      <c r="AJ173">
        <v>13</v>
      </c>
    </row>
    <row r="174" spans="1:36" x14ac:dyDescent="0.25">
      <c r="A174" t="s">
        <v>1001</v>
      </c>
      <c r="B174">
        <v>284</v>
      </c>
      <c r="C174" t="s">
        <v>48</v>
      </c>
      <c r="D174">
        <v>3</v>
      </c>
      <c r="F174">
        <v>1</v>
      </c>
      <c r="G174" t="s">
        <v>89</v>
      </c>
      <c r="H174" t="s">
        <v>71</v>
      </c>
      <c r="I174" t="s">
        <v>51</v>
      </c>
      <c r="K174" t="s">
        <v>43</v>
      </c>
      <c r="L174">
        <v>3</v>
      </c>
      <c r="N174">
        <v>1</v>
      </c>
      <c r="O174" t="s">
        <v>135</v>
      </c>
      <c r="P174" t="s">
        <v>99</v>
      </c>
      <c r="Q174" t="s">
        <v>137</v>
      </c>
      <c r="S174" t="s">
        <v>33</v>
      </c>
      <c r="T174">
        <v>1</v>
      </c>
      <c r="V174">
        <v>2</v>
      </c>
      <c r="W174" t="s">
        <v>34</v>
      </c>
      <c r="AA174" t="s">
        <v>63</v>
      </c>
      <c r="AB174">
        <v>1</v>
      </c>
      <c r="AD174">
        <v>2</v>
      </c>
      <c r="AE174" t="s">
        <v>145</v>
      </c>
      <c r="AF174" t="s">
        <v>146</v>
      </c>
      <c r="AG174" t="s">
        <v>148</v>
      </c>
      <c r="AI174">
        <v>0</v>
      </c>
      <c r="AJ174">
        <v>18</v>
      </c>
    </row>
    <row r="175" spans="1:36" x14ac:dyDescent="0.25">
      <c r="A175" t="s">
        <v>1002</v>
      </c>
      <c r="B175">
        <v>285</v>
      </c>
      <c r="C175" t="s">
        <v>48</v>
      </c>
      <c r="D175">
        <v>1</v>
      </c>
      <c r="F175">
        <v>1</v>
      </c>
      <c r="G175" t="s">
        <v>89</v>
      </c>
      <c r="H175" t="s">
        <v>71</v>
      </c>
      <c r="I175" t="s">
        <v>51</v>
      </c>
      <c r="K175" t="s">
        <v>43</v>
      </c>
      <c r="L175">
        <v>2</v>
      </c>
      <c r="N175">
        <v>1</v>
      </c>
      <c r="O175" t="s">
        <v>135</v>
      </c>
      <c r="P175" t="s">
        <v>99</v>
      </c>
      <c r="Q175" t="s">
        <v>100</v>
      </c>
      <c r="S175" t="s">
        <v>33</v>
      </c>
      <c r="T175">
        <v>2</v>
      </c>
      <c r="V175">
        <v>1</v>
      </c>
      <c r="W175" t="s">
        <v>34</v>
      </c>
      <c r="AA175" t="s">
        <v>38</v>
      </c>
      <c r="AB175">
        <v>1</v>
      </c>
      <c r="AC175">
        <v>1</v>
      </c>
      <c r="AD175">
        <v>2</v>
      </c>
      <c r="AE175" t="s">
        <v>39</v>
      </c>
      <c r="AF175" t="s">
        <v>96</v>
      </c>
      <c r="AI175">
        <v>0</v>
      </c>
      <c r="AJ175">
        <v>12</v>
      </c>
    </row>
    <row r="176" spans="1:36" x14ac:dyDescent="0.25">
      <c r="A176" t="s">
        <v>1003</v>
      </c>
      <c r="B176">
        <v>287</v>
      </c>
      <c r="C176" t="s">
        <v>45</v>
      </c>
      <c r="D176">
        <v>3</v>
      </c>
      <c r="F176">
        <v>1</v>
      </c>
      <c r="G176" t="s">
        <v>140</v>
      </c>
      <c r="H176" t="s">
        <v>76</v>
      </c>
      <c r="K176" t="s">
        <v>63</v>
      </c>
      <c r="L176">
        <v>1</v>
      </c>
      <c r="N176">
        <v>1</v>
      </c>
      <c r="O176" t="s">
        <v>145</v>
      </c>
      <c r="P176" t="s">
        <v>91</v>
      </c>
      <c r="Q176" t="s">
        <v>104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Y176" t="s">
        <v>127</v>
      </c>
      <c r="AA176" t="s">
        <v>43</v>
      </c>
      <c r="AB176">
        <v>1</v>
      </c>
      <c r="AD176">
        <v>1</v>
      </c>
      <c r="AE176" t="s">
        <v>73</v>
      </c>
      <c r="AF176" t="s">
        <v>136</v>
      </c>
      <c r="AG176" t="s">
        <v>75</v>
      </c>
      <c r="AI176">
        <v>0</v>
      </c>
      <c r="AJ176">
        <v>15</v>
      </c>
    </row>
    <row r="177" spans="1:36" x14ac:dyDescent="0.25">
      <c r="A177" t="s">
        <v>1004</v>
      </c>
      <c r="B177">
        <v>288</v>
      </c>
      <c r="C177" t="s">
        <v>48</v>
      </c>
      <c r="D177">
        <v>3</v>
      </c>
      <c r="F177">
        <v>3</v>
      </c>
      <c r="G177" t="s">
        <v>126</v>
      </c>
      <c r="H177" t="s">
        <v>84</v>
      </c>
      <c r="I177" t="s">
        <v>127</v>
      </c>
      <c r="J177" t="s">
        <v>52</v>
      </c>
      <c r="K177" t="s">
        <v>43</v>
      </c>
      <c r="L177">
        <v>1</v>
      </c>
      <c r="N177">
        <v>1</v>
      </c>
      <c r="O177" t="s">
        <v>135</v>
      </c>
      <c r="P177" t="s">
        <v>136</v>
      </c>
      <c r="Q177" t="s">
        <v>137</v>
      </c>
      <c r="S177" t="s">
        <v>45</v>
      </c>
      <c r="T177">
        <v>3</v>
      </c>
      <c r="V177">
        <v>1</v>
      </c>
      <c r="W177" t="s">
        <v>140</v>
      </c>
      <c r="AA177" t="s">
        <v>38</v>
      </c>
      <c r="AB177">
        <v>3</v>
      </c>
      <c r="AC177">
        <v>3</v>
      </c>
      <c r="AD177">
        <v>3</v>
      </c>
      <c r="AE177" t="s">
        <v>39</v>
      </c>
      <c r="AF177" t="s">
        <v>40</v>
      </c>
      <c r="AG177" t="s">
        <v>153</v>
      </c>
      <c r="AH177" t="s">
        <v>156</v>
      </c>
      <c r="AI177">
        <v>0</v>
      </c>
      <c r="AJ177">
        <v>27</v>
      </c>
    </row>
    <row r="178" spans="1:36" x14ac:dyDescent="0.25">
      <c r="A178" t="s">
        <v>1005</v>
      </c>
      <c r="B178">
        <v>290</v>
      </c>
      <c r="C178" t="s">
        <v>48</v>
      </c>
      <c r="D178">
        <v>3</v>
      </c>
      <c r="F178">
        <v>3</v>
      </c>
      <c r="G178" t="s">
        <v>49</v>
      </c>
      <c r="H178" t="s">
        <v>84</v>
      </c>
      <c r="I178" t="s">
        <v>127</v>
      </c>
      <c r="J178" t="s">
        <v>129</v>
      </c>
      <c r="K178" t="s">
        <v>43</v>
      </c>
      <c r="L178">
        <v>3</v>
      </c>
      <c r="N178">
        <v>3</v>
      </c>
      <c r="O178" t="s">
        <v>73</v>
      </c>
      <c r="P178" t="s">
        <v>74</v>
      </c>
      <c r="Q178" t="s">
        <v>100</v>
      </c>
      <c r="R178" t="s">
        <v>139</v>
      </c>
      <c r="S178" t="s">
        <v>63</v>
      </c>
      <c r="T178">
        <v>3</v>
      </c>
      <c r="V178">
        <v>3</v>
      </c>
      <c r="W178" t="s">
        <v>145</v>
      </c>
      <c r="X178" t="s">
        <v>146</v>
      </c>
      <c r="Y178" t="s">
        <v>104</v>
      </c>
      <c r="Z178" t="s">
        <v>151</v>
      </c>
      <c r="AA178" t="s">
        <v>38</v>
      </c>
      <c r="AB178">
        <v>1</v>
      </c>
      <c r="AC178">
        <v>1</v>
      </c>
      <c r="AD178">
        <v>3</v>
      </c>
      <c r="AE178" t="s">
        <v>39</v>
      </c>
      <c r="AF178" t="s">
        <v>40</v>
      </c>
      <c r="AG178" t="s">
        <v>153</v>
      </c>
      <c r="AH178" t="s">
        <v>42</v>
      </c>
      <c r="AI178">
        <v>0</v>
      </c>
      <c r="AJ178">
        <v>46</v>
      </c>
    </row>
    <row r="179" spans="1:36" x14ac:dyDescent="0.25">
      <c r="A179" t="s">
        <v>1006</v>
      </c>
      <c r="B179">
        <v>293</v>
      </c>
      <c r="C179" t="s">
        <v>48</v>
      </c>
      <c r="D179">
        <v>1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P179" t="s">
        <v>92</v>
      </c>
      <c r="S179" t="s">
        <v>33</v>
      </c>
      <c r="T179">
        <v>3</v>
      </c>
      <c r="V179">
        <v>2</v>
      </c>
      <c r="W179" t="s">
        <v>46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G179" t="s">
        <v>137</v>
      </c>
      <c r="AI179">
        <v>0</v>
      </c>
      <c r="AJ179">
        <v>13</v>
      </c>
    </row>
    <row r="180" spans="1:36" x14ac:dyDescent="0.25">
      <c r="A180" t="s">
        <v>1007</v>
      </c>
      <c r="B180">
        <v>294</v>
      </c>
      <c r="C180" t="s">
        <v>48</v>
      </c>
      <c r="D180">
        <v>3</v>
      </c>
      <c r="F180">
        <v>3</v>
      </c>
      <c r="G180" t="s">
        <v>89</v>
      </c>
      <c r="H180" t="s">
        <v>84</v>
      </c>
      <c r="I180" t="s">
        <v>127</v>
      </c>
      <c r="J180" t="s">
        <v>129</v>
      </c>
      <c r="K180" t="s">
        <v>45</v>
      </c>
      <c r="L180">
        <v>3</v>
      </c>
      <c r="N180">
        <v>3</v>
      </c>
      <c r="O180" t="s">
        <v>140</v>
      </c>
      <c r="P180" t="s">
        <v>141</v>
      </c>
      <c r="Q180" t="s">
        <v>93</v>
      </c>
      <c r="R180" t="s">
        <v>94</v>
      </c>
      <c r="S180" t="s">
        <v>33</v>
      </c>
      <c r="T180">
        <v>1</v>
      </c>
      <c r="V180">
        <v>2</v>
      </c>
      <c r="W180" t="s">
        <v>46</v>
      </c>
      <c r="AA180" t="s">
        <v>63</v>
      </c>
      <c r="AB180">
        <v>3</v>
      </c>
      <c r="AD180">
        <v>3</v>
      </c>
      <c r="AE180" t="s">
        <v>145</v>
      </c>
      <c r="AF180" t="s">
        <v>146</v>
      </c>
      <c r="AG180" t="s">
        <v>148</v>
      </c>
      <c r="AH180" t="s">
        <v>150</v>
      </c>
      <c r="AI180">
        <v>0</v>
      </c>
      <c r="AJ180">
        <v>34</v>
      </c>
    </row>
    <row r="181" spans="1:36" x14ac:dyDescent="0.25">
      <c r="A181" t="s">
        <v>1008</v>
      </c>
      <c r="B181">
        <v>295</v>
      </c>
      <c r="C181" t="s">
        <v>48</v>
      </c>
      <c r="D181">
        <v>3</v>
      </c>
      <c r="F181">
        <v>3</v>
      </c>
      <c r="G181" t="s">
        <v>89</v>
      </c>
      <c r="H181" t="s">
        <v>50</v>
      </c>
      <c r="I181" t="s">
        <v>51</v>
      </c>
      <c r="J181" t="s">
        <v>128</v>
      </c>
      <c r="K181" t="s">
        <v>45</v>
      </c>
      <c r="L181">
        <v>1</v>
      </c>
      <c r="N181">
        <v>1</v>
      </c>
      <c r="O181" t="s">
        <v>140</v>
      </c>
      <c r="P181" t="s">
        <v>92</v>
      </c>
      <c r="S181" t="s">
        <v>33</v>
      </c>
      <c r="T181">
        <v>2</v>
      </c>
      <c r="V181">
        <v>1</v>
      </c>
      <c r="W181" t="s">
        <v>34</v>
      </c>
      <c r="AA181" t="s">
        <v>38</v>
      </c>
      <c r="AB181">
        <v>3</v>
      </c>
      <c r="AC181">
        <v>1</v>
      </c>
      <c r="AD181">
        <v>3</v>
      </c>
      <c r="AE181" t="s">
        <v>39</v>
      </c>
      <c r="AF181" t="s">
        <v>96</v>
      </c>
      <c r="AG181" t="s">
        <v>153</v>
      </c>
      <c r="AH181" t="s">
        <v>156</v>
      </c>
      <c r="AI181">
        <v>0</v>
      </c>
      <c r="AJ181">
        <v>23</v>
      </c>
    </row>
    <row r="182" spans="1:36" x14ac:dyDescent="0.25">
      <c r="A182" t="s">
        <v>1009</v>
      </c>
      <c r="B182">
        <v>297</v>
      </c>
      <c r="C182" t="s">
        <v>48</v>
      </c>
      <c r="D182">
        <v>2</v>
      </c>
      <c r="F182">
        <v>1</v>
      </c>
      <c r="G182" t="s">
        <v>126</v>
      </c>
      <c r="H182" t="s">
        <v>84</v>
      </c>
      <c r="I182" t="s">
        <v>127</v>
      </c>
      <c r="J182" t="s">
        <v>129</v>
      </c>
      <c r="K182" t="s">
        <v>45</v>
      </c>
      <c r="L182">
        <v>3</v>
      </c>
      <c r="N182">
        <v>1</v>
      </c>
      <c r="O182" t="s">
        <v>140</v>
      </c>
      <c r="P182" t="s">
        <v>76</v>
      </c>
      <c r="Q182" t="s">
        <v>93</v>
      </c>
      <c r="R182" t="s">
        <v>94</v>
      </c>
      <c r="S182" t="s">
        <v>43</v>
      </c>
      <c r="T182">
        <v>1</v>
      </c>
      <c r="V182">
        <v>2</v>
      </c>
      <c r="W182" t="s">
        <v>135</v>
      </c>
      <c r="X182" t="s">
        <v>136</v>
      </c>
      <c r="AA182" t="s">
        <v>63</v>
      </c>
      <c r="AB182">
        <v>1</v>
      </c>
      <c r="AD182">
        <v>2</v>
      </c>
      <c r="AE182" t="s">
        <v>145</v>
      </c>
      <c r="AF182" t="s">
        <v>91</v>
      </c>
      <c r="AG182" t="s">
        <v>148</v>
      </c>
      <c r="AH182" t="s">
        <v>151</v>
      </c>
      <c r="AI182">
        <v>0</v>
      </c>
      <c r="AJ182">
        <v>19</v>
      </c>
    </row>
    <row r="183" spans="1:36" x14ac:dyDescent="0.25">
      <c r="A183" t="s">
        <v>1010</v>
      </c>
      <c r="B183">
        <v>298</v>
      </c>
      <c r="C183" t="s">
        <v>48</v>
      </c>
      <c r="D183">
        <v>3</v>
      </c>
      <c r="F183">
        <v>3</v>
      </c>
      <c r="G183" t="s">
        <v>126</v>
      </c>
      <c r="H183" t="s">
        <v>84</v>
      </c>
      <c r="I183" t="s">
        <v>127</v>
      </c>
      <c r="J183" t="s">
        <v>52</v>
      </c>
      <c r="K183" t="s">
        <v>45</v>
      </c>
      <c r="L183">
        <v>3</v>
      </c>
      <c r="N183">
        <v>1</v>
      </c>
      <c r="O183" t="s">
        <v>140</v>
      </c>
      <c r="S183" t="s">
        <v>43</v>
      </c>
      <c r="T183">
        <v>1</v>
      </c>
      <c r="V183">
        <v>1</v>
      </c>
      <c r="W183" t="s">
        <v>44</v>
      </c>
      <c r="X183" t="s">
        <v>136</v>
      </c>
      <c r="Y183" t="s">
        <v>75</v>
      </c>
      <c r="Z183" t="s">
        <v>101</v>
      </c>
      <c r="AA183" t="s">
        <v>38</v>
      </c>
      <c r="AB183">
        <v>3</v>
      </c>
      <c r="AC183">
        <v>3</v>
      </c>
      <c r="AD183">
        <v>3</v>
      </c>
      <c r="AE183" t="s">
        <v>39</v>
      </c>
      <c r="AF183" t="s">
        <v>96</v>
      </c>
      <c r="AG183" t="s">
        <v>154</v>
      </c>
      <c r="AH183" t="s">
        <v>156</v>
      </c>
      <c r="AI183">
        <v>0</v>
      </c>
      <c r="AJ183">
        <v>27</v>
      </c>
    </row>
    <row r="184" spans="1:36" x14ac:dyDescent="0.25">
      <c r="A184" t="s">
        <v>1011</v>
      </c>
      <c r="B184">
        <v>300</v>
      </c>
      <c r="C184" t="s">
        <v>48</v>
      </c>
      <c r="D184">
        <v>2</v>
      </c>
      <c r="F184">
        <v>1</v>
      </c>
      <c r="G184" t="s">
        <v>89</v>
      </c>
      <c r="H184" t="s">
        <v>84</v>
      </c>
      <c r="I184" t="s">
        <v>127</v>
      </c>
      <c r="J184" t="s">
        <v>129</v>
      </c>
      <c r="K184" t="s">
        <v>45</v>
      </c>
      <c r="L184">
        <v>3</v>
      </c>
      <c r="N184">
        <v>1</v>
      </c>
      <c r="O184" t="s">
        <v>86</v>
      </c>
      <c r="P184" t="s">
        <v>141</v>
      </c>
      <c r="Q184" t="s">
        <v>93</v>
      </c>
      <c r="S184" t="s">
        <v>63</v>
      </c>
      <c r="T184">
        <v>1</v>
      </c>
      <c r="V184">
        <v>2</v>
      </c>
      <c r="W184" t="s">
        <v>145</v>
      </c>
      <c r="X184" t="s">
        <v>146</v>
      </c>
      <c r="Y184" t="s">
        <v>148</v>
      </c>
      <c r="AA184" t="s">
        <v>38</v>
      </c>
      <c r="AB184">
        <v>1</v>
      </c>
      <c r="AC184">
        <v>1</v>
      </c>
      <c r="AD184">
        <v>2</v>
      </c>
      <c r="AE184" t="s">
        <v>39</v>
      </c>
      <c r="AF184" t="s">
        <v>96</v>
      </c>
      <c r="AI184">
        <v>0</v>
      </c>
      <c r="AJ184">
        <v>17</v>
      </c>
    </row>
    <row r="185" spans="1:36" x14ac:dyDescent="0.25">
      <c r="A185" t="s">
        <v>1012</v>
      </c>
      <c r="B185">
        <v>303</v>
      </c>
      <c r="C185" t="s">
        <v>33</v>
      </c>
      <c r="D185">
        <v>3</v>
      </c>
      <c r="F185">
        <v>2</v>
      </c>
      <c r="G185" t="s">
        <v>34</v>
      </c>
      <c r="H185" t="s">
        <v>35</v>
      </c>
      <c r="I185" t="s">
        <v>132</v>
      </c>
      <c r="J185" t="s">
        <v>37</v>
      </c>
      <c r="K185" t="s">
        <v>43</v>
      </c>
      <c r="L185">
        <v>3</v>
      </c>
      <c r="N185">
        <v>1</v>
      </c>
      <c r="O185" t="s">
        <v>135</v>
      </c>
      <c r="P185" t="s">
        <v>99</v>
      </c>
      <c r="Q185" t="s">
        <v>75</v>
      </c>
      <c r="R185" t="s">
        <v>139</v>
      </c>
      <c r="S185" t="s">
        <v>48</v>
      </c>
      <c r="T185">
        <v>1</v>
      </c>
      <c r="V185">
        <v>1</v>
      </c>
      <c r="W185" t="s">
        <v>126</v>
      </c>
      <c r="X185" t="s">
        <v>50</v>
      </c>
      <c r="AA185" t="s">
        <v>63</v>
      </c>
      <c r="AB185">
        <v>2</v>
      </c>
      <c r="AD185">
        <v>2</v>
      </c>
      <c r="AE185" t="s">
        <v>145</v>
      </c>
      <c r="AF185" t="s">
        <v>146</v>
      </c>
      <c r="AG185" t="s">
        <v>104</v>
      </c>
      <c r="AH185" t="s">
        <v>150</v>
      </c>
      <c r="AI185">
        <v>0</v>
      </c>
      <c r="AJ185">
        <v>21</v>
      </c>
    </row>
    <row r="186" spans="1:36" x14ac:dyDescent="0.25">
      <c r="A186" t="s">
        <v>1013</v>
      </c>
      <c r="B186">
        <v>304</v>
      </c>
      <c r="C186" t="s">
        <v>33</v>
      </c>
      <c r="D186">
        <v>3</v>
      </c>
      <c r="F186">
        <v>2</v>
      </c>
      <c r="G186" t="s">
        <v>34</v>
      </c>
      <c r="H186" t="s">
        <v>35</v>
      </c>
      <c r="K186" t="s">
        <v>45</v>
      </c>
      <c r="L186">
        <v>3</v>
      </c>
      <c r="N186">
        <v>1</v>
      </c>
      <c r="O186" t="s">
        <v>86</v>
      </c>
      <c r="P186" t="s">
        <v>141</v>
      </c>
      <c r="Q186" t="s">
        <v>93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3</v>
      </c>
      <c r="AD186">
        <v>1</v>
      </c>
      <c r="AE186" t="s">
        <v>145</v>
      </c>
      <c r="AF186" t="s">
        <v>146</v>
      </c>
      <c r="AI186">
        <v>0</v>
      </c>
      <c r="AJ186">
        <v>16</v>
      </c>
    </row>
    <row r="187" spans="1:36" x14ac:dyDescent="0.25">
      <c r="A187" t="s">
        <v>1014</v>
      </c>
      <c r="B187">
        <v>305</v>
      </c>
      <c r="C187" t="s">
        <v>48</v>
      </c>
      <c r="D187">
        <v>3</v>
      </c>
      <c r="F187">
        <v>3</v>
      </c>
      <c r="G187" t="s">
        <v>89</v>
      </c>
      <c r="H187" t="s">
        <v>84</v>
      </c>
      <c r="I187" t="s">
        <v>51</v>
      </c>
      <c r="J187" t="s">
        <v>128</v>
      </c>
      <c r="K187" t="s">
        <v>63</v>
      </c>
      <c r="L187">
        <v>3</v>
      </c>
      <c r="N187">
        <v>2</v>
      </c>
      <c r="O187" t="s">
        <v>72</v>
      </c>
      <c r="P187" t="s">
        <v>91</v>
      </c>
      <c r="Q187" t="s">
        <v>147</v>
      </c>
      <c r="R187" t="s">
        <v>150</v>
      </c>
      <c r="S187" t="s">
        <v>33</v>
      </c>
      <c r="T187">
        <v>2</v>
      </c>
      <c r="V187">
        <v>1</v>
      </c>
      <c r="W187" t="s">
        <v>34</v>
      </c>
      <c r="AA187" t="s">
        <v>38</v>
      </c>
      <c r="AB187">
        <v>1</v>
      </c>
      <c r="AC187">
        <v>3</v>
      </c>
      <c r="AD187">
        <v>3</v>
      </c>
      <c r="AE187" t="s">
        <v>39</v>
      </c>
      <c r="AF187" t="s">
        <v>96</v>
      </c>
      <c r="AG187" t="s">
        <v>154</v>
      </c>
      <c r="AH187" t="s">
        <v>156</v>
      </c>
      <c r="AI187">
        <v>0</v>
      </c>
      <c r="AJ187">
        <v>27</v>
      </c>
    </row>
    <row r="188" spans="1:36" x14ac:dyDescent="0.25">
      <c r="A188" t="s">
        <v>1015</v>
      </c>
      <c r="B188">
        <v>307</v>
      </c>
      <c r="C188" t="s">
        <v>43</v>
      </c>
      <c r="D188">
        <v>3</v>
      </c>
      <c r="F188">
        <v>1</v>
      </c>
      <c r="G188" t="s">
        <v>44</v>
      </c>
      <c r="K188" t="s">
        <v>45</v>
      </c>
      <c r="L188">
        <v>3</v>
      </c>
      <c r="N188">
        <v>1</v>
      </c>
      <c r="O188" t="s">
        <v>86</v>
      </c>
      <c r="P188" t="s">
        <v>141</v>
      </c>
      <c r="S188" t="s">
        <v>48</v>
      </c>
      <c r="T188">
        <v>1</v>
      </c>
      <c r="V188">
        <v>1</v>
      </c>
      <c r="W188" t="s">
        <v>126</v>
      </c>
      <c r="AA188" t="s">
        <v>63</v>
      </c>
      <c r="AB188">
        <v>1</v>
      </c>
      <c r="AD188">
        <v>2</v>
      </c>
      <c r="AE188" t="s">
        <v>145</v>
      </c>
      <c r="AF188" t="s">
        <v>146</v>
      </c>
      <c r="AI188">
        <v>0</v>
      </c>
      <c r="AJ188">
        <v>12</v>
      </c>
    </row>
    <row r="189" spans="1:36" x14ac:dyDescent="0.25">
      <c r="A189" t="s">
        <v>1016</v>
      </c>
      <c r="B189">
        <v>308</v>
      </c>
      <c r="C189" t="s">
        <v>48</v>
      </c>
      <c r="D189">
        <v>3</v>
      </c>
      <c r="F189">
        <v>3</v>
      </c>
      <c r="G189" t="s">
        <v>89</v>
      </c>
      <c r="H189" t="s">
        <v>84</v>
      </c>
      <c r="I189" t="s">
        <v>51</v>
      </c>
      <c r="J189" t="s">
        <v>129</v>
      </c>
      <c r="K189" t="s">
        <v>63</v>
      </c>
      <c r="L189">
        <v>3</v>
      </c>
      <c r="N189">
        <v>2</v>
      </c>
      <c r="O189" t="s">
        <v>103</v>
      </c>
      <c r="P189" t="s">
        <v>146</v>
      </c>
      <c r="Q189" t="s">
        <v>147</v>
      </c>
      <c r="R189" t="s">
        <v>149</v>
      </c>
      <c r="S189" t="s">
        <v>43</v>
      </c>
      <c r="T189">
        <v>3</v>
      </c>
      <c r="V189">
        <v>1</v>
      </c>
      <c r="W189" t="s">
        <v>44</v>
      </c>
      <c r="X189" t="s">
        <v>136</v>
      </c>
      <c r="AA189" t="s">
        <v>38</v>
      </c>
      <c r="AB189">
        <v>3</v>
      </c>
      <c r="AC189">
        <v>1</v>
      </c>
      <c r="AD189">
        <v>3</v>
      </c>
      <c r="AE189" t="s">
        <v>39</v>
      </c>
      <c r="AF189" t="s">
        <v>96</v>
      </c>
      <c r="AG189" t="s">
        <v>153</v>
      </c>
      <c r="AH189" t="s">
        <v>42</v>
      </c>
      <c r="AI189">
        <v>0</v>
      </c>
      <c r="AJ189">
        <v>28</v>
      </c>
    </row>
    <row r="190" spans="1:36" x14ac:dyDescent="0.25">
      <c r="A190" t="s">
        <v>1017</v>
      </c>
      <c r="B190">
        <v>310</v>
      </c>
      <c r="C190" t="s">
        <v>48</v>
      </c>
      <c r="D190">
        <v>3</v>
      </c>
      <c r="F190">
        <v>3</v>
      </c>
      <c r="G190" t="s">
        <v>126</v>
      </c>
      <c r="H190" t="s">
        <v>84</v>
      </c>
      <c r="I190" t="s">
        <v>90</v>
      </c>
      <c r="J190" t="s">
        <v>129</v>
      </c>
      <c r="K190" t="s">
        <v>63</v>
      </c>
      <c r="L190">
        <v>3</v>
      </c>
      <c r="N190">
        <v>3</v>
      </c>
      <c r="O190" t="s">
        <v>72</v>
      </c>
      <c r="P190" t="s">
        <v>146</v>
      </c>
      <c r="Q190" t="s">
        <v>147</v>
      </c>
      <c r="R190" t="s">
        <v>151</v>
      </c>
      <c r="S190" t="s">
        <v>45</v>
      </c>
      <c r="T190">
        <v>3</v>
      </c>
      <c r="V190">
        <v>1</v>
      </c>
      <c r="W190" t="s">
        <v>86</v>
      </c>
      <c r="X190" t="s">
        <v>141</v>
      </c>
      <c r="Y190" t="s">
        <v>93</v>
      </c>
      <c r="Z190" t="s">
        <v>143</v>
      </c>
      <c r="AA190" t="s">
        <v>38</v>
      </c>
      <c r="AB190">
        <v>3</v>
      </c>
      <c r="AC190">
        <v>3</v>
      </c>
      <c r="AD190">
        <v>3</v>
      </c>
      <c r="AE190" t="s">
        <v>39</v>
      </c>
      <c r="AF190" t="s">
        <v>96</v>
      </c>
      <c r="AG190" t="s">
        <v>153</v>
      </c>
      <c r="AH190" t="s">
        <v>42</v>
      </c>
      <c r="AI190">
        <v>0</v>
      </c>
      <c r="AJ190">
        <v>42</v>
      </c>
    </row>
    <row r="191" spans="1:36" x14ac:dyDescent="0.25">
      <c r="A191" t="s">
        <v>1018</v>
      </c>
      <c r="B191">
        <v>313</v>
      </c>
      <c r="C191" t="s">
        <v>48</v>
      </c>
      <c r="D191">
        <v>2</v>
      </c>
      <c r="F191">
        <v>2</v>
      </c>
      <c r="G191" t="s">
        <v>126</v>
      </c>
      <c r="K191" t="s">
        <v>38</v>
      </c>
      <c r="L191">
        <v>1</v>
      </c>
      <c r="M191">
        <v>1</v>
      </c>
      <c r="N191">
        <v>3</v>
      </c>
      <c r="O191" t="s">
        <v>67</v>
      </c>
      <c r="P191" t="s">
        <v>70</v>
      </c>
      <c r="S191" t="s">
        <v>33</v>
      </c>
      <c r="T191">
        <v>1</v>
      </c>
      <c r="V191">
        <v>1</v>
      </c>
      <c r="W191" t="s">
        <v>46</v>
      </c>
      <c r="AA191" t="s">
        <v>43</v>
      </c>
      <c r="AB191">
        <v>2</v>
      </c>
      <c r="AD191">
        <v>1</v>
      </c>
      <c r="AE191" t="s">
        <v>135</v>
      </c>
      <c r="AF191" t="s">
        <v>74</v>
      </c>
      <c r="AI191">
        <v>0</v>
      </c>
      <c r="AJ191">
        <v>13</v>
      </c>
    </row>
    <row r="192" spans="1:36" x14ac:dyDescent="0.25">
      <c r="A192" t="s">
        <v>1019</v>
      </c>
      <c r="B192">
        <v>314</v>
      </c>
      <c r="C192" t="s">
        <v>48</v>
      </c>
      <c r="D192">
        <v>2</v>
      </c>
      <c r="F192">
        <v>2</v>
      </c>
      <c r="G192" t="s">
        <v>89</v>
      </c>
      <c r="H192" t="s">
        <v>50</v>
      </c>
      <c r="I192" t="s">
        <v>127</v>
      </c>
      <c r="J192" t="s">
        <v>129</v>
      </c>
      <c r="K192" t="s">
        <v>38</v>
      </c>
      <c r="L192">
        <v>2</v>
      </c>
      <c r="M192">
        <v>1</v>
      </c>
      <c r="N192">
        <v>2</v>
      </c>
      <c r="O192" t="s">
        <v>67</v>
      </c>
      <c r="P192" t="s">
        <v>96</v>
      </c>
      <c r="Q192" t="s">
        <v>41</v>
      </c>
      <c r="S192" t="s">
        <v>33</v>
      </c>
      <c r="T192">
        <v>1</v>
      </c>
      <c r="V192">
        <v>1</v>
      </c>
      <c r="W192" t="s">
        <v>46</v>
      </c>
      <c r="AA192" t="s">
        <v>45</v>
      </c>
      <c r="AB192">
        <v>3</v>
      </c>
      <c r="AD192">
        <v>1</v>
      </c>
      <c r="AE192" t="s">
        <v>140</v>
      </c>
      <c r="AF192" t="s">
        <v>76</v>
      </c>
      <c r="AG192" t="s">
        <v>102</v>
      </c>
      <c r="AH192" t="s">
        <v>94</v>
      </c>
      <c r="AI192">
        <v>0</v>
      </c>
      <c r="AJ192">
        <v>18</v>
      </c>
    </row>
    <row r="193" spans="1:36" x14ac:dyDescent="0.25">
      <c r="A193" t="s">
        <v>1020</v>
      </c>
      <c r="B193">
        <v>315</v>
      </c>
      <c r="C193" t="s">
        <v>48</v>
      </c>
      <c r="D193">
        <v>3</v>
      </c>
      <c r="F193">
        <v>1</v>
      </c>
      <c r="G193" t="s">
        <v>89</v>
      </c>
      <c r="H193" t="s">
        <v>71</v>
      </c>
      <c r="K193" t="s">
        <v>38</v>
      </c>
      <c r="L193">
        <v>2</v>
      </c>
      <c r="M193">
        <v>1</v>
      </c>
      <c r="N193">
        <v>1</v>
      </c>
      <c r="O193" t="s">
        <v>67</v>
      </c>
      <c r="P193" t="s">
        <v>96</v>
      </c>
      <c r="Q193" t="s">
        <v>154</v>
      </c>
      <c r="S193" t="s">
        <v>33</v>
      </c>
      <c r="T193">
        <v>1</v>
      </c>
      <c r="V193">
        <v>1</v>
      </c>
      <c r="W193" t="s">
        <v>65</v>
      </c>
      <c r="AA193" t="s">
        <v>63</v>
      </c>
      <c r="AB193">
        <v>2</v>
      </c>
      <c r="AD193">
        <v>1</v>
      </c>
      <c r="AE193" t="s">
        <v>145</v>
      </c>
      <c r="AF193" t="s">
        <v>91</v>
      </c>
      <c r="AI193">
        <v>0</v>
      </c>
      <c r="AJ193">
        <v>12</v>
      </c>
    </row>
    <row r="194" spans="1:36" x14ac:dyDescent="0.25">
      <c r="A194" t="s">
        <v>1021</v>
      </c>
      <c r="B194">
        <v>317</v>
      </c>
      <c r="C194" t="s">
        <v>43</v>
      </c>
      <c r="D194">
        <v>2</v>
      </c>
      <c r="F194">
        <v>1</v>
      </c>
      <c r="G194" t="s">
        <v>44</v>
      </c>
      <c r="H194" t="s">
        <v>74</v>
      </c>
      <c r="I194" t="s">
        <v>137</v>
      </c>
      <c r="K194" t="s">
        <v>45</v>
      </c>
      <c r="L194">
        <v>3</v>
      </c>
      <c r="N194">
        <v>1</v>
      </c>
      <c r="O194" t="s">
        <v>140</v>
      </c>
      <c r="P194" t="s">
        <v>76</v>
      </c>
      <c r="S194" t="s">
        <v>48</v>
      </c>
      <c r="T194">
        <v>1</v>
      </c>
      <c r="V194">
        <v>1</v>
      </c>
      <c r="W194" t="s">
        <v>126</v>
      </c>
      <c r="AA194" t="s">
        <v>38</v>
      </c>
      <c r="AB194">
        <v>1</v>
      </c>
      <c r="AC194">
        <v>1</v>
      </c>
      <c r="AD194">
        <v>2</v>
      </c>
      <c r="AE194" t="s">
        <v>39</v>
      </c>
      <c r="AF194" t="s">
        <v>40</v>
      </c>
      <c r="AG194" t="s">
        <v>153</v>
      </c>
      <c r="AI194">
        <v>0</v>
      </c>
      <c r="AJ194">
        <v>13</v>
      </c>
    </row>
    <row r="195" spans="1:36" x14ac:dyDescent="0.25">
      <c r="A195" t="s">
        <v>1022</v>
      </c>
      <c r="B195">
        <v>318</v>
      </c>
      <c r="C195" t="s">
        <v>43</v>
      </c>
      <c r="D195">
        <v>2</v>
      </c>
      <c r="F195">
        <v>2</v>
      </c>
      <c r="G195" t="s">
        <v>44</v>
      </c>
      <c r="H195" t="s">
        <v>74</v>
      </c>
      <c r="I195" t="s">
        <v>75</v>
      </c>
      <c r="J195" t="s">
        <v>101</v>
      </c>
      <c r="K195" t="s">
        <v>63</v>
      </c>
      <c r="L195">
        <v>2</v>
      </c>
      <c r="N195">
        <v>1</v>
      </c>
      <c r="O195" t="s">
        <v>103</v>
      </c>
      <c r="P195" t="s">
        <v>91</v>
      </c>
      <c r="Q195" t="s">
        <v>147</v>
      </c>
      <c r="R195" t="s">
        <v>151</v>
      </c>
      <c r="S195" t="s">
        <v>48</v>
      </c>
      <c r="T195">
        <v>2</v>
      </c>
      <c r="V195">
        <v>1</v>
      </c>
      <c r="W195" t="s">
        <v>126</v>
      </c>
      <c r="AA195" t="s">
        <v>38</v>
      </c>
      <c r="AB195">
        <v>3</v>
      </c>
      <c r="AC195">
        <v>1</v>
      </c>
      <c r="AD195">
        <v>2</v>
      </c>
      <c r="AE195" t="s">
        <v>39</v>
      </c>
      <c r="AF195" t="s">
        <v>40</v>
      </c>
      <c r="AG195" t="s">
        <v>41</v>
      </c>
      <c r="AI195">
        <v>0</v>
      </c>
      <c r="AJ195">
        <v>20</v>
      </c>
    </row>
    <row r="196" spans="1:36" x14ac:dyDescent="0.25">
      <c r="A196" t="s">
        <v>1023</v>
      </c>
      <c r="B196">
        <v>320</v>
      </c>
      <c r="C196" t="s">
        <v>48</v>
      </c>
      <c r="D196">
        <v>1</v>
      </c>
      <c r="F196">
        <v>1</v>
      </c>
      <c r="G196" t="s">
        <v>126</v>
      </c>
      <c r="H196" t="s">
        <v>84</v>
      </c>
      <c r="I196" t="s">
        <v>127</v>
      </c>
      <c r="J196" t="s">
        <v>129</v>
      </c>
      <c r="K196" t="s">
        <v>38</v>
      </c>
      <c r="L196">
        <v>2</v>
      </c>
      <c r="M196">
        <v>1</v>
      </c>
      <c r="N196">
        <v>2</v>
      </c>
      <c r="O196" t="s">
        <v>39</v>
      </c>
      <c r="P196" t="s">
        <v>96</v>
      </c>
      <c r="Q196" t="s">
        <v>41</v>
      </c>
      <c r="S196" t="s">
        <v>45</v>
      </c>
      <c r="T196">
        <v>3</v>
      </c>
      <c r="V196">
        <v>1</v>
      </c>
      <c r="W196" t="s">
        <v>86</v>
      </c>
      <c r="AA196" t="s">
        <v>63</v>
      </c>
      <c r="AB196">
        <v>1</v>
      </c>
      <c r="AD196">
        <v>1</v>
      </c>
      <c r="AE196" t="s">
        <v>103</v>
      </c>
      <c r="AF196" t="s">
        <v>91</v>
      </c>
      <c r="AG196" t="s">
        <v>147</v>
      </c>
      <c r="AH196" t="s">
        <v>149</v>
      </c>
      <c r="AI196">
        <v>0</v>
      </c>
      <c r="AJ196">
        <v>16</v>
      </c>
    </row>
    <row r="197" spans="1:36" x14ac:dyDescent="0.25">
      <c r="A197" t="s">
        <v>1024</v>
      </c>
      <c r="B197">
        <v>333</v>
      </c>
      <c r="C197" t="s">
        <v>45</v>
      </c>
      <c r="D197">
        <v>3</v>
      </c>
      <c r="F197">
        <v>1</v>
      </c>
      <c r="G197" t="s">
        <v>140</v>
      </c>
      <c r="H197" t="s">
        <v>141</v>
      </c>
      <c r="I197" t="s">
        <v>102</v>
      </c>
      <c r="K197" t="s">
        <v>63</v>
      </c>
      <c r="L197">
        <v>2</v>
      </c>
      <c r="N197">
        <v>1</v>
      </c>
      <c r="O197" t="s">
        <v>145</v>
      </c>
      <c r="S197" t="s">
        <v>33</v>
      </c>
      <c r="T197">
        <v>1</v>
      </c>
      <c r="V197">
        <v>3</v>
      </c>
      <c r="W197" t="s">
        <v>34</v>
      </c>
      <c r="AA197" t="s">
        <v>43</v>
      </c>
      <c r="AB197">
        <v>1</v>
      </c>
      <c r="AD197">
        <v>1</v>
      </c>
      <c r="AE197" t="s">
        <v>135</v>
      </c>
      <c r="AF197" t="s">
        <v>136</v>
      </c>
      <c r="AG197" t="s">
        <v>100</v>
      </c>
      <c r="AH197" t="s">
        <v>138</v>
      </c>
      <c r="AI197">
        <v>0</v>
      </c>
      <c r="AJ197">
        <v>14</v>
      </c>
    </row>
    <row r="198" spans="1:36" x14ac:dyDescent="0.25">
      <c r="A198" t="s">
        <v>1025</v>
      </c>
      <c r="B198">
        <v>334</v>
      </c>
      <c r="C198" t="s">
        <v>45</v>
      </c>
      <c r="D198">
        <v>3</v>
      </c>
      <c r="F198">
        <v>1</v>
      </c>
      <c r="G198" t="s">
        <v>140</v>
      </c>
      <c r="H198" t="s">
        <v>141</v>
      </c>
      <c r="K198" t="s">
        <v>38</v>
      </c>
      <c r="L198">
        <v>1</v>
      </c>
      <c r="M198">
        <v>1</v>
      </c>
      <c r="N198">
        <v>2</v>
      </c>
      <c r="O198" t="s">
        <v>67</v>
      </c>
      <c r="P198" t="s">
        <v>70</v>
      </c>
      <c r="Q198" t="s">
        <v>41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2</v>
      </c>
      <c r="AD198">
        <v>1</v>
      </c>
      <c r="AE198" t="s">
        <v>135</v>
      </c>
      <c r="AF198" t="s">
        <v>136</v>
      </c>
      <c r="AI198">
        <v>0</v>
      </c>
      <c r="AJ198">
        <v>12</v>
      </c>
    </row>
    <row r="199" spans="1:36" x14ac:dyDescent="0.25">
      <c r="A199" t="s">
        <v>1026</v>
      </c>
      <c r="B199">
        <v>336</v>
      </c>
      <c r="C199" t="s">
        <v>63</v>
      </c>
      <c r="D199">
        <v>1</v>
      </c>
      <c r="F199">
        <v>3</v>
      </c>
      <c r="G199" t="s">
        <v>145</v>
      </c>
      <c r="H199" t="s">
        <v>146</v>
      </c>
      <c r="I199" t="s">
        <v>104</v>
      </c>
      <c r="J199" t="s">
        <v>150</v>
      </c>
      <c r="K199" t="s">
        <v>38</v>
      </c>
      <c r="L199">
        <v>2</v>
      </c>
      <c r="M199">
        <v>1</v>
      </c>
      <c r="N199">
        <v>3</v>
      </c>
      <c r="O199" t="s">
        <v>67</v>
      </c>
      <c r="P199" t="s">
        <v>70</v>
      </c>
      <c r="Q199" t="s">
        <v>41</v>
      </c>
      <c r="R199" t="s">
        <v>42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3</v>
      </c>
      <c r="AD199">
        <v>1</v>
      </c>
      <c r="AE199" t="s">
        <v>135</v>
      </c>
      <c r="AF199" t="s">
        <v>136</v>
      </c>
      <c r="AG199" t="s">
        <v>137</v>
      </c>
      <c r="AH199" t="s">
        <v>139</v>
      </c>
      <c r="AI199">
        <v>0</v>
      </c>
      <c r="AJ199">
        <v>22</v>
      </c>
    </row>
    <row r="200" spans="1:36" x14ac:dyDescent="0.25">
      <c r="A200" t="s">
        <v>1027</v>
      </c>
      <c r="B200">
        <v>339</v>
      </c>
      <c r="C200" t="s">
        <v>43</v>
      </c>
      <c r="D200">
        <v>1</v>
      </c>
      <c r="F200">
        <v>1</v>
      </c>
      <c r="G200" t="s">
        <v>135</v>
      </c>
      <c r="H200" t="s">
        <v>136</v>
      </c>
      <c r="K200" t="s">
        <v>63</v>
      </c>
      <c r="L200">
        <v>3</v>
      </c>
      <c r="N200">
        <v>3</v>
      </c>
      <c r="O200" t="s">
        <v>145</v>
      </c>
      <c r="P200" t="s">
        <v>146</v>
      </c>
      <c r="Q200" t="s">
        <v>148</v>
      </c>
      <c r="R200" t="s">
        <v>150</v>
      </c>
      <c r="S200" t="s">
        <v>33</v>
      </c>
      <c r="T200">
        <v>3</v>
      </c>
      <c r="V200">
        <v>1</v>
      </c>
      <c r="W200" t="s">
        <v>34</v>
      </c>
      <c r="AA200" t="s">
        <v>45</v>
      </c>
      <c r="AB200">
        <v>3</v>
      </c>
      <c r="AD200">
        <v>3</v>
      </c>
      <c r="AE200" t="s">
        <v>140</v>
      </c>
      <c r="AF200" t="s">
        <v>141</v>
      </c>
      <c r="AG200" t="s">
        <v>93</v>
      </c>
      <c r="AH200" t="s">
        <v>143</v>
      </c>
      <c r="AI200">
        <v>0</v>
      </c>
      <c r="AJ200">
        <v>27</v>
      </c>
    </row>
    <row r="201" spans="1:36" x14ac:dyDescent="0.25">
      <c r="A201" t="s">
        <v>1028</v>
      </c>
      <c r="B201">
        <v>340</v>
      </c>
      <c r="C201" t="s">
        <v>43</v>
      </c>
      <c r="D201">
        <v>1</v>
      </c>
      <c r="F201">
        <v>1</v>
      </c>
      <c r="G201" t="s">
        <v>135</v>
      </c>
      <c r="H201" t="s">
        <v>136</v>
      </c>
      <c r="I201" t="s">
        <v>100</v>
      </c>
      <c r="J201" t="s">
        <v>138</v>
      </c>
      <c r="K201" t="s">
        <v>38</v>
      </c>
      <c r="L201">
        <v>2</v>
      </c>
      <c r="M201">
        <v>2</v>
      </c>
      <c r="N201">
        <v>2</v>
      </c>
      <c r="O201" t="s">
        <v>67</v>
      </c>
      <c r="P201" t="s">
        <v>96</v>
      </c>
      <c r="Q201" t="s">
        <v>153</v>
      </c>
      <c r="R201" t="s">
        <v>42</v>
      </c>
      <c r="S201" t="s">
        <v>33</v>
      </c>
      <c r="T201">
        <v>1</v>
      </c>
      <c r="V201">
        <v>1</v>
      </c>
      <c r="W201" t="s">
        <v>46</v>
      </c>
      <c r="AA201" t="s">
        <v>45</v>
      </c>
      <c r="AB201">
        <v>3</v>
      </c>
      <c r="AD201">
        <v>1</v>
      </c>
      <c r="AE201" t="s">
        <v>140</v>
      </c>
      <c r="AF201" t="s">
        <v>141</v>
      </c>
      <c r="AG201" t="s">
        <v>102</v>
      </c>
      <c r="AH201" t="s">
        <v>144</v>
      </c>
      <c r="AI201">
        <v>0</v>
      </c>
      <c r="AJ201">
        <v>18</v>
      </c>
    </row>
    <row r="202" spans="1:36" x14ac:dyDescent="0.25">
      <c r="A202" t="s">
        <v>1029</v>
      </c>
      <c r="B202">
        <v>342</v>
      </c>
      <c r="C202" t="s">
        <v>63</v>
      </c>
      <c r="D202">
        <v>3</v>
      </c>
      <c r="F202">
        <v>3</v>
      </c>
      <c r="G202" t="s">
        <v>145</v>
      </c>
      <c r="H202" t="s">
        <v>146</v>
      </c>
      <c r="I202" t="s">
        <v>148</v>
      </c>
      <c r="J202" t="s">
        <v>150</v>
      </c>
      <c r="K202" t="s">
        <v>38</v>
      </c>
      <c r="L202">
        <v>1</v>
      </c>
      <c r="M202">
        <v>1</v>
      </c>
      <c r="N202">
        <v>2</v>
      </c>
      <c r="O202" t="s">
        <v>67</v>
      </c>
      <c r="P202" t="s">
        <v>70</v>
      </c>
      <c r="S202" t="s">
        <v>33</v>
      </c>
      <c r="T202">
        <v>2</v>
      </c>
      <c r="V202">
        <v>1</v>
      </c>
      <c r="W202" t="s">
        <v>46</v>
      </c>
      <c r="X202" t="s">
        <v>130</v>
      </c>
      <c r="AA202" t="s">
        <v>45</v>
      </c>
      <c r="AB202">
        <v>3</v>
      </c>
      <c r="AD202">
        <v>3</v>
      </c>
      <c r="AE202" t="s">
        <v>140</v>
      </c>
      <c r="AF202" t="s">
        <v>141</v>
      </c>
      <c r="AG202" t="s">
        <v>102</v>
      </c>
      <c r="AH202" t="s">
        <v>144</v>
      </c>
      <c r="AI202">
        <v>0</v>
      </c>
      <c r="AJ202">
        <v>27</v>
      </c>
    </row>
    <row r="203" spans="1:36" x14ac:dyDescent="0.25">
      <c r="A203" t="s">
        <v>1030</v>
      </c>
      <c r="B203">
        <v>345</v>
      </c>
      <c r="C203" t="s">
        <v>43</v>
      </c>
      <c r="D203">
        <v>3</v>
      </c>
      <c r="F203">
        <v>1</v>
      </c>
      <c r="G203" t="s">
        <v>44</v>
      </c>
      <c r="H203" t="s">
        <v>136</v>
      </c>
      <c r="K203" t="s">
        <v>45</v>
      </c>
      <c r="L203">
        <v>3</v>
      </c>
      <c r="N203">
        <v>1</v>
      </c>
      <c r="O203" t="s">
        <v>86</v>
      </c>
      <c r="P203" t="s">
        <v>141</v>
      </c>
      <c r="S203" t="s">
        <v>33</v>
      </c>
      <c r="T203">
        <v>1</v>
      </c>
      <c r="V203">
        <v>2</v>
      </c>
      <c r="W203" t="s">
        <v>34</v>
      </c>
      <c r="AA203" t="s">
        <v>63</v>
      </c>
      <c r="AB203">
        <v>1</v>
      </c>
      <c r="AD203">
        <v>3</v>
      </c>
      <c r="AE203" t="s">
        <v>145</v>
      </c>
      <c r="AF203" t="s">
        <v>146</v>
      </c>
      <c r="AI203">
        <v>0</v>
      </c>
      <c r="AJ203">
        <v>15</v>
      </c>
    </row>
    <row r="204" spans="1:36" x14ac:dyDescent="0.25">
      <c r="A204" t="s">
        <v>1031</v>
      </c>
      <c r="B204">
        <v>346</v>
      </c>
      <c r="C204" t="s">
        <v>43</v>
      </c>
      <c r="D204">
        <v>3</v>
      </c>
      <c r="F204">
        <v>1</v>
      </c>
      <c r="G204" t="s">
        <v>44</v>
      </c>
      <c r="K204" t="s">
        <v>38</v>
      </c>
      <c r="L204">
        <v>1</v>
      </c>
      <c r="M204">
        <v>1</v>
      </c>
      <c r="N204">
        <v>2</v>
      </c>
      <c r="O204" t="s">
        <v>67</v>
      </c>
      <c r="P204" t="s">
        <v>96</v>
      </c>
      <c r="Q204" t="s">
        <v>41</v>
      </c>
      <c r="S204" t="s">
        <v>33</v>
      </c>
      <c r="T204">
        <v>1</v>
      </c>
      <c r="V204">
        <v>2</v>
      </c>
      <c r="W204" t="s">
        <v>65</v>
      </c>
      <c r="AA204" t="s">
        <v>63</v>
      </c>
      <c r="AB204">
        <v>1</v>
      </c>
      <c r="AD204">
        <v>1</v>
      </c>
      <c r="AE204" t="s">
        <v>103</v>
      </c>
      <c r="AF204" t="s">
        <v>91</v>
      </c>
      <c r="AG204" t="s">
        <v>147</v>
      </c>
      <c r="AI204">
        <v>0</v>
      </c>
      <c r="AJ204">
        <v>12</v>
      </c>
    </row>
    <row r="205" spans="1:36" x14ac:dyDescent="0.25">
      <c r="A205" s="39" t="s">
        <v>1032</v>
      </c>
      <c r="B205">
        <v>348</v>
      </c>
      <c r="C205" t="s">
        <v>45</v>
      </c>
      <c r="D205">
        <v>3</v>
      </c>
      <c r="F205">
        <v>1</v>
      </c>
      <c r="G205" t="s">
        <v>86</v>
      </c>
      <c r="H205" t="s">
        <v>141</v>
      </c>
      <c r="I205" t="s">
        <v>93</v>
      </c>
      <c r="K205" t="s">
        <v>38</v>
      </c>
      <c r="L205">
        <v>3</v>
      </c>
      <c r="M205">
        <v>1</v>
      </c>
      <c r="N205">
        <v>2</v>
      </c>
      <c r="O205" t="s">
        <v>67</v>
      </c>
      <c r="P205" t="s">
        <v>40</v>
      </c>
      <c r="S205" t="s">
        <v>33</v>
      </c>
      <c r="T205">
        <v>1</v>
      </c>
      <c r="V205">
        <v>1</v>
      </c>
      <c r="W205" t="s">
        <v>46</v>
      </c>
      <c r="AA205" t="s">
        <v>63</v>
      </c>
      <c r="AB205">
        <v>2</v>
      </c>
      <c r="AD205">
        <v>1</v>
      </c>
      <c r="AE205" t="s">
        <v>103</v>
      </c>
      <c r="AF205" t="s">
        <v>146</v>
      </c>
      <c r="AG205" t="s">
        <v>104</v>
      </c>
      <c r="AI205">
        <v>0</v>
      </c>
      <c r="AJ205">
        <v>15</v>
      </c>
    </row>
    <row r="206" spans="1:36" x14ac:dyDescent="0.25">
      <c r="A206" t="s">
        <v>1033</v>
      </c>
      <c r="B206">
        <v>351</v>
      </c>
      <c r="C206" t="s">
        <v>33</v>
      </c>
      <c r="D206">
        <v>2</v>
      </c>
      <c r="F206">
        <v>2</v>
      </c>
      <c r="G206" t="s">
        <v>34</v>
      </c>
      <c r="K206" t="s">
        <v>38</v>
      </c>
      <c r="L206">
        <v>1</v>
      </c>
      <c r="M206">
        <v>1</v>
      </c>
      <c r="N206">
        <v>2</v>
      </c>
      <c r="O206" t="s">
        <v>39</v>
      </c>
      <c r="P206" t="s">
        <v>96</v>
      </c>
      <c r="Q206" t="s">
        <v>41</v>
      </c>
      <c r="S206" t="s">
        <v>43</v>
      </c>
      <c r="T206">
        <v>2</v>
      </c>
      <c r="V206">
        <v>1</v>
      </c>
      <c r="W206" t="s">
        <v>135</v>
      </c>
      <c r="X206" t="s">
        <v>136</v>
      </c>
      <c r="AA206" t="s">
        <v>45</v>
      </c>
      <c r="AB206">
        <v>1</v>
      </c>
      <c r="AD206">
        <v>1</v>
      </c>
      <c r="AE206" t="s">
        <v>86</v>
      </c>
      <c r="AI206">
        <v>0</v>
      </c>
      <c r="AJ206">
        <v>11</v>
      </c>
    </row>
    <row r="207" spans="1:36" x14ac:dyDescent="0.25">
      <c r="A207" t="s">
        <v>1034</v>
      </c>
      <c r="B207">
        <v>352</v>
      </c>
      <c r="C207" t="s">
        <v>33</v>
      </c>
      <c r="D207">
        <v>2</v>
      </c>
      <c r="F207">
        <v>2</v>
      </c>
      <c r="G207" t="s">
        <v>34</v>
      </c>
      <c r="K207" t="s">
        <v>38</v>
      </c>
      <c r="L207">
        <v>1</v>
      </c>
      <c r="M207">
        <v>2</v>
      </c>
      <c r="N207">
        <v>2</v>
      </c>
      <c r="O207" t="s">
        <v>67</v>
      </c>
      <c r="P207" t="s">
        <v>96</v>
      </c>
      <c r="Q207" t="s">
        <v>41</v>
      </c>
      <c r="S207" t="s">
        <v>43</v>
      </c>
      <c r="T207">
        <v>1</v>
      </c>
      <c r="V207">
        <v>1</v>
      </c>
      <c r="W207" t="s">
        <v>44</v>
      </c>
      <c r="AA207" t="s">
        <v>63</v>
      </c>
      <c r="AB207">
        <v>3</v>
      </c>
      <c r="AD207">
        <v>1</v>
      </c>
      <c r="AE207" t="s">
        <v>72</v>
      </c>
      <c r="AF207" t="s">
        <v>91</v>
      </c>
      <c r="AI207">
        <v>0</v>
      </c>
      <c r="AJ207">
        <v>13</v>
      </c>
    </row>
    <row r="208" spans="1:36" x14ac:dyDescent="0.25">
      <c r="A208" t="s">
        <v>1035</v>
      </c>
      <c r="B208">
        <v>354</v>
      </c>
      <c r="C208" t="s">
        <v>33</v>
      </c>
      <c r="D208">
        <v>2</v>
      </c>
      <c r="F208">
        <v>1</v>
      </c>
      <c r="G208" t="s">
        <v>34</v>
      </c>
      <c r="K208" t="s">
        <v>38</v>
      </c>
      <c r="L208">
        <v>3</v>
      </c>
      <c r="M208">
        <v>1</v>
      </c>
      <c r="N208">
        <v>2</v>
      </c>
      <c r="O208" t="s">
        <v>39</v>
      </c>
      <c r="P208" t="s">
        <v>96</v>
      </c>
      <c r="Q208" t="s">
        <v>154</v>
      </c>
      <c r="R208" t="s">
        <v>155</v>
      </c>
      <c r="S208" t="s">
        <v>45</v>
      </c>
      <c r="T208">
        <v>1</v>
      </c>
      <c r="V208">
        <v>1</v>
      </c>
      <c r="W208" t="s">
        <v>140</v>
      </c>
      <c r="AA208" t="s">
        <v>63</v>
      </c>
      <c r="AB208">
        <v>3</v>
      </c>
      <c r="AD208">
        <v>2</v>
      </c>
      <c r="AE208" t="s">
        <v>72</v>
      </c>
      <c r="AF208" t="s">
        <v>91</v>
      </c>
      <c r="AG208" t="s">
        <v>147</v>
      </c>
      <c r="AH208" t="s">
        <v>151</v>
      </c>
      <c r="AI208">
        <v>0</v>
      </c>
      <c r="AJ208">
        <v>18</v>
      </c>
    </row>
    <row r="209" spans="1:36" x14ac:dyDescent="0.25">
      <c r="A209" t="s">
        <v>1036</v>
      </c>
      <c r="B209">
        <v>363</v>
      </c>
      <c r="C209" t="s">
        <v>63</v>
      </c>
      <c r="D209">
        <v>3</v>
      </c>
      <c r="F209">
        <v>3</v>
      </c>
      <c r="G209" t="s">
        <v>145</v>
      </c>
      <c r="H209" t="s">
        <v>146</v>
      </c>
      <c r="K209" t="s">
        <v>38</v>
      </c>
      <c r="L209">
        <v>2</v>
      </c>
      <c r="M209">
        <v>1</v>
      </c>
      <c r="N209">
        <v>3</v>
      </c>
      <c r="O209" t="s">
        <v>39</v>
      </c>
      <c r="P209" t="s">
        <v>96</v>
      </c>
      <c r="Q209" t="s">
        <v>154</v>
      </c>
      <c r="S209" t="s">
        <v>43</v>
      </c>
      <c r="T209">
        <v>3</v>
      </c>
      <c r="V209">
        <v>1</v>
      </c>
      <c r="W209" t="s">
        <v>135</v>
      </c>
      <c r="X209" t="s">
        <v>136</v>
      </c>
      <c r="Y209" t="s">
        <v>137</v>
      </c>
      <c r="Z209" t="s">
        <v>139</v>
      </c>
      <c r="AA209" t="s">
        <v>45</v>
      </c>
      <c r="AB209">
        <v>2</v>
      </c>
      <c r="AD209">
        <v>1</v>
      </c>
      <c r="AE209" t="s">
        <v>86</v>
      </c>
      <c r="AI209">
        <v>0</v>
      </c>
      <c r="AJ209">
        <v>20</v>
      </c>
    </row>
    <row r="210" spans="1:36" x14ac:dyDescent="0.25">
      <c r="A210" t="s">
        <v>1037</v>
      </c>
      <c r="B210">
        <v>366</v>
      </c>
      <c r="C210" t="s">
        <v>43</v>
      </c>
      <c r="D210">
        <v>1</v>
      </c>
      <c r="F210">
        <v>1</v>
      </c>
      <c r="G210" t="s">
        <v>135</v>
      </c>
      <c r="H210" t="s">
        <v>136</v>
      </c>
      <c r="K210" t="s">
        <v>63</v>
      </c>
      <c r="L210">
        <v>3</v>
      </c>
      <c r="N210">
        <v>3</v>
      </c>
      <c r="O210" t="s">
        <v>103</v>
      </c>
      <c r="P210" t="s">
        <v>91</v>
      </c>
      <c r="Q210" t="s">
        <v>147</v>
      </c>
      <c r="R210" t="s">
        <v>151</v>
      </c>
      <c r="S210" t="s">
        <v>45</v>
      </c>
      <c r="T210">
        <v>3</v>
      </c>
      <c r="V210">
        <v>1</v>
      </c>
      <c r="W210" t="s">
        <v>140</v>
      </c>
      <c r="AA210" t="s">
        <v>38</v>
      </c>
      <c r="AB210">
        <v>3</v>
      </c>
      <c r="AC210">
        <v>3</v>
      </c>
      <c r="AD210">
        <v>3</v>
      </c>
      <c r="AE210" t="s">
        <v>39</v>
      </c>
      <c r="AF210" t="s">
        <v>96</v>
      </c>
      <c r="AG210" t="s">
        <v>154</v>
      </c>
      <c r="AH210" t="s">
        <v>156</v>
      </c>
      <c r="AI210">
        <v>0</v>
      </c>
      <c r="AJ210">
        <v>32</v>
      </c>
    </row>
    <row r="211" spans="1:36" x14ac:dyDescent="0.25">
      <c r="A211" t="s">
        <v>1038</v>
      </c>
      <c r="B211">
        <v>369</v>
      </c>
      <c r="C211" t="s">
        <v>43</v>
      </c>
      <c r="D211">
        <v>2</v>
      </c>
      <c r="F211">
        <v>1</v>
      </c>
      <c r="G211" t="s">
        <v>135</v>
      </c>
      <c r="H211" t="s">
        <v>136</v>
      </c>
      <c r="I211" t="s">
        <v>137</v>
      </c>
      <c r="K211" t="s">
        <v>38</v>
      </c>
      <c r="L211">
        <v>2</v>
      </c>
      <c r="M211">
        <v>1</v>
      </c>
      <c r="N211">
        <v>2</v>
      </c>
      <c r="O211" t="s">
        <v>39</v>
      </c>
      <c r="P211" t="s">
        <v>96</v>
      </c>
      <c r="Q211" t="s">
        <v>41</v>
      </c>
      <c r="S211" t="s">
        <v>45</v>
      </c>
      <c r="T211">
        <v>2</v>
      </c>
      <c r="V211">
        <v>2</v>
      </c>
      <c r="W211" t="s">
        <v>140</v>
      </c>
      <c r="AA211" t="s">
        <v>63</v>
      </c>
      <c r="AB211">
        <v>2</v>
      </c>
      <c r="AD211">
        <v>1</v>
      </c>
      <c r="AE211" t="s">
        <v>103</v>
      </c>
      <c r="AF211" t="s">
        <v>91</v>
      </c>
      <c r="AI211">
        <v>0</v>
      </c>
      <c r="AJ211">
        <v>16</v>
      </c>
    </row>
  </sheetData>
  <conditionalFormatting sqref="B212:B1048576 B1">
    <cfRule type="duplicateValues" dxfId="3" priority="6"/>
  </conditionalFormatting>
  <conditionalFormatting sqref="B211">
    <cfRule type="duplicateValues" dxfId="2" priority="1"/>
  </conditionalFormatting>
  <conditionalFormatting sqref="B2:B211">
    <cfRule type="duplicateValues" dxfId="1" priority="3575"/>
  </conditionalFormatting>
  <conditionalFormatting sqref="A2:B211">
    <cfRule type="duplicateValues" dxfId="0" priority="3577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4" s="3">
        <f>IF(ScenarioTeams5[[#This Row],[battles]],ScenarioTeams5[[#This Row],[wins]]/ScenarioTeams5[[#This Row],[battles]],0)</f>
        <v>0.73333333333333328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5" s="3">
        <f>IF(ScenarioTeams5[[#This Row],[battles]],ScenarioTeams5[[#This Row],[wins]]/ScenarioTeams5[[#This Row],[battles]],0)</f>
        <v>0.6</v>
      </c>
      <c r="O5" s="4" t="s">
        <v>158</v>
      </c>
      <c r="P5" s="30">
        <f>MIN(Scenario5[turns])</f>
        <v>11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6" s="3">
        <f>IF(ScenarioTeams5[[#This Row],[battles]],ScenarioTeams5[[#This Row],[wins]]/ScenarioTeams5[[#This Row],[battles]],0)</f>
        <v>0.6</v>
      </c>
      <c r="O6" s="5" t="s">
        <v>108</v>
      </c>
      <c r="P6" s="31">
        <f>AVERAGE(Scenario5[turns])</f>
        <v>24.990476190476191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64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8" s="3">
        <f>IF(ScenarioTeams5[[#This Row],[battles]],ScenarioTeams5[[#This Row],[wins]]/ScenarioTeams5[[#This Row],[battles]],0)</f>
        <v>0.8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9" s="3">
        <f>IF(ScenarioTeams5[[#This Row],[battles]],ScenarioTeams5[[#This Row],[wins]]/ScenarioTeams5[[#This Row],[battles]],0)</f>
        <v>0.53333333333333333</v>
      </c>
      <c r="O9" s="4" t="s">
        <v>185</v>
      </c>
      <c r="P9" s="30">
        <f>120000*$P$6/1000/60</f>
        <v>49.980952380952381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0" s="3">
        <f>IF(ScenarioTeams5[[#This Row],[battles]],ScenarioTeams5[[#This Row],[wins]]/ScenarioTeams5[[#This Row],[battles]],0)</f>
        <v>0.53333333333333333</v>
      </c>
      <c r="O10" s="5" t="s">
        <v>186</v>
      </c>
      <c r="P10" s="31">
        <f>P9*COUNTA(ScenarioStat5[hero-1])/60/24</f>
        <v>7.2888888888888888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2" s="3">
        <f>IF(ScenarioTeams5[[#This Row],[battles]],ScenarioTeams5[[#This Row],[wins]]/ScenarioTeams5[[#This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3" s="3">
        <f>IF(ScenarioTeams5[[#This Row],[battles]],ScenarioTeams5[[#This Row],[wins]]/ScenarioTeams5[[#This Row],[battles]],0)</f>
        <v>0.6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4" s="3">
        <f>IF(ScenarioTeams5[[#This Row],[battles]],ScenarioTeams5[[#This Row],[wins]]/ScenarioTeams5[[#This Row],[battles]],0)</f>
        <v>0.8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5" s="3">
        <f>IF(ScenarioTeams5[[#This Row],[battles]],ScenarioTeams5[[#This Row],[wins]]/ScenarioTeams5[[#This Row],[battles]],0)</f>
        <v>0.2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6" s="3">
        <f>IF(ScenarioTeams5[[#This Row],[battles]],ScenarioTeams5[[#This Row],[wins]]/ScenarioTeams5[[#This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7" s="3">
        <f>IF(ScenarioTeams5[[#This Row],[battles]],ScenarioTeams5[[#This Row],[wins]]/ScenarioTeams5[[#This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8" s="3">
        <f>IF(ScenarioTeams5[[#This Row],[battles]],ScenarioTeams5[[#This Row],[wins]]/ScenarioTeams5[[#This Row],[battles]],0)</f>
        <v>0.66666666666666663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9" s="3">
        <f>IF(ScenarioTeams5[[#This Row],[battles]],ScenarioTeams5[[#This Row],[wins]]/ScenarioTeams5[[#This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0" s="3">
        <f>IF(ScenarioTeams5[[#This Row],[battles]],ScenarioTeams5[[#This Row],[wins]]/ScenarioTeams5[[#This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1" s="3">
        <f>IF(ScenarioTeams5[[#This Row],[battles]],ScenarioTeams5[[#This Row],[wins]]/ScenarioTeams5[[#This Row],[battles]],0)</f>
        <v>0.26666666666666666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2" s="3">
        <f>IF(ScenarioTeams5[[#This Row],[battles]],ScenarioTeams5[[#This Row],[wins]]/ScenarioTeams5[[#This Row],[battles]],0)</f>
        <v>0.4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3" s="3">
        <f>IF(ScenarioTeams5[[#This Row],[battles]],ScenarioTeams5[[#This Row],[wins]]/ScenarioTeams5[[#This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4" s="3">
        <f>IF(ScenarioTeams5[[#This Row],[battles]],ScenarioTeams5[[#This Row],[wins]]/ScenarioTeams5[[#This Row],[battles]],0)</f>
        <v>0.33333333333333331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5" s="3">
        <f>IF(ScenarioTeams5[[#This Row],[battles]],ScenarioTeams5[[#This Row],[wins]]/ScenarioTeams5[[#This Row],[battles]],0)</f>
        <v>0.46666666666666667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26" s="3">
        <f>IF(ScenarioTeams5[[#This Row],[battles]],ScenarioTeams5[[#This Row],[wins]]/ScenarioTeams5[[#This Row],[battles]],0)</f>
        <v>0.73333333333333328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7" s="3">
        <f>IF(ScenarioTeams5[[#This Row],[battles]],ScenarioTeams5[[#This Row],[wins]]/ScenarioTeams5[[#This Row],[battles]],0)</f>
        <v>0.46666666666666667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8" s="3">
        <f>IF(ScenarioTeams5[[#This Row],[battles]],ScenarioTeams5[[#This Row],[wins]]/ScenarioTeams5[[#This Row],[battles]],0)</f>
        <v>0.66666666666666663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9" s="3">
        <f>IF(ScenarioTeams5[[#This Row],[battles]],ScenarioTeams5[[#This Row],[wins]]/ScenarioTeams5[[#This Row],[battles]],0)</f>
        <v>0.2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30" s="3">
        <f>IF(ScenarioTeams5[[#This Row],[battles]],ScenarioTeams5[[#This Row],[wins]]/ScenarioTeams5[[#This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L9" sqref="L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46</v>
      </c>
      <c r="D2">
        <f>COUNTIF(Scenario1[winner1],HeroStatistics[[#This Row],[hero]])+COUNTIF(Scenario1[winner2],HeroStatistics[[#This Row],[hero]])</f>
        <v>47</v>
      </c>
      <c r="E2">
        <f>COUNTIF(Scenario2[winner1],HeroStatistics[[#This Row],[hero]])</f>
        <v>12</v>
      </c>
      <c r="F2">
        <f>COUNTIF(Scenario3[winner1],HeroStatistics[[#This Row],[hero]])</f>
        <v>11</v>
      </c>
      <c r="G2">
        <f>COUNTIF(Scenario4[winner1],HeroStatistics[[#This Row],[hero]])</f>
        <v>8</v>
      </c>
      <c r="H2">
        <f>COUNTIF(Scenario5[winner1],HeroStatistics[[#This Row],[hero]])+COUNTIF(Scenario5[winner2],HeroStatistics[[#This Row],[hero]])</f>
        <v>67</v>
      </c>
      <c r="I2">
        <f>SUM(HeroStatistics[[#This Row],[0-wins]:[5-wins]])</f>
        <v>191</v>
      </c>
      <c r="J2" s="35">
        <f>HeroStatistics[[#This Row],[wins]]/HeroStatistics[[#This Row],[battles]]</f>
        <v>0.4961038961038961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47</v>
      </c>
      <c r="D3">
        <f>COUNTIF(Scenario1[winner1],HeroStatistics[[#This Row],[hero]])+COUNTIF(Scenario1[winner2],HeroStatistics[[#This Row],[hero]])</f>
        <v>38</v>
      </c>
      <c r="E3">
        <f>COUNTIF(Scenario2[winner1],HeroStatistics[[#This Row],[hero]])</f>
        <v>9</v>
      </c>
      <c r="F3">
        <f>COUNTIF(Scenario3[winner1],HeroStatistics[[#This Row],[hero]])</f>
        <v>11</v>
      </c>
      <c r="G3">
        <f>COUNTIF(Scenario4[winner1],HeroStatistics[[#This Row],[hero]])</f>
        <v>9</v>
      </c>
      <c r="H3">
        <f>COUNTIF(Scenario5[winner1],HeroStatistics[[#This Row],[hero]])+COUNTIF(Scenario5[winner2],HeroStatistics[[#This Row],[hero]])</f>
        <v>55</v>
      </c>
      <c r="I3">
        <f>SUM(HeroStatistics[[#This Row],[0-wins]:[5-wins]])</f>
        <v>169</v>
      </c>
      <c r="J3" s="35">
        <f>HeroStatistics[[#This Row],[wins]]/HeroStatistics[[#This Row],[battles]]</f>
        <v>0.43896103896103894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57</v>
      </c>
      <c r="D4">
        <f>COUNTIF(Scenario1[winner1],HeroStatistics[[#This Row],[hero]])+COUNTIF(Scenario1[winner2],HeroStatistics[[#This Row],[hero]])</f>
        <v>55</v>
      </c>
      <c r="E4">
        <f>COUNTIF(Scenario2[winner1],HeroStatistics[[#This Row],[hero]])</f>
        <v>10</v>
      </c>
      <c r="F4">
        <f>COUNTIF(Scenario3[winner1],HeroStatistics[[#This Row],[hero]])</f>
        <v>5</v>
      </c>
      <c r="G4">
        <f>COUNTIF(Scenario4[winner1],HeroStatistics[[#This Row],[hero]])</f>
        <v>7</v>
      </c>
      <c r="H4">
        <f>COUNTIF(Scenario5[winner1],HeroStatistics[[#This Row],[hero]])+COUNTIF(Scenario5[winner2],HeroStatistics[[#This Row],[hero]])</f>
        <v>52</v>
      </c>
      <c r="I4">
        <f>SUM(HeroStatistics[[#This Row],[0-wins]:[5-wins]])</f>
        <v>186</v>
      </c>
      <c r="J4" s="35">
        <f>HeroStatistics[[#This Row],[wins]]/HeroStatistics[[#This Row],[battles]]</f>
        <v>0.48311688311688311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70</v>
      </c>
      <c r="D5">
        <f>COUNTIF(Scenario1[winner1],HeroStatistics[[#This Row],[hero]])+COUNTIF(Scenario1[winner2],HeroStatistics[[#This Row],[hero]])</f>
        <v>55</v>
      </c>
      <c r="E5">
        <f>COUNTIF(Scenario2[winner1],HeroStatistics[[#This Row],[hero]])</f>
        <v>5</v>
      </c>
      <c r="F5">
        <f>COUNTIF(Scenario3[winner1],HeroStatistics[[#This Row],[hero]])</f>
        <v>10</v>
      </c>
      <c r="G5">
        <f>COUNTIF(Scenario4[winner1],HeroStatistics[[#This Row],[hero]])</f>
        <v>13</v>
      </c>
      <c r="H5">
        <f>COUNTIF(Scenario5[winner1],HeroStatistics[[#This Row],[hero]])+COUNTIF(Scenario5[winner2],HeroStatistics[[#This Row],[hero]])</f>
        <v>36</v>
      </c>
      <c r="I5">
        <f>SUM(HeroStatistics[[#This Row],[0-wins]:[5-wins]])</f>
        <v>189</v>
      </c>
      <c r="J5" s="35">
        <f>HeroStatistics[[#This Row],[wins]]/HeroStatistics[[#This Row],[battles]]</f>
        <v>0.49090909090909091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54</v>
      </c>
      <c r="D6">
        <f>COUNTIF(Scenario1[winner1],HeroStatistics[[#This Row],[hero]])+COUNTIF(Scenario1[winner2],HeroStatistics[[#This Row],[hero]])</f>
        <v>55</v>
      </c>
      <c r="E6">
        <f>COUNTIF(Scenario2[winner1],HeroStatistics[[#This Row],[hero]])</f>
        <v>6</v>
      </c>
      <c r="F6">
        <f>COUNTIF(Scenario3[winner1],HeroStatistics[[#This Row],[hero]])</f>
        <v>3</v>
      </c>
      <c r="G6">
        <f>COUNTIF(Scenario4[winner1],HeroStatistics[[#This Row],[hero]])</f>
        <v>8</v>
      </c>
      <c r="H6">
        <f>COUNTIF(Scenario5[winner1],HeroStatistics[[#This Row],[hero]])+COUNTIF(Scenario5[winner2],HeroStatistics[[#This Row],[hero]])</f>
        <v>55</v>
      </c>
      <c r="I6">
        <f>SUM(HeroStatistics[[#This Row],[0-wins]:[5-wins]])</f>
        <v>181</v>
      </c>
      <c r="J6" s="35">
        <f>HeroStatistics[[#This Row],[wins]]/HeroStatistics[[#This Row],[battles]]</f>
        <v>0.47012987012987012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51</v>
      </c>
      <c r="D7">
        <f>COUNTIF(Scenario1[winner1],HeroStatistics[[#This Row],[hero]])+COUNTIF(Scenario1[winner2],HeroStatistics[[#This Row],[hero]])</f>
        <v>56</v>
      </c>
      <c r="E7">
        <f>COUNTIF(Scenario2[winner1],HeroStatistics[[#This Row],[hero]])</f>
        <v>6</v>
      </c>
      <c r="F7">
        <f>COUNTIF(Scenario3[winner1],HeroStatistics[[#This Row],[hero]])</f>
        <v>6</v>
      </c>
      <c r="G7">
        <f>COUNTIF(Scenario4[winner1],HeroStatistics[[#This Row],[hero]])</f>
        <v>12</v>
      </c>
      <c r="H7">
        <f>COUNTIF(Scenario5[winner1],HeroStatistics[[#This Row],[hero]])+COUNTIF(Scenario5[winner2],HeroStatistics[[#This Row],[hero]])</f>
        <v>54</v>
      </c>
      <c r="I7">
        <f>SUM(HeroStatistics[[#This Row],[0-wins]:[5-wins]])</f>
        <v>185</v>
      </c>
      <c r="J7" s="35">
        <f>HeroStatistics[[#This Row],[wins]]/HeroStatistics[[#This Row],[battles]]</f>
        <v>0.48051948051948051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39</v>
      </c>
      <c r="D8">
        <f>COUNTIF(Scenario1[winner1],HeroStatistics[[#This Row],[hero]])+COUNTIF(Scenario1[winner2],HeroStatistics[[#This Row],[hero]])</f>
        <v>36</v>
      </c>
      <c r="E8">
        <f>COUNTIF(Scenario2[winner1],HeroStatistics[[#This Row],[hero]])</f>
        <v>2</v>
      </c>
      <c r="F8">
        <f>COUNTIF(Scenario3[winner1],HeroStatistics[[#This Row],[hero]])</f>
        <v>5</v>
      </c>
      <c r="G8">
        <f>COUNTIF(Scenario4[winner1],HeroStatistics[[#This Row],[hero]])</f>
        <v>9</v>
      </c>
      <c r="H8">
        <f>COUNTIF(Scenario5[winner1],HeroStatistics[[#This Row],[hero]])+COUNTIF(Scenario5[winner2],HeroStatistics[[#This Row],[hero]])</f>
        <v>63</v>
      </c>
      <c r="I8">
        <f>SUM(HeroStatistics[[#This Row],[0-wins]:[5-wins]])</f>
        <v>154</v>
      </c>
      <c r="J8" s="35">
        <f>HeroStatistics[[#This Row],[wins]]/HeroStatistics[[#This Row],[battles]]</f>
        <v>0.4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56</v>
      </c>
      <c r="D9">
        <f>COUNTIF(Scenario1[winner1],HeroStatistics[[#This Row],[hero]])+COUNTIF(Scenario1[winner2],HeroStatistics[[#This Row],[hero]])</f>
        <v>78</v>
      </c>
      <c r="E9">
        <f>COUNTIF(Scenario2[winner1],HeroStatistics[[#This Row],[hero]])</f>
        <v>6</v>
      </c>
      <c r="F9">
        <f>COUNTIF(Scenario3[winner1],HeroStatistics[[#This Row],[hero]])</f>
        <v>5</v>
      </c>
      <c r="G9">
        <f>COUNTIF(Scenario4[winner1],HeroStatistics[[#This Row],[hero]])</f>
        <v>4</v>
      </c>
      <c r="H9">
        <f>COUNTIF(Scenario5[winner1],HeroStatistics[[#This Row],[hero]])+COUNTIF(Scenario5[winner2],HeroStatistics[[#This Row],[hero]])</f>
        <v>38</v>
      </c>
      <c r="I9">
        <f>SUM(HeroStatistics[[#This Row],[0-wins]:[5-wins]])</f>
        <v>187</v>
      </c>
      <c r="J9" s="35">
        <f>HeroStatistics[[#This Row],[wins]]/HeroStatistics[[#This Row],[battles]]</f>
        <v>0.48571428571428571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0.26753246753246751</v>
      </c>
    </row>
    <row r="3" spans="1:24" x14ac:dyDescent="0.25">
      <c r="A3" s="17" t="s">
        <v>54</v>
      </c>
      <c r="B3">
        <f>M3+M24+M45+M66+M87+M108</f>
        <v>41</v>
      </c>
      <c r="C3">
        <f>N3+N24+N45+N66+N87+N108</f>
        <v>19</v>
      </c>
      <c r="D3" s="3">
        <f>IF(SUM(ParagonAbilities1[[#This Row],[takes]]) &gt; 0,ParagonAbilities1[[#This Row],[takes]]/SUM(ParagonAbilities1[takes]),0)</f>
        <v>0.10649350649350649</v>
      </c>
      <c r="E3" s="3">
        <f>IF(ParagonAbilities1[[#This Row],[takes]]&gt;0,ParagonAbilities1[[#This Row],[wins]]/ParagonAbilities1[[#This Row],[takes]],0)</f>
        <v>0.46341463414634149</v>
      </c>
      <c r="G3">
        <v>1</v>
      </c>
      <c r="H3">
        <f>S3+S24+S45+S66+S87+S108</f>
        <v>120</v>
      </c>
      <c r="I3">
        <f>T3+T24+T45+T66+T87+T108</f>
        <v>196</v>
      </c>
      <c r="J3" s="18">
        <f>U3+U24+U45+U66+U87+U108</f>
        <v>174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34</v>
      </c>
      <c r="N3">
        <f>COUNTIF(Scenario0[winner1-ability1],ParagonAbilities1Scenario0[[#This Row],[ability]])+COUNTIF(Scenario0[winner2-ability1],ParagonAbilities1Scenario0[[#This Row],[ability]])</f>
        <v>16</v>
      </c>
      <c r="O3" s="3">
        <f>IF(SUM(ParagonAbilities1Scenario0[[#This Row],[takes]]) &gt; 0,ParagonAbilities1Scenario0[[#This Row],[takes]]/SUM(ParagonAbilities1Scenario0[takes]),0)</f>
        <v>0.32380952380952382</v>
      </c>
      <c r="P3" s="3">
        <f>IF(ParagonAbilities1Scenario0[[#This Row],[takes]]&gt;0,ParagonAbilities1Scenario0[[#This Row],[wins]]/ParagonAbilities1Scenario0[[#This Row],[takes]],0)</f>
        <v>0.47058823529411764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48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86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77</v>
      </c>
      <c r="W3" t="s">
        <v>189</v>
      </c>
      <c r="X3" s="16">
        <f>H5/SUM(ParagonEquip[spear])</f>
        <v>0.42077922077922075</v>
      </c>
    </row>
    <row r="4" spans="1:24" x14ac:dyDescent="0.25">
      <c r="A4" s="17" t="s">
        <v>111</v>
      </c>
      <c r="B4">
        <f t="shared" ref="B4:B5" si="0">M4+M25+M46+M67+M88+M109</f>
        <v>192</v>
      </c>
      <c r="C4">
        <f t="shared" ref="C4:C5" si="1">N4+N25+N46+N67+N88+N109</f>
        <v>91</v>
      </c>
      <c r="D4" s="3">
        <f>IF(SUM(ParagonAbilities1[[#This Row],[takes]]) &gt; 0,ParagonAbilities1[[#This Row],[takes]]/SUM(ParagonAbilities1[takes]),0)</f>
        <v>0.4987012987012987</v>
      </c>
      <c r="E4" s="3">
        <f>IF(ParagonAbilities1[[#This Row],[takes]]&gt;0,ParagonAbilities1[[#This Row],[wins]]/ParagonAbilities1[[#This Row],[takes]],0)</f>
        <v>0.47395833333333331</v>
      </c>
      <c r="G4">
        <v>2</v>
      </c>
      <c r="H4">
        <f t="shared" ref="H4:H5" si="2">S4+S25+S46+S67+S88+S109</f>
        <v>103</v>
      </c>
      <c r="I4">
        <f t="shared" ref="I4:I5" si="3">T4+T25+T46+T67+T88+T109</f>
        <v>25</v>
      </c>
      <c r="J4" s="18">
        <f t="shared" ref="J4:J5" si="4">U4+U25+U46+U67+U88+U109</f>
        <v>74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71</v>
      </c>
      <c r="N4">
        <f>COUNTIF(Scenario0[winner1-ability1],ParagonAbilities1Scenario0[[#This Row],[ability]])+COUNTIF(Scenario0[winner2-ability1],ParagonAbilities1Scenario0[[#This Row],[ability]])</f>
        <v>30</v>
      </c>
      <c r="O4" s="3">
        <f>IF(SUM(ParagonAbilities1Scenario0[[#This Row],[takes]]) &gt; 0,ParagonAbilities1Scenario0[[#This Row],[takes]]/SUM(ParagonAbilities1Scenario0[takes]),0)</f>
        <v>0.67619047619047623</v>
      </c>
      <c r="P4" s="3">
        <f>IF(ParagonAbilities1Scenario0[[#This Row],[takes]]&gt;0,ParagonAbilities1Scenario0[[#This Row],[wins]]/ParagonAbilities1Scenario0[[#This Row],[takes]],0)</f>
        <v>0.42253521126760563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38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12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24</v>
      </c>
      <c r="W4" t="s">
        <v>190</v>
      </c>
      <c r="X4" s="3">
        <f>ParagonEquip[[#This Row],[shield]]/SUM(ParagonEquip[shield])</f>
        <v>6.4935064935064929E-2</v>
      </c>
    </row>
    <row r="5" spans="1:24" x14ac:dyDescent="0.25">
      <c r="A5" s="17" t="s">
        <v>112</v>
      </c>
      <c r="B5">
        <f t="shared" si="0"/>
        <v>152</v>
      </c>
      <c r="C5">
        <f t="shared" si="1"/>
        <v>81</v>
      </c>
      <c r="D5" s="3">
        <f>IF(SUM(ParagonAbilities1[[#This Row],[takes]]) &gt; 0,ParagonAbilities1[[#This Row],[takes]]/SUM(ParagonAbilities1[takes]),0)</f>
        <v>0.39480519480519483</v>
      </c>
      <c r="E5" s="3">
        <f>IF(ParagonAbilities1[[#This Row],[takes]]&gt;0,ParagonAbilities1[[#This Row],[wins]]/ParagonAbilities1[[#This Row],[takes]],0)</f>
        <v>0.53289473684210531</v>
      </c>
      <c r="G5">
        <v>3</v>
      </c>
      <c r="H5">
        <f t="shared" si="2"/>
        <v>162</v>
      </c>
      <c r="I5">
        <f t="shared" si="3"/>
        <v>164</v>
      </c>
      <c r="J5" s="18">
        <f t="shared" si="4"/>
        <v>137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19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4</v>
      </c>
      <c r="W5" t="s">
        <v>191</v>
      </c>
      <c r="X5" s="16">
        <f>ParagonEquip[[#This Row],[shield]]/SUM(ParagonEquip[shield])</f>
        <v>0.42597402597402595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0.19220779220779222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0.35584415584415585</v>
      </c>
    </row>
    <row r="8" spans="1:24" x14ac:dyDescent="0.25">
      <c r="A8" s="20" t="s">
        <v>55</v>
      </c>
      <c r="B8" s="2">
        <f>M8+M29+M50+M71+M92+M113</f>
        <v>71</v>
      </c>
      <c r="C8" s="2">
        <f>N8+N29+N50+N71+N92+N113</f>
        <v>40</v>
      </c>
      <c r="D8" s="12">
        <f>IF(SUM(ParagonAbilities2[[#This Row],[takes]]) &gt; 0,ParagonAbilities2[[#This Row],[takes]]/SUM(ParagonAbilities2[takes]),0)</f>
        <v>0.26893939393939392</v>
      </c>
      <c r="E8" s="12">
        <f>IF(ParagonAbilities2[[#This Row],[takes]]&gt;0,ParagonAbilities2[[#This Row],[wins]]/ParagonAbilities2[[#This Row],[takes]],0)</f>
        <v>0.56338028169014087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22</v>
      </c>
      <c r="N8" s="2">
        <f>COUNTIF(Scenario0[winner1-ability2],ParagonAbilities2Scenario0[[#This Row],[ability]])+COUNTIF(Scenario0[winner2-ability2],ParagonAbilities2Scenario0[[#This Row],[ability]])</f>
        <v>10</v>
      </c>
      <c r="O8" s="12">
        <f>IF(SUM(ParagonAbilities2Scenario0[[#This Row],[takes]]) &gt; 0,ParagonAbilities2Scenario0[[#This Row],[takes]]/SUM(ParagonAbilities2Scenario0[takes]),0)</f>
        <v>0.47826086956521741</v>
      </c>
      <c r="P8" s="12">
        <f>IF(ParagonAbilities2Scenario0[[#This Row],[takes]]&gt;0,ParagonAbilities2Scenario0[[#This Row],[wins]]/ParagonAbilities2Scenario0[[#This Row],[takes]],0)</f>
        <v>0.45454545454545453</v>
      </c>
      <c r="U8" s="18"/>
      <c r="W8" t="s">
        <v>176</v>
      </c>
      <c r="X8" s="3">
        <f>SUM(ParagonAbilities2[takes])/SUM(ParagonAbilities1[takes])</f>
        <v>0.68571428571428572</v>
      </c>
    </row>
    <row r="9" spans="1:24" x14ac:dyDescent="0.25">
      <c r="A9" s="17" t="s">
        <v>83</v>
      </c>
      <c r="B9" s="2">
        <f t="shared" ref="B9:B10" si="5">M9+M30+M51+M72+M93+M114</f>
        <v>150</v>
      </c>
      <c r="C9" s="2">
        <f t="shared" ref="C9:C10" si="6">N9+N30+N51+N72+N93+N114</f>
        <v>73</v>
      </c>
      <c r="D9" s="3">
        <f>IF(SUM(ParagonAbilities2[[#This Row],[takes]]) &gt; 0,ParagonAbilities2[[#This Row],[takes]]/SUM(ParagonAbilities2[takes]),0)</f>
        <v>0.56818181818181823</v>
      </c>
      <c r="E9" s="3">
        <f>IF(ParagonAbilities2[[#This Row],[takes]]&gt;0,ParagonAbilities2[[#This Row],[wins]]/ParagonAbilities2[[#This Row],[takes]],0)</f>
        <v>0.48666666666666669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18</v>
      </c>
      <c r="N9" s="2">
        <f>COUNTIF(Scenario0[winner1-ability2],ParagonAbilities2Scenario0[[#This Row],[ability]])+COUNTIF(Scenario0[winner2-ability2],ParagonAbilities2Scenario0[[#This Row],[ability]])</f>
        <v>4</v>
      </c>
      <c r="O9" s="3">
        <f>IF(SUM(ParagonAbilities2Scenario0[[#This Row],[takes]]) &gt; 0,ParagonAbilities2Scenario0[[#This Row],[takes]]/SUM(ParagonAbilities2Scenario0[takes]),0)</f>
        <v>0.39130434782608697</v>
      </c>
      <c r="P9" s="3">
        <f>IF(ParagonAbilities2Scenario0[[#This Row],[takes]]&gt;0,ParagonAbilities2Scenario0[[#This Row],[wins]]/ParagonAbilities2Scenario0[[#This Row],[takes]],0)</f>
        <v>0.22222222222222221</v>
      </c>
      <c r="U9" s="18"/>
      <c r="W9" t="s">
        <v>177</v>
      </c>
      <c r="X9" s="3">
        <f>SUM(ParagonAbilities3[takes])/SUM(ParagonAbilities1[takes])</f>
        <v>0.46233766233766233</v>
      </c>
    </row>
    <row r="10" spans="1:24" x14ac:dyDescent="0.25">
      <c r="A10" s="21" t="s">
        <v>113</v>
      </c>
      <c r="B10" s="2">
        <f t="shared" si="5"/>
        <v>43</v>
      </c>
      <c r="C10" s="2">
        <f t="shared" si="6"/>
        <v>34</v>
      </c>
      <c r="D10" s="13">
        <f>IF(SUM(ParagonAbilities2[[#This Row],[takes]]) &gt; 0,ParagonAbilities2[[#This Row],[takes]]/SUM(ParagonAbilities2[takes]),0)</f>
        <v>0.16287878787878787</v>
      </c>
      <c r="E10" s="13">
        <f>IF(ParagonAbilities2[[#This Row],[takes]]&gt;0,ParagonAbilities2[[#This Row],[wins]]/ParagonAbilities2[[#This Row],[takes]],0)</f>
        <v>0.79069767441860461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6</v>
      </c>
      <c r="N10" s="2">
        <f>COUNTIF(Scenario0[winner1-ability2],ParagonAbilities2Scenario0[[#This Row],[ability]])+COUNTIF(Scenario0[winner2-ability2],ParagonAbilities2Scenario0[[#This Row],[ability]])</f>
        <v>5</v>
      </c>
      <c r="O10" s="13">
        <f>IF(SUM(ParagonAbilities2Scenario0[[#This Row],[takes]]) &gt; 0,ParagonAbilities2Scenario0[[#This Row],[takes]]/SUM(ParagonAbilities2Scenario0[takes]),0)</f>
        <v>0.13043478260869565</v>
      </c>
      <c r="P10" s="13">
        <f>IF(ParagonAbilities2Scenario0[[#This Row],[takes]]&gt;0,ParagonAbilities2Scenario0[[#This Row],[wins]]/ParagonAbilities2Scenario0[[#This Row],[takes]],0)</f>
        <v>0.83333333333333337</v>
      </c>
      <c r="U10" s="18"/>
      <c r="W10" t="s">
        <v>178</v>
      </c>
      <c r="X10" s="16">
        <f>SUM(ParagonAbilities4[takes])/SUM(ParagonAbilities1[takes])</f>
        <v>0.31428571428571428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3.1896103896103898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41</v>
      </c>
      <c r="C13" s="1">
        <f>N13+N34+N55+N76+N97+N118</f>
        <v>33</v>
      </c>
      <c r="D13" s="14">
        <f>IF(SUM(ParagonAbilities3[[#This Row],[takes]]) &gt; 0,ParagonAbilities3[[#This Row],[takes]]/SUM(ParagonAbilities3[takes]),0)</f>
        <v>0.2303370786516854</v>
      </c>
      <c r="E13" s="14">
        <f>IF(ParagonAbilities3[[#This Row],[takes]]&gt;0,ParagonAbilities3[[#This Row],[wins]]/ParagonAbilities3[[#This Row],[takes]],0)</f>
        <v>0.80487804878048785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10</v>
      </c>
      <c r="N13" s="1">
        <f>COUNTIF(Scenario0[winner1-ability3],ParagonAbilities3Scenario0[[#This Row],[ability]])+COUNTIF(Scenario0[winner2-ability3],ParagonAbilities3Scenario0[[#This Row],[ability]])</f>
        <v>6</v>
      </c>
      <c r="O13" s="14">
        <f>IF(SUM(ParagonAbilities3Scenario0[[#This Row],[takes]]) &gt; 0,ParagonAbilities3Scenario0[[#This Row],[takes]]/SUM(ParagonAbilities3Scenario0[takes]),0)</f>
        <v>0.7142857142857143</v>
      </c>
      <c r="P13" s="14">
        <f>IF(ParagonAbilities3Scenario0[[#This Row],[takes]]&gt;0,ParagonAbilities3Scenario0[[#This Row],[wins]]/ParagonAbilities3Scenario0[[#This Row],[takes]],0)</f>
        <v>0.6</v>
      </c>
      <c r="U13" s="18"/>
    </row>
    <row r="14" spans="1:24" x14ac:dyDescent="0.25">
      <c r="A14" s="20" t="s">
        <v>105</v>
      </c>
      <c r="B14" s="2">
        <f t="shared" ref="B14:B15" si="7">M14+M35+M56+M77+M98+M119</f>
        <v>24</v>
      </c>
      <c r="C14" s="2">
        <f t="shared" ref="C14:C15" si="8">N14+N35+N56+N77+N98+N119</f>
        <v>13</v>
      </c>
      <c r="D14" s="12">
        <f>IF(SUM(ParagonAbilities3[[#This Row],[takes]]) &gt; 0,ParagonAbilities3[[#This Row],[takes]]/SUM(ParagonAbilities3[takes]),0)</f>
        <v>0.1348314606741573</v>
      </c>
      <c r="E14" s="12">
        <f>IF(ParagonAbilities3[[#This Row],[takes]]&gt;0,ParagonAbilities3[[#This Row],[wins]]/ParagonAbilities3[[#This Row],[takes]],0)</f>
        <v>0.54166666666666663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113</v>
      </c>
      <c r="C15" s="1">
        <f t="shared" si="8"/>
        <v>60</v>
      </c>
      <c r="D15" s="15">
        <f>IF(SUM(ParagonAbilities3[[#This Row],[takes]]) &gt; 0,ParagonAbilities3[[#This Row],[takes]]/SUM(ParagonAbilities3[takes]),0)</f>
        <v>0.6348314606741573</v>
      </c>
      <c r="E15" s="15">
        <f>IF(ParagonAbilities3[[#This Row],[takes]]&gt;0,ParagonAbilities3[[#This Row],[wins]]/ParagonAbilities3[[#This Row],[takes]],0)</f>
        <v>0.53097345132743368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4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0.2857142857142857</v>
      </c>
      <c r="P15" s="15">
        <f>IF(ParagonAbilities3Scenario0[[#This Row],[takes]]&gt;0,ParagonAbilities3Scenario0[[#This Row],[wins]]/ParagonAbilities3Scenario0[[#This Row],[takes]],0)</f>
        <v>0.5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38</v>
      </c>
      <c r="C18" s="2">
        <f>N18+N39+N60+N81+N102+N123</f>
        <v>30</v>
      </c>
      <c r="D18" s="12">
        <f>IF(SUM(ParagonAbilities4[[#This Row],[takes]]) &gt; 0,ParagonAbilities4[[#This Row],[takes]]/SUM(ParagonAbilities4[takes]),0)</f>
        <v>0.31404958677685951</v>
      </c>
      <c r="E18" s="12">
        <f>IF(ParagonAbilities4[[#This Row],[takes]]&gt;0,ParagonAbilities4[[#This Row],[wins]]/ParagonAbilities4[[#This Row],[takes]],0)</f>
        <v>0.78947368421052633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4</v>
      </c>
      <c r="N18" s="2">
        <f>COUNTIF(Scenario0[winner1-ability4],ParagonAbilities4Scenario0[[#This Row],[ability]])+COUNTIF(Scenario0[winner2-ability4],ParagonAbilities4Scenario0[[#This Row],[ability]])</f>
        <v>2</v>
      </c>
      <c r="O18" s="12">
        <f>IF(SUM(ParagonAbilities4Scenario0[[#This Row],[takes]]) &gt; 0,ParagonAbilities4Scenario0[[#This Row],[takes]]/SUM(ParagonAbilities4Scenario0[takes]),0)</f>
        <v>0.8</v>
      </c>
      <c r="P18" s="12">
        <f>IF(ParagonAbilities4Scenario0[[#This Row],[takes]]&gt;0,ParagonAbilities4Scenario0[[#This Row],[wins]]/ParagonAbilities4Scenario0[[#This Row],[takes]],0)</f>
        <v>0.5</v>
      </c>
      <c r="U18" s="18"/>
    </row>
    <row r="19" spans="1:21" x14ac:dyDescent="0.25">
      <c r="A19" s="20" t="s">
        <v>115</v>
      </c>
      <c r="B19" s="2">
        <f t="shared" ref="B19:B20" si="9">M19+M40+M61+M82+M103+M124</f>
        <v>58</v>
      </c>
      <c r="C19" s="2">
        <f t="shared" ref="C19:C20" si="10">N19+N40+N61+N82+N103+N124</f>
        <v>31</v>
      </c>
      <c r="D19" s="12">
        <f>IF(SUM(ParagonAbilities4[[#This Row],[takes]]) &gt; 0,ParagonAbilities4[[#This Row],[takes]]/SUM(ParagonAbilities4[takes]),0)</f>
        <v>0.47933884297520662</v>
      </c>
      <c r="E19" s="12">
        <f>IF(ParagonAbilities4[[#This Row],[takes]]&gt;0,ParagonAbilities4[[#This Row],[wins]]/ParagonAbilities4[[#This Row],[takes]],0)</f>
        <v>0.53448275862068961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0.2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25</v>
      </c>
      <c r="C20" s="2">
        <f t="shared" si="10"/>
        <v>22</v>
      </c>
      <c r="D20" s="26">
        <f>IF(SUM(ParagonAbilities4[[#This Row],[takes]]) &gt; 0,ParagonAbilities4[[#This Row],[takes]]/SUM(ParagonAbilities4[takes]),0)</f>
        <v>0.20661157024793389</v>
      </c>
      <c r="E20" s="26">
        <f>IF(ParagonAbilities4[[#This Row],[takes]]&gt;0,ParagonAbilities4[[#This Row],[wins]]/ParagonAbilities4[[#This Row],[takes]],0)</f>
        <v>0.88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6</v>
      </c>
      <c r="N24">
        <f>COUNTIF(Scenario1[winner1-ability1],ParagonAbilities1Scenario1[[#This Row],[ability]])+COUNTIF(Scenario1[winner2-ability1],ParagonAbilities1Scenario1[[#This Row],[ability]])</f>
        <v>2</v>
      </c>
      <c r="O24" s="3">
        <f>IF(SUM(ParagonAbilities1Scenario1[[#This Row],[takes]]) &gt; 0,ParagonAbilities1Scenario1[[#This Row],[takes]]/SUM(ParagonAbilities1Scenario1[takes]),0)</f>
        <v>5.7142857142857141E-2</v>
      </c>
      <c r="P24" s="3">
        <f>IF(ParagonAbilities1Scenario1[[#This Row],[takes]]&gt;0,ParagonAbilities1Scenario1[[#This Row],[wins]]/ParagonAbilities1Scenario1[[#This Row],[takes]],0)</f>
        <v>0.33333333333333331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29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99</v>
      </c>
      <c r="N25">
        <f>COUNTIF(Scenario1[winner1-ability1],ParagonAbilities1Scenario1[[#This Row],[ability]])+COUNTIF(Scenario1[winner2-ability1],ParagonAbilities1Scenario1[[#This Row],[ability]])</f>
        <v>45</v>
      </c>
      <c r="O25" s="3">
        <f>IF(SUM(ParagonAbilities1Scenario1[[#This Row],[takes]]) &gt; 0,ParagonAbilities1Scenario1[[#This Row],[takes]]/SUM(ParagonAbilities1Scenario1[takes]),0)</f>
        <v>0.94285714285714284</v>
      </c>
      <c r="P25" s="3">
        <f>IF(ParagonAbilities1Scenario1[[#This Row],[takes]]&gt;0,ParagonAbilities1Scenario1[[#This Row],[wins]]/ParagonAbilities1Scenario1[[#This Row],[takes]],0)</f>
        <v>0.45454545454545453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40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4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20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36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20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8</v>
      </c>
      <c r="N29" s="2">
        <f>COUNTIF(Scenario1[winner1-ability2],ParagonAbilities2Scenario1[[#This Row],[ability]])+COUNTIF(Scenario1[winner2-ability2],ParagonAbilities2Scenario1[[#This Row],[ability]])</f>
        <v>5</v>
      </c>
      <c r="O29" s="12">
        <f>IF(SUM(ParagonAbilities2Scenario1[[#This Row],[takes]]) &gt; 0,ParagonAbilities2Scenario1[[#This Row],[takes]]/SUM(ParagonAbilities2Scenario1[takes]),0)</f>
        <v>0.12698412698412698</v>
      </c>
      <c r="P29" s="12">
        <f>IF(ParagonAbilities2Scenario1[[#This Row],[takes]]&gt;0,ParagonAbilities2Scenario1[[#This Row],[wins]]/ParagonAbilities2Scenario1[[#This Row],[takes]],0)</f>
        <v>0.625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45</v>
      </c>
      <c r="N30" s="2">
        <f>COUNTIF(Scenario1[winner1-ability2],ParagonAbilities2Scenario1[[#This Row],[ability]])+COUNTIF(Scenario1[winner2-ability2],ParagonAbilities2Scenario1[[#This Row],[ability]])</f>
        <v>21</v>
      </c>
      <c r="O30" s="3">
        <f>IF(SUM(ParagonAbilities2Scenario1[[#This Row],[takes]]) &gt; 0,ParagonAbilities2Scenario1[[#This Row],[takes]]/SUM(ParagonAbilities2Scenario1[takes]),0)</f>
        <v>0.7142857142857143</v>
      </c>
      <c r="P30" s="3">
        <f>IF(ParagonAbilities2Scenario1[[#This Row],[takes]]&gt;0,ParagonAbilities2Scenario1[[#This Row],[wins]]/ParagonAbilities2Scenario1[[#This Row],[takes]],0)</f>
        <v>0.46666666666666667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10</v>
      </c>
      <c r="N31" s="2">
        <f>COUNTIF(Scenario1[winner1-ability2],ParagonAbilities2Scenario1[[#This Row],[ability]])+COUNTIF(Scenario1[winner2-ability2],ParagonAbilities2Scenario1[[#This Row],[ability]])</f>
        <v>7</v>
      </c>
      <c r="O31" s="13">
        <f>IF(SUM(ParagonAbilities2Scenario1[[#This Row],[takes]]) &gt; 0,ParagonAbilities2Scenario1[[#This Row],[takes]]/SUM(ParagonAbilities2Scenario1[takes]),0)</f>
        <v>0.15873015873015872</v>
      </c>
      <c r="P31" s="13">
        <f>IF(ParagonAbilities2Scenario1[[#This Row],[takes]]&gt;0,ParagonAbilities2Scenario1[[#This Row],[wins]]/ParagonAbilities2Scenario1[[#This Row],[takes]],0)</f>
        <v>0.7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4" s="1">
        <f>COUNTIF(Scenario1[winner1-ability3],ParagonAbilities3Scenario1[[#This Row],[ability]])+COUNTIF(Scenario1[winner2-ability3],ParagonAbilities3Scenario1[[#This Row],[ability]])</f>
        <v>5</v>
      </c>
      <c r="O34" s="14">
        <f>IF(SUM(ParagonAbilities3Scenario1[[#This Row],[takes]]) &gt; 0,ParagonAbilities3Scenario1[[#This Row],[takes]]/SUM(ParagonAbilities3Scenario1[takes]),0)</f>
        <v>0.19230769230769232</v>
      </c>
      <c r="P34" s="14">
        <f>IF(ParagonAbilities3Scenario1[[#This Row],[takes]]&gt;0,ParagonAbilities3Scenario1[[#This Row],[wins]]/ParagonAbilities3Scenario1[[#This Row],[takes]],0)</f>
        <v>1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14</v>
      </c>
      <c r="N35" s="2">
        <f>COUNTIF(Scenario1[winner1-ability3],ParagonAbilities3Scenario1[[#This Row],[ability]])+COUNTIF(Scenario1[winner2-ability3],ParagonAbilities3Scenario1[[#This Row],[ability]])</f>
        <v>4</v>
      </c>
      <c r="O35" s="12">
        <f>IF(SUM(ParagonAbilities3Scenario1[[#This Row],[takes]]) &gt; 0,ParagonAbilities3Scenario1[[#This Row],[takes]]/SUM(ParagonAbilities3Scenario1[takes]),0)</f>
        <v>0.53846153846153844</v>
      </c>
      <c r="P35" s="12">
        <f>IF(ParagonAbilities3Scenario1[[#This Row],[takes]]&gt;0,ParagonAbilities3Scenario1[[#This Row],[wins]]/ParagonAbilities3Scenario1[[#This Row],[takes]],0)</f>
        <v>0.2857142857142857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7</v>
      </c>
      <c r="N36" s="1">
        <f>COUNTIF(Scenario1[winner1-ability3],ParagonAbilities3Scenario1[[#This Row],[ability]])+COUNTIF(Scenario1[winner2-ability3],ParagonAbilities3Scenario1[[#This Row],[ability]])</f>
        <v>2</v>
      </c>
      <c r="O36" s="15">
        <f>IF(SUM(ParagonAbilities3Scenario1[[#This Row],[takes]]) &gt; 0,ParagonAbilities3Scenario1[[#This Row],[takes]]/SUM(ParagonAbilities3Scenario1[takes]),0)</f>
        <v>0.26923076923076922</v>
      </c>
      <c r="P36" s="15">
        <f>IF(ParagonAbilities3Scenario1[[#This Row],[takes]]&gt;0,ParagonAbilities3Scenario1[[#This Row],[wins]]/ParagonAbilities3Scenario1[[#This Row],[takes]],0)</f>
        <v>0.2857142857142857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0.5</v>
      </c>
      <c r="P39" s="12">
        <f>IF(ParagonAbilities4Scenario1[[#This Row],[takes]]&gt;0,ParagonAbilities4Scenario1[[#This Row],[wins]]/ParagonAbilities4Scenario1[[#This Row],[takes]],0)</f>
        <v>1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0.5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1</v>
      </c>
      <c r="T45">
        <f>COUNTIFS(Scenario2[winner1],"paragon",Scenario2[winner1-sw],ParagonEquipScenario2[[#This Row],[level]])+COUNTIFS(Scenario2[loser1],"paragon",Scenario2[loser1-sw],ParagonEquipScenario2[[#This Row],[level]])</f>
        <v>1</v>
      </c>
      <c r="U45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2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0.14285714285714285</v>
      </c>
      <c r="P46" s="3">
        <f>IF(ParagonAbilities1Scenario2[[#This Row],[takes]]&gt;0,ParagonAbilities1Scenario2[[#This Row],[wins]]/ParagonAbilities1Scenario2[[#This Row],[takes]],0)</f>
        <v>0.5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3</v>
      </c>
      <c r="T46">
        <f>COUNTIFS(Scenario2[winner1],"paragon",Scenario2[winner1-sw],ParagonEquipScenario2[[#This Row],[level]])+COUNTIFS(Scenario2[loser1],"paragon",Scenario2[loser1-sw],ParagonEquipScenario2[[#This Row],[level]])</f>
        <v>0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12</v>
      </c>
      <c r="N47">
        <f>COUNTIF(Scenario2[winner1-ability1],ParagonAbilities1Scenario2[[#This Row],[ability]])</f>
        <v>11</v>
      </c>
      <c r="O47" s="3">
        <f>IF(SUM(ParagonAbilities1Scenario2[[#This Row],[takes]]) &gt; 0,ParagonAbilities1Scenario2[[#This Row],[takes]]/SUM(ParagonAbilities1Scenario2[takes]),0)</f>
        <v>0.8571428571428571</v>
      </c>
      <c r="P47" s="3">
        <f>IF(ParagonAbilities1Scenario2[[#This Row],[takes]]&gt;0,ParagonAbilities1Scenario2[[#This Row],[wins]]/ParagonAbilities1Scenario2[[#This Row],[takes]],0)</f>
        <v>0.91666666666666663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10</v>
      </c>
      <c r="T47">
        <f>COUNTIFS(Scenario2[winner1],"paragon",Scenario2[winner1-sw],ParagonEquipScenario2[[#This Row],[level]])+COUNTIFS(Scenario2[loser1],"paragon",Scenario2[loser1-sw],ParagonEquipScenario2[[#This Row],[level]])</f>
        <v>13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6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0.46153846153846156</v>
      </c>
      <c r="P50" s="12">
        <f>IF(ParagonAbilities2Scenario2[[#This Row],[takes]]&gt;0,ParagonAbilities2Scenario2[[#This Row],[wins]]/ParagonAbilities2Scenario2[[#This Row],[takes]],0)</f>
        <v>0.83333333333333337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7</v>
      </c>
      <c r="O51" s="3">
        <f>IF(SUM(ParagonAbilities2Scenario2[[#This Row],[takes]]) &gt; 0,ParagonAbilities2Scenario2[[#This Row],[takes]]/SUM(ParagonAbilities2Scenario2[takes]),0)</f>
        <v>0.53846153846153844</v>
      </c>
      <c r="P51" s="3">
        <f>IF(ParagonAbilities2Scenario2[[#This Row],[takes]]&gt;0,ParagonAbilities2Scenario2[[#This Row],[wins]]/ParagonAbilities2Scenario2[[#This Row],[takes]],0)</f>
        <v>1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6</v>
      </c>
      <c r="N55" s="1">
        <f>COUNTIF(Scenario2[winner1-ability3],ParagonAbilities3Scenario2[[#This Row],[ability]])</f>
        <v>6</v>
      </c>
      <c r="O55" s="14">
        <f>IF(SUM(ParagonAbilities3Scenario2[[#This Row],[takes]]) &gt; 0,ParagonAbilities3Scenario2[[#This Row],[takes]]/SUM(ParagonAbilities3Scenario2[takes]),0)</f>
        <v>0.6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3</v>
      </c>
      <c r="N57" s="1">
        <f>COUNTIF(Scenario2[winner1-ability3],ParagonAbilities3Scenario2[[#This Row],[ability]])</f>
        <v>2</v>
      </c>
      <c r="O57" s="15">
        <f>IF(SUM(ParagonAbilities3Scenario2[[#This Row],[takes]]) &gt; 0,ParagonAbilities3Scenario2[[#This Row],[takes]]/SUM(ParagonAbilities3Scenario2[takes]),0)</f>
        <v>0.3</v>
      </c>
      <c r="P57" s="15">
        <f>IF(ParagonAbilities3Scenario2[[#This Row],[takes]]&gt;0,ParagonAbilities3Scenario2[[#This Row],[wins]]/ParagonAbilities3Scenario2[[#This Row],[takes]],0)</f>
        <v>0.66666666666666663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5</v>
      </c>
      <c r="N60" s="2">
        <f>COUNTIF(Scenario2[winner1-ability4],ParagonAbilities4Scenario2[[#This Row],[ability]])</f>
        <v>5</v>
      </c>
      <c r="O60" s="12">
        <f>IF(SUM(ParagonAbilities4Scenario2[[#This Row],[takes]]) &gt; 0,ParagonAbilities4Scenario2[[#This Row],[takes]]/SUM(ParagonAbilities4Scenario2[takes]),0)</f>
        <v>0.625</v>
      </c>
      <c r="P60" s="12">
        <f>IF(ParagonAbilities4Scenario2[[#This Row],[takes]]&gt;0,ParagonAbilities4Scenario2[[#This Row],[wins]]/ParagonAbilities4Scenario2[[#This Row],[takes]],0)</f>
        <v>1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3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0.375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3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6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11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0.52380952380952384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13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15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1" s="2">
        <f>COUNTIF(Scenario3[winner1-ability2],ParagonAbilities2Scenario3[[#This Row],[ability]])</f>
        <v>5</v>
      </c>
      <c r="O71" s="12">
        <f>IF(SUM(ParagonAbilities2Scenario3[[#This Row],[takes]]) &gt; 0,ParagonAbilities2Scenario3[[#This Row],[takes]]/SUM(ParagonAbilities2Scenario3[takes]),0)</f>
        <v>0.47368421052631576</v>
      </c>
      <c r="P71" s="12">
        <f>IF(ParagonAbilities2Scenario3[[#This Row],[takes]]&gt;0,ParagonAbilities2Scenario3[[#This Row],[wins]]/ParagonAbilities2Scenario3[[#This Row],[takes]],0)</f>
        <v>0.55555555555555558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10</v>
      </c>
      <c r="N72" s="2">
        <f>COUNTIF(Scenario3[winner1-ability2],ParagonAbilities2Scenario3[[#This Row],[ability]])</f>
        <v>6</v>
      </c>
      <c r="O72" s="3">
        <f>IF(SUM(ParagonAbilities2Scenario3[[#This Row],[takes]]) &gt; 0,ParagonAbilities2Scenario3[[#This Row],[takes]]/SUM(ParagonAbilities2Scenario3[takes]),0)</f>
        <v>0.52631578947368418</v>
      </c>
      <c r="P72" s="3">
        <f>IF(ParagonAbilities2Scenario3[[#This Row],[takes]]&gt;0,ParagonAbilities2Scenario3[[#This Row],[wins]]/ParagonAbilities2Scenario3[[#This Row],[takes]],0)</f>
        <v>0.6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6" s="1">
        <f>COUNTIF(Scenario3[winner1-ability3],ParagonAbilities3Scenario3[[#This Row],[ability]])</f>
        <v>1</v>
      </c>
      <c r="O76" s="14">
        <f>IF(SUM(ParagonAbilities3Scenario3[[#This Row],[takes]]) &gt; 0,ParagonAbilities3Scenario3[[#This Row],[takes]]/SUM(ParagonAbilities3Scenario3[takes]),0)</f>
        <v>5.8823529411764705E-2</v>
      </c>
      <c r="P76" s="14">
        <f>IF(ParagonAbilities3Scenario3[[#This Row],[takes]]&gt;0,ParagonAbilities3Scenario3[[#This Row],[wins]]/ParagonAbilities3Scenario3[[#This Row],[takes]],0)</f>
        <v>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0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16</v>
      </c>
      <c r="N78" s="1">
        <f>COUNTIF(Scenario3[winner1-ability3],ParagonAbilities3Scenario3[[#This Row],[ability]])</f>
        <v>10</v>
      </c>
      <c r="O78" s="15">
        <f>IF(SUM(ParagonAbilities3Scenario3[[#This Row],[takes]]) &gt; 0,ParagonAbilities3Scenario3[[#This Row],[takes]]/SUM(ParagonAbilities3Scenario3[takes]),0)</f>
        <v>0.94117647058823528</v>
      </c>
      <c r="P78" s="15">
        <f>IF(ParagonAbilities3Scenario3[[#This Row],[takes]]&gt;0,ParagonAbilities3Scenario3[[#This Row],[wins]]/ParagonAbilities3Scenario3[[#This Row],[takes]],0)</f>
        <v>0.625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2</v>
      </c>
      <c r="N81" s="2">
        <f>COUNTIF(Scenario3[winner1-ability4],ParagonAbilities4Scenario3[[#This Row],[ability]])</f>
        <v>2</v>
      </c>
      <c r="O81" s="12">
        <f>IF(SUM(ParagonAbilities4Scenario3[[#This Row],[takes]]) &gt; 0,ParagonAbilities4Scenario3[[#This Row],[takes]]/SUM(ParagonAbilities4Scenario3[takes]),0)</f>
        <v>0.14285714285714285</v>
      </c>
      <c r="P81" s="12">
        <f>IF(ParagonAbilities4Scenario3[[#This Row],[takes]]&gt;0,ParagonAbilities4Scenario3[[#This Row],[wins]]/ParagonAbilities4Scenario3[[#This Row],[takes]],0)</f>
        <v>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12</v>
      </c>
      <c r="N82" s="2">
        <f>COUNTIF(Scenario3[winner1-ability4],ParagonAbilities4Scenario3[[#This Row],[ability]])</f>
        <v>9</v>
      </c>
      <c r="O82" s="12">
        <f>IF(SUM(ParagonAbilities4Scenario3[[#This Row],[takes]]) &gt; 0,ParagonAbilities4Scenario3[[#This Row],[takes]]/SUM(ParagonAbilities4Scenario3[takes]),0)</f>
        <v>0.8571428571428571</v>
      </c>
      <c r="P82" s="12">
        <f>IF(ParagonAbilities4Scenario3[[#This Row],[takes]]&gt;0,ParagonAbilities4Scenario3[[#This Row],[wins]]/ParagonAbilities4Scenario3[[#This Row],[takes]],0)</f>
        <v>0.75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11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8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0.22857142857142856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22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35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8</v>
      </c>
      <c r="N92" s="2">
        <f>COUNTIF(Scenario4[winner1-ability2],ParagonAbilities2Scenario4[[#This Row],[ability]])</f>
        <v>2</v>
      </c>
      <c r="O92" s="12">
        <f>IF(SUM(ParagonAbilities2Scenario4[[#This Row],[takes]]) &gt; 0,ParagonAbilities2Scenario4[[#This Row],[takes]]/SUM(ParagonAbilities2Scenario4[takes]),0)</f>
        <v>0.25806451612903225</v>
      </c>
      <c r="P92" s="12">
        <f>IF(ParagonAbilities2Scenario4[[#This Row],[takes]]&gt;0,ParagonAbilities2Scenario4[[#This Row],[wins]]/ParagonAbilities2Scenario4[[#This Row],[takes]],0)</f>
        <v>0.25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23</v>
      </c>
      <c r="N93" s="2">
        <f>COUNTIF(Scenario4[winner1-ability2],ParagonAbilities2Scenario4[[#This Row],[ability]])</f>
        <v>6</v>
      </c>
      <c r="O93" s="3">
        <f>IF(SUM(ParagonAbilities2Scenario4[[#This Row],[takes]]) &gt; 0,ParagonAbilities2Scenario4[[#This Row],[takes]]/SUM(ParagonAbilities2Scenario4[takes]),0)</f>
        <v>0.74193548387096775</v>
      </c>
      <c r="P93" s="3">
        <f>IF(ParagonAbilities2Scenario4[[#This Row],[takes]]&gt;0,ParagonAbilities2Scenario4[[#This Row],[wins]]/ParagonAbilities2Scenario4[[#This Row],[takes]],0)</f>
        <v>0.2608695652173913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1</v>
      </c>
      <c r="O98" s="12">
        <f>IF(SUM(ParagonAbilities3Scenario4[[#This Row],[takes]]) &gt; 0,ParagonAbilities3Scenario4[[#This Row],[takes]]/SUM(ParagonAbilities3Scenario4[takes]),0)</f>
        <v>3.5714285714285712E-2</v>
      </c>
      <c r="P98" s="12">
        <f>IF(ParagonAbilities3Scenario4[[#This Row],[takes]]&gt;0,ParagonAbilities3Scenario4[[#This Row],[wins]]/ParagonAbilities3Scenario4[[#This Row],[takes]],0)</f>
        <v>1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27</v>
      </c>
      <c r="N99" s="1">
        <f>COUNTIF(Scenario4[winner1-ability3],ParagonAbilities3Scenario4[[#This Row],[ability]])</f>
        <v>7</v>
      </c>
      <c r="O99" s="15">
        <f>IF(SUM(ParagonAbilities3Scenario4[[#This Row],[takes]]) &gt; 0,ParagonAbilities3Scenario4[[#This Row],[takes]]/SUM(ParagonAbilities3Scenario4[takes]),0)</f>
        <v>0.9642857142857143</v>
      </c>
      <c r="P99" s="15">
        <f>IF(ParagonAbilities3Scenario4[[#This Row],[takes]]&gt;0,ParagonAbilities3Scenario4[[#This Row],[wins]]/ParagonAbilities3Scenario4[[#This Row],[takes]],0)</f>
        <v>0.25925925925925924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6</v>
      </c>
      <c r="N102" s="2">
        <f>COUNTIF(Scenario4[winner1-ability4],ParagonAbilities4Scenario4[[#This Row],[ability]])</f>
        <v>2</v>
      </c>
      <c r="O102" s="12">
        <f>IF(SUM(ParagonAbilities4Scenario4[[#This Row],[takes]]) &gt; 0,ParagonAbilities4Scenario4[[#This Row],[takes]]/SUM(ParagonAbilities4Scenario4[takes]),0)</f>
        <v>0.2608695652173913</v>
      </c>
      <c r="P102" s="12">
        <f>IF(ParagonAbilities4Scenario4[[#This Row],[takes]]&gt;0,ParagonAbilities4Scenario4[[#This Row],[wins]]/ParagonAbilities4Scenario4[[#This Row],[takes]],0)</f>
        <v>0.33333333333333331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17</v>
      </c>
      <c r="N103" s="2">
        <f>COUNTIF(Scenario4[winner1-ability4],ParagonAbilities4Scenario4[[#This Row],[ability]])</f>
        <v>6</v>
      </c>
      <c r="O103" s="12">
        <f>IF(SUM(ParagonAbilities4Scenario4[[#This Row],[takes]]) &gt; 0,ParagonAbilities4Scenario4[[#This Row],[takes]]/SUM(ParagonAbilities4Scenario4[takes]),0)</f>
        <v>0.73913043478260865</v>
      </c>
      <c r="P103" s="12">
        <f>IF(ParagonAbilities4Scenario4[[#This Row],[takes]]&gt;0,ParagonAbilities4Scenario4[[#This Row],[wins]]/ParagonAbilities4Scenario4[[#This Row],[takes]],0)</f>
        <v>0.35294117647058826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</v>
      </c>
      <c r="N108">
        <f>COUNTIF(Scenario5[winner1-ability1],ParagonAbilities1Scenario5[[#This Row],[ability]])+COUNTIF(Scenario5[winner2-ability1],ParagonAbilities1Scenario5[[#This Row],[ability]])</f>
        <v>1</v>
      </c>
      <c r="O108" s="3">
        <f>IF(SUM(ParagonAbilities1Scenario5[[#This Row],[takes]]) &gt; 0,ParagonAbilities1Scenario5[[#This Row],[takes]]/SUM(ParagonAbilities1Scenario5[takes]),0)</f>
        <v>9.5238095238095247E-3</v>
      </c>
      <c r="P108" s="3">
        <f>IF(ParagonAbilities1Scenario5[[#This Row],[takes]]&gt;0,ParagonAbilities1Scenario5[[#This Row],[wins]]/ParagonAbilities1Scenario5[[#This Row],[takes]],0)</f>
        <v>1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26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28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13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20</v>
      </c>
      <c r="N109">
        <f>COUNTIF(Scenario5[winner1-ability1],ParagonAbilities1Scenario5[[#This Row],[ability]])+COUNTIF(Scenario5[winner2-ability1],ParagonAbilities1Scenario5[[#This Row],[ability]])</f>
        <v>15</v>
      </c>
      <c r="O109" s="3">
        <f>IF(SUM(ParagonAbilities1Scenario5[[#This Row],[takes]]) &gt; 0,ParagonAbilities1Scenario5[[#This Row],[takes]]/SUM(ParagonAbilities1Scenario5[takes]),0)</f>
        <v>0.19047619047619047</v>
      </c>
      <c r="P109" s="3">
        <f>IF(ParagonAbilities1Scenario5[[#This Row],[takes]]&gt;0,ParagonAbilities1Scenario5[[#This Row],[wins]]/ParagonAbilities1Scenario5[[#This Row],[takes]],0)</f>
        <v>0.75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17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9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84</v>
      </c>
      <c r="N110">
        <f>COUNTIF(Scenario5[winner1-ability1],ParagonAbilities1Scenario5[[#This Row],[ability]])+COUNTIF(Scenario5[winner2-ability1],ParagonAbilities1Scenario5[[#This Row],[ability]])</f>
        <v>51</v>
      </c>
      <c r="O110" s="3">
        <f>IF(SUM(ParagonAbilities1Scenario5[[#This Row],[takes]]) &gt; 0,ParagonAbilities1Scenario5[[#This Row],[takes]]/SUM(ParagonAbilities1Scenario5[takes]),0)</f>
        <v>0.8</v>
      </c>
      <c r="P110" s="3">
        <f>IF(ParagonAbilities1Scenario5[[#This Row],[takes]]&gt;0,ParagonAbilities1Scenario5[[#This Row],[wins]]/ParagonAbilities1Scenario5[[#This Row],[takes]],0)</f>
        <v>0.6071428571428571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62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68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72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18</v>
      </c>
      <c r="N113" s="2">
        <f>COUNTIF(Scenario5[winner1-ability2],ParagonAbilities2Scenario5[[#This Row],[ability]])+COUNTIF(Scenario5[winner2-ability2],ParagonAbilities2Scenario5[[#This Row],[ability]])</f>
        <v>13</v>
      </c>
      <c r="O113" s="12">
        <f>IF(SUM(ParagonAbilities2Scenario5[[#This Row],[takes]]) &gt; 0,ParagonAbilities2Scenario5[[#This Row],[takes]]/SUM(ParagonAbilities2Scenario5[takes]),0)</f>
        <v>0.19565217391304349</v>
      </c>
      <c r="P113" s="12">
        <f>IF(ParagonAbilities2Scenario5[[#This Row],[takes]]&gt;0,ParagonAbilities2Scenario5[[#This Row],[wins]]/ParagonAbilities2Scenario5[[#This Row],[takes]],0)</f>
        <v>0.72222222222222221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47</v>
      </c>
      <c r="N114" s="2">
        <f>COUNTIF(Scenario5[winner1-ability2],ParagonAbilities2Scenario5[[#This Row],[ability]])+COUNTIF(Scenario5[winner2-ability2],ParagonAbilities2Scenario5[[#This Row],[ability]])</f>
        <v>29</v>
      </c>
      <c r="O114" s="3">
        <f>IF(SUM(ParagonAbilities2Scenario5[[#This Row],[takes]]) &gt; 0,ParagonAbilities2Scenario5[[#This Row],[takes]]/SUM(ParagonAbilities2Scenario5[takes]),0)</f>
        <v>0.51086956521739135</v>
      </c>
      <c r="P114" s="3">
        <f>IF(ParagonAbilities2Scenario5[[#This Row],[takes]]&gt;0,ParagonAbilities2Scenario5[[#This Row],[wins]]/ParagonAbilities2Scenario5[[#This Row],[takes]],0)</f>
        <v>0.61702127659574468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27</v>
      </c>
      <c r="N115" s="2">
        <f>COUNTIF(Scenario5[winner1-ability2],ParagonAbilities2Scenario5[[#This Row],[ability]])+COUNTIF(Scenario5[winner2-ability2],ParagonAbilities2Scenario5[[#This Row],[ability]])</f>
        <v>22</v>
      </c>
      <c r="O115" s="13">
        <f>IF(SUM(ParagonAbilities2Scenario5[[#This Row],[takes]]) &gt; 0,ParagonAbilities2Scenario5[[#This Row],[takes]]/SUM(ParagonAbilities2Scenario5[takes]),0)</f>
        <v>0.29347826086956524</v>
      </c>
      <c r="P115" s="13">
        <f>IF(ParagonAbilities2Scenario5[[#This Row],[takes]]&gt;0,ParagonAbilities2Scenario5[[#This Row],[wins]]/ParagonAbilities2Scenario5[[#This Row],[takes]],0)</f>
        <v>0.81481481481481477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19</v>
      </c>
      <c r="N118" s="1">
        <f>COUNTIF(Scenario5[winner1-ability3],ParagonAbilities3Scenario5[[#This Row],[ability]])+COUNTIF(Scenario5[winner2-ability3],ParagonAbilities3Scenario5[[#This Row],[ability]])</f>
        <v>15</v>
      </c>
      <c r="O118" s="14">
        <f>IF(SUM(ParagonAbilities3Scenario5[[#This Row],[takes]]) &gt; 0,ParagonAbilities3Scenario5[[#This Row],[takes]]/SUM(ParagonAbilities3Scenario5[takes]),0)</f>
        <v>0.2289156626506024</v>
      </c>
      <c r="P118" s="14">
        <f>IF(ParagonAbilities3Scenario5[[#This Row],[takes]]&gt;0,ParagonAbilities3Scenario5[[#This Row],[wins]]/ParagonAbilities3Scenario5[[#This Row],[takes]],0)</f>
        <v>0.78947368421052633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8</v>
      </c>
      <c r="N119" s="2">
        <f>COUNTIF(Scenario5[winner1-ability3],ParagonAbilities3Scenario5[[#This Row],[ability]])+COUNTIF(Scenario5[winner2-ability3],ParagonAbilities3Scenario5[[#This Row],[ability]])</f>
        <v>7</v>
      </c>
      <c r="O119" s="12">
        <f>IF(SUM(ParagonAbilities3Scenario5[[#This Row],[takes]]) &gt; 0,ParagonAbilities3Scenario5[[#This Row],[takes]]/SUM(ParagonAbilities3Scenario5[takes]),0)</f>
        <v>9.6385542168674704E-2</v>
      </c>
      <c r="P119" s="12">
        <f>IF(ParagonAbilities3Scenario5[[#This Row],[takes]]&gt;0,ParagonAbilities3Scenario5[[#This Row],[wins]]/ParagonAbilities3Scenario5[[#This Row],[takes]],0)</f>
        <v>0.875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56</v>
      </c>
      <c r="N120" s="1">
        <f>COUNTIF(Scenario5[winner1-ability3],ParagonAbilities3Scenario5[[#This Row],[ability]])+COUNTIF(Scenario5[winner2-ability3],ParagonAbilities3Scenario5[[#This Row],[ability]])</f>
        <v>37</v>
      </c>
      <c r="O120" s="15">
        <f>IF(SUM(ParagonAbilities3Scenario5[[#This Row],[takes]]) &gt; 0,ParagonAbilities3Scenario5[[#This Row],[takes]]/SUM(ParagonAbilities3Scenario5[takes]),0)</f>
        <v>0.67469879518072284</v>
      </c>
      <c r="P120" s="15">
        <f>IF(ParagonAbilities3Scenario5[[#This Row],[takes]]&gt;0,ParagonAbilities3Scenario5[[#This Row],[wins]]/ParagonAbilities3Scenario5[[#This Row],[takes]],0)</f>
        <v>0.6607142857142857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20</v>
      </c>
      <c r="N123" s="2">
        <f>COUNTIF(Scenario5[winner1-ability4],ParagonAbilities4Scenario5[[#This Row],[ability]])+COUNTIF(Scenario5[winner2-ability4],ParagonAbilities4Scenario5[[#This Row],[ability]])</f>
        <v>18</v>
      </c>
      <c r="O123" s="12">
        <f>IF(SUM(ParagonAbilities4Scenario5[[#This Row],[takes]]) &gt; 0,ParagonAbilities4Scenario5[[#This Row],[takes]]/SUM(ParagonAbilities4Scenario5[takes]),0)</f>
        <v>0.28985507246376813</v>
      </c>
      <c r="P123" s="12">
        <f>IF(ParagonAbilities4Scenario5[[#This Row],[takes]]&gt;0,ParagonAbilities4Scenario5[[#This Row],[wins]]/ParagonAbilities4Scenario5[[#This Row],[takes]],0)</f>
        <v>0.9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25</v>
      </c>
      <c r="N124" s="2">
        <f>COUNTIF(Scenario5[winner1-ability4],ParagonAbilities4Scenario5[[#This Row],[ability]])+COUNTIF(Scenario5[winner2-ability4],ParagonAbilities4Scenario5[[#This Row],[ability]])</f>
        <v>13</v>
      </c>
      <c r="O124" s="12">
        <f>IF(SUM(ParagonAbilities4Scenario5[[#This Row],[takes]]) &gt; 0,ParagonAbilities4Scenario5[[#This Row],[takes]]/SUM(ParagonAbilities4Scenario5[takes]),0)</f>
        <v>0.36231884057971014</v>
      </c>
      <c r="P124" s="12">
        <f>IF(ParagonAbilities4Scenario5[[#This Row],[takes]]&gt;0,ParagonAbilities4Scenario5[[#This Row],[wins]]/ParagonAbilities4Scenario5[[#This Row],[takes]],0)</f>
        <v>0.52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24</v>
      </c>
      <c r="N125" s="2">
        <f>COUNTIF(Scenario5[winner1-ability4],ParagonAbilities4Scenario5[[#This Row],[ability]])+COUNTIF(Scenario5[winner2-ability4],ParagonAbilities4Scenario5[[#This Row],[ability]])</f>
        <v>21</v>
      </c>
      <c r="O125" s="26">
        <f>IF(SUM(ParagonAbilities4Scenario5[[#This Row],[takes]]) &gt; 0,ParagonAbilities4Scenario5[[#This Row],[takes]]/SUM(ParagonAbilities4Scenario5[takes]),0)</f>
        <v>0.34782608695652173</v>
      </c>
      <c r="P125" s="26">
        <f>IF(ParagonAbilities4Scenario5[[#This Row],[takes]]&gt;0,ParagonAbilities4Scenario5[[#This Row],[wins]]/ParagonAbilities4Scenario5[[#This Row],[takes]],0)</f>
        <v>0.875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3" sqref="D2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0.2857142857142857</v>
      </c>
    </row>
    <row r="3" spans="1:22" x14ac:dyDescent="0.25">
      <c r="A3" t="s">
        <v>68</v>
      </c>
      <c r="B3">
        <f>L3+L24+L45+L66+L87+L108</f>
        <v>124</v>
      </c>
      <c r="C3">
        <f>M3+M24+M45+M66+M87+M108</f>
        <v>46</v>
      </c>
      <c r="D3" s="3">
        <f>IF(SUM(HighlanderAbilities1[[#This Row],[takes]]) &gt; 0,HighlanderAbilities1[[#This Row],[takes]]/SUM(HighlanderAbilities1[takes]),0)</f>
        <v>0.32207792207792207</v>
      </c>
      <c r="E3" s="3">
        <f>IF(HighlanderAbilities1[[#This Row],[takes]]&gt;0,HighlanderAbilities1[[#This Row],[wins]]/HighlanderAbilities1[[#This Row],[takes]],0)</f>
        <v>0.37096774193548387</v>
      </c>
      <c r="G3">
        <v>1</v>
      </c>
      <c r="H3">
        <f>R3+R24+R45+R66+R87+R108</f>
        <v>107</v>
      </c>
      <c r="I3" s="18">
        <f>S3+S24+S45+S66+S87+S108</f>
        <v>228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50</v>
      </c>
      <c r="M3">
        <f>COUNTIF(Scenario0[winner1-ability1],HighlanderAbilities1Scenario0[[#This Row],[ability]])+COUNTIF(Scenario0[winner2-ability1],HighlanderAbilities1Scenario0[[#This Row],[ability]])</f>
        <v>18</v>
      </c>
      <c r="N3" s="3">
        <f>IF(SUM(HighlanderAbilities1Scenario0[[#This Row],[takes]]) &gt; 0,HighlanderAbilities1Scenario0[[#This Row],[takes]]/SUM(HighlanderAbilities1Scenario0[takes]),0)</f>
        <v>0.47619047619047616</v>
      </c>
      <c r="O3" s="3">
        <f>IF(HighlanderAbilities1Scenario0[[#This Row],[takes]]&gt;0,HighlanderAbilities1Scenario0[[#This Row],[wins]]/HighlanderAbilities1Scenario0[[#This Row],[takes]],0)</f>
        <v>0.36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65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86</v>
      </c>
      <c r="U3" t="s">
        <v>193</v>
      </c>
      <c r="V3" s="16">
        <f>H5/SUM(HighlanderEquip[sword])</f>
        <v>0.43636363636363634</v>
      </c>
    </row>
    <row r="4" spans="1:22" x14ac:dyDescent="0.25">
      <c r="A4" t="s">
        <v>120</v>
      </c>
      <c r="B4">
        <f t="shared" ref="B4:B5" si="0">L4+L25+L46+L67+L88+L109</f>
        <v>107</v>
      </c>
      <c r="C4">
        <f t="shared" ref="C4:C5" si="1">M4+M25+M46+M67+M88+M109</f>
        <v>43</v>
      </c>
      <c r="D4" s="3">
        <f>IF(SUM(HighlanderAbilities1[[#This Row],[takes]]) &gt; 0,HighlanderAbilities1[[#This Row],[takes]]/SUM(HighlanderAbilities1[takes]),0)</f>
        <v>0.2779220779220779</v>
      </c>
      <c r="E4" s="3">
        <f>IF(HighlanderAbilities1[[#This Row],[takes]]&gt;0,HighlanderAbilities1[[#This Row],[wins]]/HighlanderAbilities1[[#This Row],[takes]],0)</f>
        <v>0.40186915887850466</v>
      </c>
      <c r="G4">
        <v>2</v>
      </c>
      <c r="H4">
        <f t="shared" ref="H4:H5" si="2">R4+R25+R46+R67+R88+R109</f>
        <v>110</v>
      </c>
      <c r="I4" s="18">
        <f t="shared" ref="I4:I5" si="3">S4+S25+S46+S67+S88+S109</f>
        <v>67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30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14</v>
      </c>
      <c r="U4" t="s">
        <v>179</v>
      </c>
      <c r="V4" s="3">
        <f>HighlanderEquip[[#This Row],[chestpiece]]/SUM(HighlanderEquip[chestpiece])</f>
        <v>0.17402597402597403</v>
      </c>
    </row>
    <row r="5" spans="1:22" x14ac:dyDescent="0.25">
      <c r="A5" t="s">
        <v>57</v>
      </c>
      <c r="B5">
        <f t="shared" si="0"/>
        <v>154</v>
      </c>
      <c r="C5">
        <f t="shared" si="1"/>
        <v>80</v>
      </c>
      <c r="D5" s="3">
        <f>IF(SUM(HighlanderAbilities1[[#This Row],[takes]]) &gt; 0,HighlanderAbilities1[[#This Row],[takes]]/SUM(HighlanderAbilities1[takes]),0)</f>
        <v>0.4</v>
      </c>
      <c r="E5" s="3">
        <f>IF(HighlanderAbilities1[[#This Row],[takes]]&gt;0,HighlanderAbilities1[[#This Row],[wins]]/HighlanderAbilities1[[#This Row],[takes]],0)</f>
        <v>0.51948051948051943</v>
      </c>
      <c r="G5">
        <v>3</v>
      </c>
      <c r="H5">
        <f t="shared" si="2"/>
        <v>168</v>
      </c>
      <c r="I5" s="18">
        <f t="shared" si="3"/>
        <v>90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53</v>
      </c>
      <c r="M5">
        <f>COUNTIF(Scenario0[winner1-ability1],HighlanderAbilities1Scenario0[[#This Row],[ability]])+COUNTIF(Scenario0[winner2-ability1],HighlanderAbilities1Scenario0[[#This Row],[ability]])</f>
        <v>28</v>
      </c>
      <c r="N5" s="3">
        <f>IF(SUM(HighlanderAbilities1Scenario0[[#This Row],[takes]]) &gt; 0,HighlanderAbilities1Scenario0[[#This Row],[takes]]/SUM(HighlanderAbilities1Scenario0[takes]),0)</f>
        <v>0.50476190476190474</v>
      </c>
      <c r="O5" s="3">
        <f>IF(HighlanderAbilities1Scenario0[[#This Row],[takes]]&gt;0,HighlanderAbilities1Scenario0[[#This Row],[wins]]/HighlanderAbilities1Scenario0[[#This Row],[takes]],0)</f>
        <v>0.52830188679245282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10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5</v>
      </c>
      <c r="U5" t="s">
        <v>180</v>
      </c>
      <c r="V5" s="16">
        <f>HighlanderEquip[[#This Row],[chestpiece]]/SUM(HighlanderEquip[chestpiece])</f>
        <v>0.23376623376623376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0.64675324675324675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0.40259740259740262</v>
      </c>
    </row>
    <row r="8" spans="1:22" x14ac:dyDescent="0.25">
      <c r="A8" s="2" t="s">
        <v>69</v>
      </c>
      <c r="B8" s="2">
        <f>L8+L29+L50+L71+L92+L113</f>
        <v>73</v>
      </c>
      <c r="C8" s="2">
        <f>M8+M29+M50+M71+M92+M113</f>
        <v>30</v>
      </c>
      <c r="D8" s="12">
        <f>IF(SUM(HighlanderAbilities2[[#This Row],[takes]]) &gt; 0,HighlanderAbilities2[[#This Row],[takes]]/SUM(HighlanderAbilities2[takes]),0)</f>
        <v>0.29317269076305219</v>
      </c>
      <c r="E8" s="12">
        <f>IF(HighlanderAbilities2[[#This Row],[takes]]&gt;0,HighlanderAbilities2[[#This Row],[wins]]/HighlanderAbilities2[[#This Row],[takes]],0)</f>
        <v>0.41095890410958902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5</v>
      </c>
      <c r="M8" s="2">
        <f>COUNTIF(Scenario0[winner1-ability2],HighlanderAbilities2Scenario0[[#This Row],[ability]])+COUNTIF(Scenario0[winner2-ability2],HighlanderAbilities2Scenario0[[#This Row],[ability]])</f>
        <v>3</v>
      </c>
      <c r="N8" s="12">
        <f>IF(SUM(HighlanderAbilities2Scenario0[[#This Row],[takes]]) &gt; 0,HighlanderAbilities2Scenario0[[#This Row],[takes]]/SUM(HighlanderAbilities2Scenario0[takes]),0)</f>
        <v>0.12195121951219512</v>
      </c>
      <c r="O8" s="12">
        <f>IF(HighlanderAbilities2Scenario0[[#This Row],[takes]]&gt;0,HighlanderAbilities2Scenario0[[#This Row],[wins]]/HighlanderAbilities2Scenario0[[#This Row],[takes]],0)</f>
        <v>0.6</v>
      </c>
      <c r="S8" s="18"/>
      <c r="U8" t="s">
        <v>178</v>
      </c>
      <c r="V8" s="16">
        <f>SUM(HighlanderAbilities4[takes])/SUM(HighlanderAbilities1[takes])</f>
        <v>0.24675324675324675</v>
      </c>
    </row>
    <row r="9" spans="1:22" x14ac:dyDescent="0.25">
      <c r="A9" t="s">
        <v>121</v>
      </c>
      <c r="B9" s="2">
        <f t="shared" ref="B9:B10" si="4">L9+L30+L51+L72+L93+L114</f>
        <v>36</v>
      </c>
      <c r="C9" s="2">
        <f t="shared" ref="C9:C10" si="5">M9+M30+M51+M72+M93+M114</f>
        <v>13</v>
      </c>
      <c r="D9" s="3">
        <f>IF(SUM(HighlanderAbilities2[[#This Row],[takes]]) &gt; 0,HighlanderAbilities2[[#This Row],[takes]]/SUM(HighlanderAbilities2[takes]),0)</f>
        <v>0.14457831325301204</v>
      </c>
      <c r="E9" s="3">
        <f>IF(HighlanderAbilities2[[#This Row],[takes]]&gt;0,HighlanderAbilities2[[#This Row],[wins]]/HighlanderAbilities2[[#This Row],[takes]],0)</f>
        <v>0.3611111111111111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0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2.4259740259740261</v>
      </c>
    </row>
    <row r="10" spans="1:22" x14ac:dyDescent="0.25">
      <c r="A10" s="10" t="s">
        <v>122</v>
      </c>
      <c r="B10" s="2">
        <f t="shared" si="4"/>
        <v>140</v>
      </c>
      <c r="C10" s="2">
        <f t="shared" si="5"/>
        <v>81</v>
      </c>
      <c r="D10" s="13">
        <f>IF(SUM(HighlanderAbilities2[[#This Row],[takes]]) &gt; 0,HighlanderAbilities2[[#This Row],[takes]]/SUM(HighlanderAbilities2[takes]),0)</f>
        <v>0.56224899598393574</v>
      </c>
      <c r="E10" s="13">
        <f>IF(HighlanderAbilities2[[#This Row],[takes]]&gt;0,HighlanderAbilities2[[#This Row],[wins]]/HighlanderAbilities2[[#This Row],[takes]],0)</f>
        <v>0.57857142857142863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36</v>
      </c>
      <c r="M10" s="2">
        <f>COUNTIF(Scenario0[winner1-ability2],HighlanderAbilities2Scenario0[[#This Row],[ability]])+COUNTIF(Scenario0[winner2-ability2],HighlanderAbilities2Scenario0[[#This Row],[ability]])</f>
        <v>19</v>
      </c>
      <c r="N10" s="13">
        <f>IF(SUM(HighlanderAbilities2Scenario0[[#This Row],[takes]]) &gt; 0,HighlanderAbilities2Scenario0[[#This Row],[takes]]/SUM(HighlanderAbilities2Scenario0[takes]),0)</f>
        <v>0.87804878048780488</v>
      </c>
      <c r="O10" s="13">
        <f>IF(HighlanderAbilities2Scenario0[[#This Row],[takes]]&gt;0,HighlanderAbilities2Scenario0[[#This Row],[wins]]/HighlanderAbilities2Scenario0[[#This Row],[takes]],0)</f>
        <v>0.52777777777777779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38</v>
      </c>
      <c r="C13" s="1">
        <f>M13+M34+M55+M76+M97+M118</f>
        <v>16</v>
      </c>
      <c r="D13" s="14">
        <f>IF(SUM(HighlanderAbilities3[[#This Row],[takes]]) &gt; 0,HighlanderAbilities3[[#This Row],[takes]]/SUM(HighlanderAbilities3[takes]),0)</f>
        <v>0.24516129032258063</v>
      </c>
      <c r="E13" s="14">
        <f>IF(HighlanderAbilities3[[#This Row],[takes]]&gt;0,HighlanderAbilities3[[#This Row],[wins]]/HighlanderAbilities3[[#This Row],[takes]],0)</f>
        <v>0.42105263157894735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2</v>
      </c>
      <c r="N13" s="14">
        <f>IF(SUM(HighlanderAbilities3Scenario0[[#This Row],[takes]]) &gt; 0,HighlanderAbilities3Scenario0[[#This Row],[takes]]/SUM(HighlanderAbilities3Scenario0[takes]),0)</f>
        <v>0.25</v>
      </c>
      <c r="O13" s="14">
        <f>IF(HighlanderAbilities3Scenario0[[#This Row],[takes]]&gt;0,HighlanderAbilities3Scenario0[[#This Row],[wins]]/HighlanderAbilities3Scenario0[[#This Row],[takes]],0)</f>
        <v>0.66666666666666663</v>
      </c>
      <c r="S13" s="18"/>
    </row>
    <row r="14" spans="1:22" x14ac:dyDescent="0.25">
      <c r="A14" s="2" t="s">
        <v>87</v>
      </c>
      <c r="B14" s="2">
        <f t="shared" ref="B14:B15" si="6">L14+L35+L56+L77+L98+L119</f>
        <v>63</v>
      </c>
      <c r="C14" s="2">
        <f t="shared" ref="C14:C15" si="7">M14+M35+M56+M77+M98+M119</f>
        <v>25</v>
      </c>
      <c r="D14" s="12">
        <f>IF(SUM(HighlanderAbilities3[[#This Row],[takes]]) &gt; 0,HighlanderAbilities3[[#This Row],[takes]]/SUM(HighlanderAbilities3[takes]),0)</f>
        <v>0.40645161290322579</v>
      </c>
      <c r="E14" s="12">
        <f>IF(HighlanderAbilities3[[#This Row],[takes]]&gt;0,HighlanderAbilities3[[#This Row],[wins]]/HighlanderAbilities3[[#This Row],[takes]],0)</f>
        <v>0.3968253968253968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54</v>
      </c>
      <c r="C15" s="1">
        <f t="shared" si="7"/>
        <v>37</v>
      </c>
      <c r="D15" s="15">
        <f>IF(SUM(HighlanderAbilities3[[#This Row],[takes]]) &gt; 0,HighlanderAbilities3[[#This Row],[takes]]/SUM(HighlanderAbilities3[takes]),0)</f>
        <v>0.34838709677419355</v>
      </c>
      <c r="E15" s="15">
        <f>IF(HighlanderAbilities3[[#This Row],[takes]]&gt;0,HighlanderAbilities3[[#This Row],[wins]]/HighlanderAbilities3[[#This Row],[takes]],0)</f>
        <v>0.68518518518518523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9</v>
      </c>
      <c r="M15" s="1">
        <f>COUNTIF(Scenario0[winner1-ability3],HighlanderAbilities3Scenario0[[#This Row],[ability]])+COUNTIF(Scenario0[winner2-ability3],HighlanderAbilities3Scenario0[[#This Row],[ability]])</f>
        <v>7</v>
      </c>
      <c r="N15" s="15">
        <f>IF(SUM(HighlanderAbilities3Scenario0[[#This Row],[takes]]) &gt; 0,HighlanderAbilities3Scenario0[[#This Row],[takes]]/SUM(HighlanderAbilities3Scenario0[takes]),0)</f>
        <v>0.75</v>
      </c>
      <c r="O15" s="15">
        <f>IF(HighlanderAbilities3Scenario0[[#This Row],[takes]]&gt;0,HighlanderAbilities3Scenario0[[#This Row],[wins]]/HighlanderAbilities3Scenario0[[#This Row],[takes]],0)</f>
        <v>0.77777777777777779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27</v>
      </c>
      <c r="C18" s="2">
        <f>M18+M39+M60+M81+M102+M123</f>
        <v>7</v>
      </c>
      <c r="D18" s="12">
        <f>IF(SUM(HighlanderAbilities4[[#This Row],[takes]]) &gt; 0,HighlanderAbilities4[[#This Row],[takes]]/SUM(HighlanderAbilities4[takes]),0)</f>
        <v>0.28421052631578947</v>
      </c>
      <c r="E18" s="12">
        <f>IF(HighlanderAbilities4[[#This Row],[takes]]&gt;0,HighlanderAbilities4[[#This Row],[wins]]/HighlanderAbilities4[[#This Row],[takes]],0)</f>
        <v>0.25925925925925924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31</v>
      </c>
      <c r="C19" s="2">
        <f t="shared" ref="C19:C20" si="9">M19+M40+M61+M82+M103+M124</f>
        <v>14</v>
      </c>
      <c r="D19" s="12">
        <f>IF(SUM(HighlanderAbilities4[[#This Row],[takes]]) &gt; 0,HighlanderAbilities4[[#This Row],[takes]]/SUM(HighlanderAbilities4[takes]),0)</f>
        <v>0.32631578947368423</v>
      </c>
      <c r="E19" s="12">
        <f>IF(HighlanderAbilities4[[#This Row],[takes]]&gt;0,HighlanderAbilities4[[#This Row],[wins]]/HighlanderAbilities4[[#This Row],[takes]],0)</f>
        <v>0.45161290322580644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1</v>
      </c>
      <c r="N19" s="12">
        <f>IF(SUM(HighlanderAbilities4Scenario0[[#This Row],[takes]]) &gt; 0,HighlanderAbilities4Scenario0[[#This Row],[takes]]/SUM(HighlanderAbilities4Scenario0[takes]),0)</f>
        <v>0.33333333333333331</v>
      </c>
      <c r="O19" s="12">
        <f>IF(HighlanderAbilities4Scenario0[[#This Row],[takes]]&gt;0,HighlanderAbilities4Scenario0[[#This Row],[wins]]/HighlanderAbilities4Scenario0[[#This Row],[takes]],0)</f>
        <v>1</v>
      </c>
      <c r="S19" s="18"/>
    </row>
    <row r="20" spans="1:20" ht="15.75" thickBot="1" x14ac:dyDescent="0.3">
      <c r="A20" s="10" t="s">
        <v>125</v>
      </c>
      <c r="B20" s="2">
        <f t="shared" si="8"/>
        <v>37</v>
      </c>
      <c r="C20" s="2">
        <f t="shared" si="9"/>
        <v>22</v>
      </c>
      <c r="D20" s="26">
        <f>IF(SUM(HighlanderAbilities4[[#This Row],[takes]]) &gt; 0,HighlanderAbilities4[[#This Row],[takes]]/SUM(HighlanderAbilities4[takes]),0)</f>
        <v>0.38947368421052631</v>
      </c>
      <c r="E20" s="26">
        <f>IF(HighlanderAbilities4[[#This Row],[takes]]&gt;0,HighlanderAbilities4[[#This Row],[wins]]/HighlanderAbilities4[[#This Row],[takes]],0)</f>
        <v>0.59459459459459463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20" s="25">
        <f>COUNTIF(Scenario0[winner1-ability4],HighlanderAbilities4Scenario0[[#This Row],[ability]])+COUNTIF(Scenario0[winner2-ability4],HighlanderAbilities4Scenario0[[#This Row],[ability]])</f>
        <v>2</v>
      </c>
      <c r="N20" s="26">
        <f>IF(SUM(HighlanderAbilities4Scenario0[[#This Row],[takes]]) &gt; 0,HighlanderAbilities4Scenario0[[#This Row],[takes]]/SUM(HighlanderAbilities4Scenario0[takes]),0)</f>
        <v>0.66666666666666663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61</v>
      </c>
      <c r="M24">
        <f>COUNTIF(Scenario1[winner1-ability1],HighlanderAbilities1Scenario1[[#This Row],[ability]])+COUNTIF(Scenario1[winner2-ability1],HighlanderAbilities1Scenario1[[#This Row],[ability]])</f>
        <v>19</v>
      </c>
      <c r="N24" s="3">
        <f>IF(SUM(HighlanderAbilities1Scenario1[[#This Row],[takes]]) &gt; 0,HighlanderAbilities1Scenario1[[#This Row],[takes]]/SUM(HighlanderAbilities1Scenario1[takes]),0)</f>
        <v>0.580952380952381</v>
      </c>
      <c r="O24" s="3">
        <f>IF(HighlanderAbilities1Scenario1[[#This Row],[takes]]&gt;0,HighlanderAbilities1Scenario1[[#This Row],[wins]]/HighlanderAbilities1Scenario1[[#This Row],[takes]],0)</f>
        <v>0.31147540983606559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77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34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44</v>
      </c>
      <c r="M26">
        <f>COUNTIF(Scenario1[winner1-ability1],HighlanderAbilities1Scenario1[[#This Row],[ability]])+COUNTIF(Scenario1[winner2-ability1],HighlanderAbilities1Scenario1[[#This Row],[ability]])</f>
        <v>19</v>
      </c>
      <c r="N26" s="3">
        <f>IF(SUM(HighlanderAbilities1Scenario1[[#This Row],[takes]]) &gt; 0,HighlanderAbilities1Scenario1[[#This Row],[takes]]/SUM(HighlanderAbilities1Scenario1[takes]),0)</f>
        <v>0.41904761904761906</v>
      </c>
      <c r="O26" s="3">
        <f>IF(HighlanderAbilities1Scenario1[[#This Row],[takes]]&gt;0,HighlanderAbilities1Scenario1[[#This Row],[wins]]/HighlanderAbilities1Scenario1[[#This Row],[takes]],0)</f>
        <v>0.43181818181818182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8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4</v>
      </c>
      <c r="M29" s="2">
        <f>COUNTIF(Scenario1[winner1-ability2],HighlanderAbilities2Scenario1[[#This Row],[ability]])+COUNTIF(Scenario1[winner2-ability2],HighlanderAbilities2Scenario1[[#This Row],[ability]])</f>
        <v>3</v>
      </c>
      <c r="N29" s="12">
        <f>IF(SUM(HighlanderAbilities2Scenario1[[#This Row],[takes]]) &gt; 0,HighlanderAbilities2Scenario1[[#This Row],[takes]]/SUM(HighlanderAbilities2Scenario1[takes]),0)</f>
        <v>8.8888888888888892E-2</v>
      </c>
      <c r="O29" s="12">
        <f>IF(HighlanderAbilities2Scenario1[[#This Row],[takes]]&gt;0,HighlanderAbilities2Scenario1[[#This Row],[wins]]/HighlanderAbilities2Scenario1[[#This Row],[takes]],0)</f>
        <v>0.75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14</v>
      </c>
      <c r="M30" s="2">
        <f>COUNTIF(Scenario1[winner1-ability2],HighlanderAbilities2Scenario1[[#This Row],[ability]])+COUNTIF(Scenario1[winner2-ability2],HighlanderAbilities2Scenario1[[#This Row],[ability]])</f>
        <v>3</v>
      </c>
      <c r="N30" s="3">
        <f>IF(SUM(HighlanderAbilities2Scenario1[[#This Row],[takes]]) &gt; 0,HighlanderAbilities2Scenario1[[#This Row],[takes]]/SUM(HighlanderAbilities2Scenario1[takes]),0)</f>
        <v>0.31111111111111112</v>
      </c>
      <c r="O30" s="3">
        <f>IF(HighlanderAbilities2Scenario1[[#This Row],[takes]]&gt;0,HighlanderAbilities2Scenario1[[#This Row],[wins]]/HighlanderAbilities2Scenario1[[#This Row],[takes]],0)</f>
        <v>0.21428571428571427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27</v>
      </c>
      <c r="M31" s="2">
        <f>COUNTIF(Scenario1[winner1-ability2],HighlanderAbilities2Scenario1[[#This Row],[ability]])+COUNTIF(Scenario1[winner2-ability2],HighlanderAbilities2Scenario1[[#This Row],[ability]])</f>
        <v>15</v>
      </c>
      <c r="N31" s="13">
        <f>IF(SUM(HighlanderAbilities2Scenario1[[#This Row],[takes]]) &gt; 0,HighlanderAbilities2Scenario1[[#This Row],[takes]]/SUM(HighlanderAbilities2Scenario1[takes]),0)</f>
        <v>0.6</v>
      </c>
      <c r="O31" s="13">
        <f>IF(HighlanderAbilities2Scenario1[[#This Row],[takes]]&gt;0,HighlanderAbilities2Scenario1[[#This Row],[wins]]/HighlanderAbilities2Scenario1[[#This Row],[takes]],0)</f>
        <v>0.55555555555555558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4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0.25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3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0.1875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9</v>
      </c>
      <c r="M36" s="1">
        <f>COUNTIF(Scenario1[winner1-ability3],HighlanderAbilities3Scenario1[[#This Row],[ability]])+COUNTIF(Scenario1[winner2-ability3],HighlanderAbilities3Scenario1[[#This Row],[ability]])</f>
        <v>7</v>
      </c>
      <c r="N36" s="15">
        <f>IF(SUM(HighlanderAbilities3Scenario1[[#This Row],[takes]]) &gt; 0,HighlanderAbilities3Scenario1[[#This Row],[takes]]/SUM(HighlanderAbilities3Scenario1[takes]),0)</f>
        <v>0.5625</v>
      </c>
      <c r="O36" s="15">
        <f>IF(HighlanderAbilities3Scenario1[[#This Row],[takes]]&gt;0,HighlanderAbilities3Scenario1[[#This Row],[wins]]/HighlanderAbilities3Scenario1[[#This Row],[takes]],0)</f>
        <v>0.77777777777777779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0.6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0.2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0.2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0</v>
      </c>
      <c r="M45">
        <f>COUNTIF(Scenario2[winner1-ability1],HighlanderAbilities1Scenario2[[#This Row],[ability]])</f>
        <v>0</v>
      </c>
      <c r="N45" s="3">
        <f>IF(SUM(HighlanderAbilities1Scenario2[[#This Row],[takes]]) &gt; 0,HighlanderAbilities1Scenario2[[#This Row],[takes]]/SUM(HighlanderAbilities1Scenario2[takes]),0)</f>
        <v>0</v>
      </c>
      <c r="O45" s="3">
        <f>IF(HighlanderAbilities1Scenario2[[#This Row],[takes]]&gt;0,HighlanderAbilities1Scenario2[[#This Row],[wins]]/HighlanderAbilities1Scenario2[[#This Row],[takes]],0)</f>
        <v>0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0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9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10</v>
      </c>
      <c r="M46">
        <f>COUNTIF(Scenario2[winner1-ability1],HighlanderAbilities1Scenario2[[#This Row],[ability]])</f>
        <v>7</v>
      </c>
      <c r="N46" s="3">
        <f>IF(SUM(HighlanderAbilities1Scenario2[[#This Row],[takes]]) &gt; 0,HighlanderAbilities1Scenario2[[#This Row],[takes]]/SUM(HighlanderAbilities1Scenario2[takes]),0)</f>
        <v>0.7142857142857143</v>
      </c>
      <c r="O46" s="3">
        <f>IF(HighlanderAbilities1Scenario2[[#This Row],[takes]]&gt;0,HighlanderAbilities1Scenario2[[#This Row],[wins]]/HighlanderAbilities1Scenario2[[#This Row],[takes]],0)</f>
        <v>0.7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8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6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1</v>
      </c>
      <c r="N50" s="12">
        <f>IF(SUM(HighlanderAbilities2Scenario2[[#This Row],[takes]]) &gt; 0,HighlanderAbilities2Scenario2[[#This Row],[takes]]/SUM(HighlanderAbilities2Scenario2[takes]),0)</f>
        <v>7.1428571428571425E-2</v>
      </c>
      <c r="O50" s="12">
        <f>IF(HighlanderAbilities2Scenario2[[#This Row],[takes]]&gt;0,HighlanderAbilities2Scenario2[[#This Row],[wins]]/HighlanderAbilities2Scenario2[[#This Row],[takes]],0)</f>
        <v>1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2</v>
      </c>
      <c r="M51" s="2">
        <f>COUNTIF(Scenario2[winner1-ability2],HighlanderAbilities2Scenario2[[#This Row],[ability]])</f>
        <v>1</v>
      </c>
      <c r="N51" s="3">
        <f>IF(SUM(HighlanderAbilities2Scenario2[[#This Row],[takes]]) &gt; 0,HighlanderAbilities2Scenario2[[#This Row],[takes]]/SUM(HighlanderAbilities2Scenario2[takes]),0)</f>
        <v>0.14285714285714285</v>
      </c>
      <c r="O51" s="3">
        <f>IF(HighlanderAbilities2Scenario2[[#This Row],[takes]]&gt;0,HighlanderAbilities2Scenario2[[#This Row],[wins]]/HighlanderAbilities2Scenario2[[#This Row],[takes]],0)</f>
        <v>0.5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11</v>
      </c>
      <c r="M52" s="2">
        <f>COUNTIF(Scenario2[winner1-ability2],HighlanderAbilities2Scenario2[[#This Row],[ability]])</f>
        <v>7</v>
      </c>
      <c r="N52" s="13">
        <f>IF(SUM(HighlanderAbilities2Scenario2[[#This Row],[takes]]) &gt; 0,HighlanderAbilities2Scenario2[[#This Row],[takes]]/SUM(HighlanderAbilities2Scenario2[takes]),0)</f>
        <v>0.7857142857142857</v>
      </c>
      <c r="O52" s="13">
        <f>IF(HighlanderAbilities2Scenario2[[#This Row],[takes]]&gt;0,HighlanderAbilities2Scenario2[[#This Row],[wins]]/HighlanderAbilities2Scenario2[[#This Row],[takes]],0)</f>
        <v>0.63636363636363635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1</v>
      </c>
      <c r="M55" s="1">
        <f>COUNTIF(Scenario2[winner1-ability3],HighlanderAbilities3Scenario2[[#This Row],[ability]])</f>
        <v>0</v>
      </c>
      <c r="N55" s="14">
        <f>IF(SUM(HighlanderAbilities3Scenario2[[#This Row],[takes]]) &gt; 0,HighlanderAbilities3Scenario2[[#This Row],[takes]]/SUM(HighlanderAbilities3Scenario2[takes]),0)</f>
        <v>0.125</v>
      </c>
      <c r="O55" s="14">
        <f>IF(HighlanderAbilities3Scenario2[[#This Row],[takes]]&gt;0,HighlanderAbilities3Scenario2[[#This Row],[wins]]/HighlanderAbilities3Scenario2[[#This Row],[takes]],0)</f>
        <v>0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4</v>
      </c>
      <c r="M56" s="2">
        <f>COUNTIF(Scenario2[winner1-ability3],HighlanderAbilities3Scenario2[[#This Row],[ability]])</f>
        <v>3</v>
      </c>
      <c r="N56" s="12">
        <f>IF(SUM(HighlanderAbilities3Scenario2[[#This Row],[takes]]) &gt; 0,HighlanderAbilities3Scenario2[[#This Row],[takes]]/SUM(HighlanderAbilities3Scenario2[takes]),0)</f>
        <v>0.5</v>
      </c>
      <c r="O56" s="12">
        <f>IF(HighlanderAbilities3Scenario2[[#This Row],[takes]]&gt;0,HighlanderAbilities3Scenario2[[#This Row],[wins]]/HighlanderAbilities3Scenario2[[#This Row],[takes]],0)</f>
        <v>0.75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0.375</v>
      </c>
      <c r="O57" s="15">
        <f>IF(HighlanderAbilities3Scenario2[[#This Row],[takes]]&gt;0,HighlanderAbilities3Scenario2[[#This Row],[wins]]/HighlanderAbilities3Scenario2[[#This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0.5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0</v>
      </c>
      <c r="M61" s="2">
        <f>COUNTIF(Scenario2[winner1-ability4],HighlanderAbilities4Scenario2[[#This Row],[ability]])</f>
        <v>0</v>
      </c>
      <c r="N61" s="12">
        <f>IF(SUM(HighlanderAbilities4Scenario2[[#This Row],[takes]]) &gt; 0,HighlanderAbilities4Scenario2[[#This Row],[takes]]/SUM(HighlanderAbilities4Scenario2[takes]),0)</f>
        <v>0</v>
      </c>
      <c r="O61" s="12">
        <f>IF(HighlanderAbilities4Scenario2[[#This Row],[takes]]&gt;0,HighlanderAbilities4Scenario2[[#This Row],[wins]]/HighlanderAbilities4Scenario2[[#This Row],[takes]],0)</f>
        <v>0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0.5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1</v>
      </c>
      <c r="N66" s="3">
        <f>IF(SUM(HighlanderAbilities1Scenario3[[#This Row],[takes]]) &gt; 0,HighlanderAbilities1Scenario3[[#This Row],[takes]]/SUM(HighlanderAbilities1Scenario3[takes]),0)</f>
        <v>4.7619047619047616E-2</v>
      </c>
      <c r="O66" s="3">
        <f>IF(HighlanderAbilities1Scenario3[[#This Row],[takes]]&gt;0,HighlanderAbilities1Scenario3[[#This Row],[wins]]/HighlanderAbilities1Scenario3[[#This Row],[takes]],0)</f>
        <v>1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17</v>
      </c>
      <c r="M67">
        <f>COUNTIF(Scenario3[winner1-ability1],HighlanderAbilities1Scenario3[[#This Row],[ability]])</f>
        <v>7</v>
      </c>
      <c r="N67" s="3">
        <f>IF(SUM(HighlanderAbilities1Scenario3[[#This Row],[takes]]) &gt; 0,HighlanderAbilities1Scenario3[[#This Row],[takes]]/SUM(HighlanderAbilities1Scenario3[takes]),0)</f>
        <v>0.80952380952380953</v>
      </c>
      <c r="O67" s="3">
        <f>IF(HighlanderAbilities1Scenario3[[#This Row],[takes]]&gt;0,HighlanderAbilities1Scenario3[[#This Row],[wins]]/HighlanderAbilities1Scenario3[[#This Row],[takes]],0)</f>
        <v>0.41176470588235292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4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3</v>
      </c>
      <c r="M68">
        <f>COUNTIF(Scenario3[winner1-ability1],HighlanderAbilities1Scenario3[[#This Row],[ability]])</f>
        <v>3</v>
      </c>
      <c r="N68" s="3">
        <f>IF(SUM(HighlanderAbilities1Scenario3[[#This Row],[takes]]) &gt; 0,HighlanderAbilities1Scenario3[[#This Row],[takes]]/SUM(HighlanderAbilities1Scenario3[takes]),0)</f>
        <v>0.14285714285714285</v>
      </c>
      <c r="O68" s="3">
        <f>IF(HighlanderAbilities1Scenario3[[#This Row],[takes]]&gt;0,HighlanderAbilities1Scenario3[[#This Row],[wins]]/HighlanderAbilities1Scenario3[[#This Row],[takes]],0)</f>
        <v>1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14</v>
      </c>
      <c r="M71" s="2">
        <f>COUNTIF(Scenario3[winner1-ability2],HighlanderAbilities2Scenario3[[#This Row],[ability]])</f>
        <v>8</v>
      </c>
      <c r="N71" s="12">
        <f>IF(SUM(HighlanderAbilities2Scenario3[[#This Row],[takes]]) &gt; 0,HighlanderAbilities2Scenario3[[#This Row],[takes]]/SUM(HighlanderAbilities2Scenario3[takes]),0)</f>
        <v>0.73684210526315785</v>
      </c>
      <c r="O71" s="12">
        <f>IF(HighlanderAbilities2Scenario3[[#This Row],[takes]]&gt;0,HighlanderAbilities2Scenario3[[#This Row],[wins]]/HighlanderAbilities2Scenario3[[#This Row],[takes]],0)</f>
        <v>0.5714285714285714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2" s="2">
        <f>COUNTIF(Scenario3[winner1-ability2],HighlanderAbilities2Scenario3[[#This Row],[ability]])</f>
        <v>0</v>
      </c>
      <c r="N72" s="3">
        <f>IF(SUM(HighlanderAbilities2Scenario3[[#This Row],[takes]]) &gt; 0,HighlanderAbilities2Scenario3[[#This Row],[takes]]/SUM(HighlanderAbilities2Scenario3[takes]),0)</f>
        <v>5.2631578947368418E-2</v>
      </c>
      <c r="O72" s="3">
        <f>IF(HighlanderAbilities2Scenario3[[#This Row],[takes]]&gt;0,HighlanderAbilities2Scenario3[[#This Row],[wins]]/HighlanderAbilities2Scenario3[[#This Row],[takes]],0)</f>
        <v>0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4</v>
      </c>
      <c r="M73" s="2">
        <f>COUNTIF(Scenario3[winner1-ability2],HighlanderAbilities2Scenario3[[#This Row],[ability]])</f>
        <v>2</v>
      </c>
      <c r="N73" s="13">
        <f>IF(SUM(HighlanderAbilities2Scenario3[[#This Row],[takes]]) &gt; 0,HighlanderAbilities2Scenario3[[#This Row],[takes]]/SUM(HighlanderAbilities2Scenario3[takes]),0)</f>
        <v>0.21052631578947367</v>
      </c>
      <c r="O73" s="13">
        <f>IF(HighlanderAbilities2Scenario3[[#This Row],[takes]]&gt;0,HighlanderAbilities2Scenario3[[#This Row],[wins]]/HighlanderAbilities2Scenario3[[#This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6" s="1">
        <f>COUNTIF(Scenario3[winner1-ability3],HighlanderAbilities3Scenario3[[#This Row],[ability]])</f>
        <v>0</v>
      </c>
      <c r="N76" s="14">
        <f>IF(SUM(HighlanderAbilities3Scenario3[[#This Row],[takes]]) &gt; 0,HighlanderAbilities3Scenario3[[#This Row],[takes]]/SUM(HighlanderAbilities3Scenario3[takes]),0)</f>
        <v>5.5555555555555552E-2</v>
      </c>
      <c r="O76" s="14">
        <f>IF(HighlanderAbilities3Scenario3[[#This Row],[takes]]&gt;0,HighlanderAbilities3Scenario3[[#This Row],[wins]]/HighlanderAbilities3Scenario3[[#This Row],[takes]],0)</f>
        <v>0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12</v>
      </c>
      <c r="M77" s="2">
        <f>COUNTIF(Scenario3[winner1-ability3],HighlanderAbilities3Scenario3[[#This Row],[ability]])</f>
        <v>6</v>
      </c>
      <c r="N77" s="12">
        <f>IF(SUM(HighlanderAbilities3Scenario3[[#This Row],[takes]]) &gt; 0,HighlanderAbilities3Scenario3[[#This Row],[takes]]/SUM(HighlanderAbilities3Scenario3[takes]),0)</f>
        <v>0.66666666666666663</v>
      </c>
      <c r="O77" s="12">
        <f>IF(HighlanderAbilities3Scenario3[[#This Row],[takes]]&gt;0,HighlanderAbilities3Scenario3[[#This Row],[wins]]/HighlanderAbilities3Scenario3[[#This Row],[takes]],0)</f>
        <v>0.5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5</v>
      </c>
      <c r="M78" s="1">
        <f>COUNTIF(Scenario3[winner1-ability3],HighlanderAbilities3Scenario3[[#This Row],[ability]])</f>
        <v>3</v>
      </c>
      <c r="N78" s="15">
        <f>IF(SUM(HighlanderAbilities3Scenario3[[#This Row],[takes]]) &gt; 0,HighlanderAbilities3Scenario3[[#This Row],[takes]]/SUM(HighlanderAbilities3Scenario3[takes]),0)</f>
        <v>0.27777777777777779</v>
      </c>
      <c r="O78" s="15">
        <f>IF(HighlanderAbilities3Scenario3[[#This Row],[takes]]&gt;0,HighlanderAbilities3Scenario3[[#This Row],[wins]]/HighlanderAbilities3Scenario3[[#This Row],[takes]],0)</f>
        <v>0.6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0.33333333333333331</v>
      </c>
      <c r="O81" s="12">
        <f>IF(HighlanderAbilities4Scenario3[[#This Row],[takes]]&gt;0,HighlanderAbilities4Scenario3[[#This Row],[wins]]/HighlanderAbilities4Scenario3[[#This Row],[takes]],0)</f>
        <v>0.5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2</v>
      </c>
      <c r="M82" s="2">
        <f>COUNTIF(Scenario3[winner1-ability4],HighlanderAbilities4Scenario3[[#This Row],[ability]])</f>
        <v>0</v>
      </c>
      <c r="N82" s="12">
        <f>IF(SUM(HighlanderAbilities4Scenario3[[#This Row],[takes]]) &gt; 0,HighlanderAbilities4Scenario3[[#This Row],[takes]]/SUM(HighlanderAbilities4Scenario3[takes]),0)</f>
        <v>0.16666666666666666</v>
      </c>
      <c r="O82" s="12">
        <f>IF(HighlanderAbilities4Scenario3[[#This Row],[takes]]&gt;0,HighlanderAbilities4Scenario3[[#This Row],[wins]]/HighlanderAbilities4Scenario3[[#This Row],[takes]],0)</f>
        <v>0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3" s="2">
        <f>COUNTIF(Scenario3[winner1-ability4],HighlanderAbilities4Scenario3[[#This Row],[ability]])</f>
        <v>4</v>
      </c>
      <c r="N83" s="26">
        <f>IF(SUM(HighlanderAbilities4Scenario3[[#This Row],[takes]]) &gt; 0,HighlanderAbilities4Scenario3[[#This Row],[takes]]/SUM(HighlanderAbilities4Scenario3[takes]),0)</f>
        <v>0.5</v>
      </c>
      <c r="O83" s="26">
        <f>IF(HighlanderAbilities4Scenario3[[#This Row],[takes]]&gt;0,HighlanderAbilities4Scenario3[[#This Row],[wins]]/HighlanderAbilities4Scenario3[[#This Row],[takes]],0)</f>
        <v>0.66666666666666663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7">
        <f>COUNTIF(Scenario4[winner1-ability1],HighlanderAbilities1Scenario4[[#This Row],[ability]])</f>
        <v>1</v>
      </c>
      <c r="N87" s="3">
        <f>IF(SUM(HighlanderAbilities1Scenario4[[#This Row],[takes]]) &gt; 0,HighlanderAbilities1Scenario4[[#This Row],[takes]]/SUM(HighlanderAbilities1Scenario4[takes]),0)</f>
        <v>2.8571428571428571E-2</v>
      </c>
      <c r="O87" s="3">
        <f>IF(HighlanderAbilities1Scenario4[[#This Row],[takes]]&gt;0,HighlanderAbilities1Scenario4[[#This Row],[wins]]/HighlanderAbilities1Scenario4[[#This Row],[takes]],0)</f>
        <v>1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30</v>
      </c>
      <c r="M88">
        <f>COUNTIF(Scenario4[winner1-ability1],HighlanderAbilities1Scenario4[[#This Row],[ability]])</f>
        <v>7</v>
      </c>
      <c r="N88" s="3">
        <f>IF(SUM(HighlanderAbilities1Scenario4[[#This Row],[takes]]) &gt; 0,HighlanderAbilities1Scenario4[[#This Row],[takes]]/SUM(HighlanderAbilities1Scenario4[takes]),0)</f>
        <v>0.8571428571428571</v>
      </c>
      <c r="O88" s="3">
        <f>IF(HighlanderAbilities1Scenario4[[#This Row],[takes]]&gt;0,HighlanderAbilities1Scenario4[[#This Row],[wins]]/HighlanderAbilities1Scenario4[[#This Row],[takes]],0)</f>
        <v>0.23333333333333334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4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0.11428571428571428</v>
      </c>
      <c r="O89" s="3">
        <f>IF(HighlanderAbilities1Scenario4[[#This Row],[takes]]&gt;0,HighlanderAbilities1Scenario4[[#This Row],[wins]]/HighlanderAbilities1Scenario4[[#This Row],[takes]],0)</f>
        <v>0.25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32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23</v>
      </c>
      <c r="M92" s="2">
        <f>COUNTIF(Scenario4[winner1-ability2],HighlanderAbilities2Scenario4[[#This Row],[ability]])</f>
        <v>4</v>
      </c>
      <c r="N92" s="12">
        <f>IF(SUM(HighlanderAbilities2Scenario4[[#This Row],[takes]]) &gt; 0,HighlanderAbilities2Scenario4[[#This Row],[takes]]/SUM(HighlanderAbilities2Scenario4[takes]),0)</f>
        <v>0.67647058823529416</v>
      </c>
      <c r="O92" s="12">
        <f>IF(HighlanderAbilities2Scenario4[[#This Row],[takes]]&gt;0,HighlanderAbilities2Scenario4[[#This Row],[wins]]/HighlanderAbilities2Scenario4[[#This Row],[takes]],0)</f>
        <v>0.17391304347826086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6</v>
      </c>
      <c r="M93" s="2">
        <f>COUNTIF(Scenario4[winner1-ability2],HighlanderAbilities2Scenario4[[#This Row],[ability]])</f>
        <v>2</v>
      </c>
      <c r="N93" s="3">
        <f>IF(SUM(HighlanderAbilities2Scenario4[[#This Row],[takes]]) &gt; 0,HighlanderAbilities2Scenario4[[#This Row],[takes]]/SUM(HighlanderAbilities2Scenario4[takes]),0)</f>
        <v>0.17647058823529413</v>
      </c>
      <c r="O93" s="3">
        <f>IF(HighlanderAbilities2Scenario4[[#This Row],[takes]]&gt;0,HighlanderAbilities2Scenario4[[#This Row],[wins]]/HighlanderAbilities2Scenario4[[#This Row],[takes]],0)</f>
        <v>0.33333333333333331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5</v>
      </c>
      <c r="M94" s="2">
        <f>COUNTIF(Scenario4[winner1-ability2],HighlanderAbilities2Scenario4[[#This Row],[ability]])</f>
        <v>3</v>
      </c>
      <c r="N94" s="13">
        <f>IF(SUM(HighlanderAbilities2Scenario4[[#This Row],[takes]]) &gt; 0,HighlanderAbilities2Scenario4[[#This Row],[takes]]/SUM(HighlanderAbilities2Scenario4[takes]),0)</f>
        <v>0.14705882352941177</v>
      </c>
      <c r="O94" s="13">
        <f>IF(HighlanderAbilities2Scenario4[[#This Row],[takes]]&gt;0,HighlanderAbilities2Scenario4[[#This Row],[wins]]/HighlanderAbilities2Scenario4[[#This Row],[takes]],0)</f>
        <v>0.6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5</v>
      </c>
      <c r="M97" s="1">
        <f>COUNTIF(Scenario4[winner1-ability3],HighlanderAbilities3Scenario4[[#This Row],[ability]])</f>
        <v>1</v>
      </c>
      <c r="N97" s="14">
        <f>IF(SUM(HighlanderAbilities3Scenario4[[#This Row],[takes]]) &gt; 0,HighlanderAbilities3Scenario4[[#This Row],[takes]]/SUM(HighlanderAbilities3Scenario4[takes]),0)</f>
        <v>0.16129032258064516</v>
      </c>
      <c r="O97" s="14">
        <f>IF(HighlanderAbilities3Scenario4[[#This Row],[takes]]&gt;0,HighlanderAbilities3Scenario4[[#This Row],[wins]]/HighlanderAbilities3Scenario4[[#This Row],[takes]],0)</f>
        <v>0.2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20</v>
      </c>
      <c r="M98" s="2">
        <f>COUNTIF(Scenario4[winner1-ability3],HighlanderAbilities3Scenario4[[#This Row],[ability]])</f>
        <v>4</v>
      </c>
      <c r="N98" s="12">
        <f>IF(SUM(HighlanderAbilities3Scenario4[[#This Row],[takes]]) &gt; 0,HighlanderAbilities3Scenario4[[#This Row],[takes]]/SUM(HighlanderAbilities3Scenario4[takes]),0)</f>
        <v>0.64516129032258063</v>
      </c>
      <c r="O98" s="12">
        <f>IF(HighlanderAbilities3Scenario4[[#This Row],[takes]]&gt;0,HighlanderAbilities3Scenario4[[#This Row],[wins]]/HighlanderAbilities3Scenario4[[#This Row],[takes]],0)</f>
        <v>0.2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6</v>
      </c>
      <c r="M99" s="1">
        <f>COUNTIF(Scenario4[winner1-ability3],HighlanderAbilities3Scenario4[[#This Row],[ability]])</f>
        <v>2</v>
      </c>
      <c r="N99" s="15">
        <f>IF(SUM(HighlanderAbilities3Scenario4[[#This Row],[takes]]) &gt; 0,HighlanderAbilities3Scenario4[[#This Row],[takes]]/SUM(HighlanderAbilities3Scenario4[takes]),0)</f>
        <v>0.19354838709677419</v>
      </c>
      <c r="O99" s="15">
        <f>IF(HighlanderAbilities3Scenario4[[#This Row],[takes]]&gt;0,HighlanderAbilities3Scenario4[[#This Row],[wins]]/HighlanderAbilities3Scenario4[[#This Row],[takes]],0)</f>
        <v>0.33333333333333331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11</v>
      </c>
      <c r="M102" s="2">
        <f>COUNTIF(Scenario4[winner1-ability4],HighlanderAbilities4Scenario4[[#This Row],[ability]])</f>
        <v>3</v>
      </c>
      <c r="N102" s="12">
        <f>IF(SUM(HighlanderAbilities4Scenario4[[#This Row],[takes]]) &gt; 0,HighlanderAbilities4Scenario4[[#This Row],[takes]]/SUM(HighlanderAbilities4Scenario4[takes]),0)</f>
        <v>0.37931034482758619</v>
      </c>
      <c r="O102" s="12">
        <f>IF(HighlanderAbilities4Scenario4[[#This Row],[takes]]&gt;0,HighlanderAbilities4Scenario4[[#This Row],[wins]]/HighlanderAbilities4Scenario4[[#This Row],[takes]],0)</f>
        <v>0.27272727272727271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7</v>
      </c>
      <c r="M103" s="2">
        <f>COUNTIF(Scenario4[winner1-ability4],HighlanderAbilities4Scenario4[[#This Row],[ability]])</f>
        <v>1</v>
      </c>
      <c r="N103" s="12">
        <f>IF(SUM(HighlanderAbilities4Scenario4[[#This Row],[takes]]) &gt; 0,HighlanderAbilities4Scenario4[[#This Row],[takes]]/SUM(HighlanderAbilities4Scenario4[takes]),0)</f>
        <v>0.2413793103448276</v>
      </c>
      <c r="O103" s="12">
        <f>IF(HighlanderAbilities4Scenario4[[#This Row],[takes]]&gt;0,HighlanderAbilities4Scenario4[[#This Row],[wins]]/HighlanderAbilities4Scenario4[[#This Row],[takes]],0)</f>
        <v>0.14285714285714285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11</v>
      </c>
      <c r="M104" s="2">
        <f>COUNTIF(Scenario4[winner1-ability4],HighlanderAbilities4Scenario4[[#This Row],[ability]])</f>
        <v>2</v>
      </c>
      <c r="N104" s="26">
        <f>IF(SUM(HighlanderAbilities4Scenario4[[#This Row],[takes]]) &gt; 0,HighlanderAbilities4Scenario4[[#This Row],[takes]]/SUM(HighlanderAbilities4Scenario4[takes]),0)</f>
        <v>0.37931034482758619</v>
      </c>
      <c r="O104" s="26">
        <f>IF(HighlanderAbilities4Scenario4[[#This Row],[takes]]&gt;0,HighlanderAbilities4Scenario4[[#This Row],[wins]]/HighlanderAbilities4Scenario4[[#This Row],[takes]],0)</f>
        <v>0.18181818181818182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11</v>
      </c>
      <c r="M108">
        <f>COUNTIF(Scenario5[winner1-ability1],HighlanderAbilities1Scenario5[[#This Row],[ability]])+COUNTIF(Scenario5[winner2-ability1],HighlanderAbilities1Scenario5[[#This Row],[ability]])</f>
        <v>7</v>
      </c>
      <c r="N108" s="3">
        <f>IF(SUM(HighlanderAbilities1Scenario5[[#This Row],[takes]]) &gt; 0,HighlanderAbilities1Scenario5[[#This Row],[takes]]/SUM(HighlanderAbilities1Scenario5[takes]),0)</f>
        <v>0.10476190476190476</v>
      </c>
      <c r="O108" s="3">
        <f>IF(HighlanderAbilities1Scenario5[[#This Row],[takes]]&gt;0,HighlanderAbilities1Scenario5[[#This Row],[wins]]/HighlanderAbilities1Scenario5[[#This Row],[takes]],0)</f>
        <v>0.63636363636363635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10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53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48</v>
      </c>
      <c r="M109">
        <f>COUNTIF(Scenario5[winner1-ability1],HighlanderAbilities1Scenario5[[#This Row],[ability]])+COUNTIF(Scenario5[winner2-ability1],HighlanderAbilities1Scenario5[[#This Row],[ability]])</f>
        <v>21</v>
      </c>
      <c r="N109" s="3">
        <f>IF(SUM(HighlanderAbilities1Scenario5[[#This Row],[takes]]) &gt; 0,HighlanderAbilities1Scenario5[[#This Row],[takes]]/SUM(HighlanderAbilities1Scenario5[takes]),0)</f>
        <v>0.45714285714285713</v>
      </c>
      <c r="O109" s="3">
        <f>IF(HighlanderAbilities1Scenario5[[#This Row],[takes]]&gt;0,HighlanderAbilities1Scenario5[[#This Row],[wins]]/HighlanderAbilities1Scenario5[[#This Row],[takes]],0)</f>
        <v>0.4375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31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24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46</v>
      </c>
      <c r="M110">
        <f>COUNTIF(Scenario5[winner1-ability1],HighlanderAbilities1Scenario5[[#This Row],[ability]])+COUNTIF(Scenario5[winner2-ability1],HighlanderAbilities1Scenario5[[#This Row],[ability]])</f>
        <v>27</v>
      </c>
      <c r="N110" s="3">
        <f>IF(SUM(HighlanderAbilities1Scenario5[[#This Row],[takes]]) &gt; 0,HighlanderAbilities1Scenario5[[#This Row],[takes]]/SUM(HighlanderAbilities1Scenario5[takes]),0)</f>
        <v>0.43809523809523809</v>
      </c>
      <c r="O110" s="3">
        <f>IF(HighlanderAbilities1Scenario5[[#This Row],[takes]]&gt;0,HighlanderAbilities1Scenario5[[#This Row],[wins]]/HighlanderAbilities1Scenario5[[#This Row],[takes]],0)</f>
        <v>0.58695652173913049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64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3" s="2">
        <f>COUNTIF(Scenario5[winner1-ability2],HighlanderAbilities2Scenario5[[#This Row],[ability]])+COUNTIF(Scenario5[winner2-ability2],HighlanderAbilities2Scenario5[[#This Row],[ability]])</f>
        <v>11</v>
      </c>
      <c r="N113" s="12">
        <f>IF(SUM(HighlanderAbilities2Scenario5[[#This Row],[takes]]) &gt; 0,HighlanderAbilities2Scenario5[[#This Row],[takes]]/SUM(HighlanderAbilities2Scenario5[takes]),0)</f>
        <v>0.27083333333333331</v>
      </c>
      <c r="O113" s="12">
        <f>IF(HighlanderAbilities2Scenario5[[#This Row],[takes]]&gt;0,HighlanderAbilities2Scenario5[[#This Row],[wins]]/HighlanderAbilities2Scenario5[[#This Row],[takes]],0)</f>
        <v>0.42307692307692307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13</v>
      </c>
      <c r="M114" s="2">
        <f>COUNTIF(Scenario5[winner1-ability2],HighlanderAbilities2Scenario5[[#This Row],[ability]])+COUNTIF(Scenario5[winner2-ability2],HighlanderAbilities2Scenario5[[#This Row],[ability]])</f>
        <v>7</v>
      </c>
      <c r="N114" s="3">
        <f>IF(SUM(HighlanderAbilities2Scenario5[[#This Row],[takes]]) &gt; 0,HighlanderAbilities2Scenario5[[#This Row],[takes]]/SUM(HighlanderAbilities2Scenario5[takes]),0)</f>
        <v>0.13541666666666666</v>
      </c>
      <c r="O114" s="3">
        <f>IF(HighlanderAbilities2Scenario5[[#This Row],[takes]]&gt;0,HighlanderAbilities2Scenario5[[#This Row],[wins]]/HighlanderAbilities2Scenario5[[#This Row],[takes]],0)</f>
        <v>0.53846153846153844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57</v>
      </c>
      <c r="M115" s="2">
        <f>COUNTIF(Scenario5[winner1-ability2],HighlanderAbilities2Scenario5[[#This Row],[ability]])+COUNTIF(Scenario5[winner2-ability2],HighlanderAbilities2Scenario5[[#This Row],[ability]])</f>
        <v>35</v>
      </c>
      <c r="N115" s="13">
        <f>IF(SUM(HighlanderAbilities2Scenario5[[#This Row],[takes]]) &gt; 0,HighlanderAbilities2Scenario5[[#This Row],[takes]]/SUM(HighlanderAbilities2Scenario5[takes]),0)</f>
        <v>0.59375</v>
      </c>
      <c r="O115" s="13">
        <f>IF(HighlanderAbilities2Scenario5[[#This Row],[takes]]&gt;0,HighlanderAbilities2Scenario5[[#This Row],[wins]]/HighlanderAbilities2Scenario5[[#This Row],[takes]],0)</f>
        <v>0.61403508771929827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8" s="1">
        <f>COUNTIF(Scenario5[winner1-ability3],HighlanderAbilities3Scenario5[[#This Row],[ability]])+COUNTIF(Scenario5[winner2-ability3],HighlanderAbilities3Scenario5[[#This Row],[ability]])</f>
        <v>13</v>
      </c>
      <c r="N118" s="14">
        <f>IF(SUM(HighlanderAbilities3Scenario5[[#This Row],[takes]]) &gt; 0,HighlanderAbilities3Scenario5[[#This Row],[takes]]/SUM(HighlanderAbilities3Scenario5[takes]),0)</f>
        <v>0.34285714285714286</v>
      </c>
      <c r="O118" s="14">
        <f>IF(HighlanderAbilities3Scenario5[[#This Row],[takes]]&gt;0,HighlanderAbilities3Scenario5[[#This Row],[wins]]/HighlanderAbilities3Scenario5[[#This Row],[takes]],0)</f>
        <v>0.54166666666666663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9" s="2">
        <f>COUNTIF(Scenario5[winner1-ability3],HighlanderAbilities3Scenario5[[#This Row],[ability]])+COUNTIF(Scenario5[winner2-ability3],HighlanderAbilities3Scenario5[[#This Row],[ability]])</f>
        <v>12</v>
      </c>
      <c r="N119" s="12">
        <f>IF(SUM(HighlanderAbilities3Scenario5[[#This Row],[takes]]) &gt; 0,HighlanderAbilities3Scenario5[[#This Row],[takes]]/SUM(HighlanderAbilities3Scenario5[takes]),0)</f>
        <v>0.34285714285714286</v>
      </c>
      <c r="O119" s="12">
        <f>IF(HighlanderAbilities3Scenario5[[#This Row],[takes]]&gt;0,HighlanderAbilities3Scenario5[[#This Row],[wins]]/HighlanderAbilities3Scenario5[[#This Row],[takes]],0)</f>
        <v>0.5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22</v>
      </c>
      <c r="M120" s="1">
        <f>COUNTIF(Scenario5[winner1-ability3],HighlanderAbilities3Scenario5[[#This Row],[ability]])+COUNTIF(Scenario5[winner2-ability3],HighlanderAbilities3Scenario5[[#This Row],[ability]])</f>
        <v>17</v>
      </c>
      <c r="N120" s="15">
        <f>IF(SUM(HighlanderAbilities3Scenario5[[#This Row],[takes]]) &gt; 0,HighlanderAbilities3Scenario5[[#This Row],[takes]]/SUM(HighlanderAbilities3Scenario5[takes]),0)</f>
        <v>0.31428571428571428</v>
      </c>
      <c r="O120" s="15">
        <f>IF(HighlanderAbilities3Scenario5[[#This Row],[takes]]&gt;0,HighlanderAbilities3Scenario5[[#This Row],[wins]]/HighlanderAbilities3Scenario5[[#This Row],[takes]],0)</f>
        <v>0.77272727272727271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8</v>
      </c>
      <c r="M123" s="2">
        <f>COUNTIF(Scenario5[winner1-ability4],HighlanderAbilities4Scenario5[[#This Row],[ability]])+COUNTIF(Scenario5[winner2-ability4],HighlanderAbilities4Scenario5[[#This Row],[ability]])</f>
        <v>2</v>
      </c>
      <c r="N123" s="12">
        <f>IF(SUM(HighlanderAbilities4Scenario5[[#This Row],[takes]]) &gt; 0,HighlanderAbilities4Scenario5[[#This Row],[takes]]/SUM(HighlanderAbilities4Scenario5[takes]),0)</f>
        <v>0.18181818181818182</v>
      </c>
      <c r="O123" s="12">
        <f>IF(HighlanderAbilities4Scenario5[[#This Row],[takes]]&gt;0,HighlanderAbilities4Scenario5[[#This Row],[wins]]/HighlanderAbilities4Scenario5[[#This Row],[takes]],0)</f>
        <v>0.25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20</v>
      </c>
      <c r="M124" s="2">
        <f>COUNTIF(Scenario5[winner1-ability4],HighlanderAbilities4Scenario5[[#This Row],[ability]])+COUNTIF(Scenario5[winner2-ability4],HighlanderAbilities4Scenario5[[#This Row],[ability]])</f>
        <v>12</v>
      </c>
      <c r="N124" s="12">
        <f>IF(SUM(HighlanderAbilities4Scenario5[[#This Row],[takes]]) &gt; 0,HighlanderAbilities4Scenario5[[#This Row],[takes]]/SUM(HighlanderAbilities4Scenario5[takes]),0)</f>
        <v>0.45454545454545453</v>
      </c>
      <c r="O124" s="12">
        <f>IF(HighlanderAbilities4Scenario5[[#This Row],[takes]]&gt;0,HighlanderAbilities4Scenario5[[#This Row],[wins]]/HighlanderAbilities4Scenario5[[#This Row],[takes]],0)</f>
        <v>0.6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16</v>
      </c>
      <c r="M125" s="2">
        <f>COUNTIF(Scenario5[winner1-ability4],HighlanderAbilities4Scenario5[[#This Row],[ability]])+COUNTIF(Scenario5[winner2-ability4],HighlanderAbilities4Scenario5[[#This Row],[ability]])</f>
        <v>14</v>
      </c>
      <c r="N125" s="26">
        <f>IF(SUM(HighlanderAbilities4Scenario5[[#This Row],[takes]]) &gt; 0,HighlanderAbilities4Scenario5[[#This Row],[takes]]/SUM(HighlanderAbilities4Scenario5[takes]),0)</f>
        <v>0.36363636363636365</v>
      </c>
      <c r="O125" s="26">
        <f>IF(HighlanderAbilities4Scenario5[[#This Row],[takes]]&gt;0,HighlanderAbilities4Scenario5[[#This Row],[wins]]/HighlanderAbilities4Scenario5[[#This Row],[takes]],0)</f>
        <v>0.875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0.22337662337662337</v>
      </c>
    </row>
    <row r="3" spans="1:22" x14ac:dyDescent="0.25">
      <c r="A3" t="s">
        <v>49</v>
      </c>
      <c r="B3">
        <f>L3+L24+L45+L66+L87+L108</f>
        <v>141</v>
      </c>
      <c r="C3">
        <f>M3+M24+M45+M66+M87+M108</f>
        <v>85</v>
      </c>
      <c r="D3" s="3">
        <f>IF(SUM(DruidAbilities1[[#This Row],[takes]]) &gt; 0,DruidAbilities1[[#This Row],[takes]]/SUM(DruidAbilities1[takes]),0)</f>
        <v>0.36623376623376624</v>
      </c>
      <c r="E3" s="3">
        <f>IF(DruidAbilities1[[#This Row],[takes]]&gt;0,DruidAbilities1[[#This Row],[wins]]/DruidAbilities1[[#This Row],[takes]],0)</f>
        <v>0.6028368794326241</v>
      </c>
      <c r="G3">
        <v>1</v>
      </c>
      <c r="H3">
        <f>R3+R24+R45+R66+R87+R108</f>
        <v>104</v>
      </c>
      <c r="I3" s="18">
        <f>S3+S24+S45+S66+S87+S108</f>
        <v>216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72</v>
      </c>
      <c r="M3">
        <f>COUNTIF(Scenario0[winner1-ability1],DruidAbilities1Scenario0[[#This Row],[ability]])+COUNTIF(Scenario0[winner2-ability1],DruidAbilities1Scenario0[[#This Row],[ability]])</f>
        <v>45</v>
      </c>
      <c r="N3" s="3">
        <f>IF(SUM(DruidAbilities1Scenario0[[#This Row],[takes]]) &gt; 0,DruidAbilities1Scenario0[[#This Row],[takes]]/SUM(DruidAbilities1Scenario0[takes]),0)</f>
        <v>0.68571428571428572</v>
      </c>
      <c r="O3" s="3">
        <f>IF(DruidAbilities1Scenario0[[#This Row],[takes]]&gt;0,DruidAbilities1Scenario0[[#This Row],[wins]]/DruidAbilities1Scenario0[[#This Row],[takes]],0)</f>
        <v>0.625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39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85</v>
      </c>
      <c r="U3" t="s">
        <v>196</v>
      </c>
      <c r="V3" s="16">
        <f>H5/SUM(DruidEquip[staff])</f>
        <v>0.50649350649350644</v>
      </c>
    </row>
    <row r="4" spans="1:22" x14ac:dyDescent="0.25">
      <c r="A4" t="s">
        <v>89</v>
      </c>
      <c r="B4">
        <f t="shared" ref="B4:B5" si="0">L4+L25+L46+L67+L88+L109</f>
        <v>125</v>
      </c>
      <c r="C4">
        <f t="shared" ref="C4:C5" si="1">M4+M25+M46+M67+M88+M109</f>
        <v>59</v>
      </c>
      <c r="D4" s="3">
        <f>IF(SUM(DruidAbilities1[[#This Row],[takes]]) &gt; 0,DruidAbilities1[[#This Row],[takes]]/SUM(DruidAbilities1[takes]),0)</f>
        <v>0.32467532467532467</v>
      </c>
      <c r="E4" s="3">
        <f>IF(DruidAbilities1[[#This Row],[takes]]&gt;0,DruidAbilities1[[#This Row],[wins]]/DruidAbilities1[[#This Row],[takes]],0)</f>
        <v>0.47199999999999998</v>
      </c>
      <c r="G4">
        <v>2</v>
      </c>
      <c r="H4">
        <f t="shared" ref="H4:H5" si="2">R4+R25+R46+R67+R88+R109</f>
        <v>86</v>
      </c>
      <c r="I4" s="18">
        <f t="shared" ref="I4:I5" si="3">S4+S25+S46+S67+S88+S109</f>
        <v>62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33</v>
      </c>
      <c r="M4">
        <f>COUNTIF(Scenario0[winner1-ability1],DruidAbilities1Scenario0[[#This Row],[ability]])+COUNTIF(Scenario0[winner2-ability1],DruidAbilities1Scenario0[[#This Row],[ability]])</f>
        <v>12</v>
      </c>
      <c r="N4" s="3">
        <f>IF(SUM(DruidAbilities1Scenario0[[#This Row],[takes]]) &gt; 0,DruidAbilities1Scenario0[[#This Row],[takes]]/SUM(DruidAbilities1Scenario0[takes]),0)</f>
        <v>0.31428571428571428</v>
      </c>
      <c r="O4" s="3">
        <f>IF(DruidAbilities1Scenario0[[#This Row],[takes]]&gt;0,DruidAbilities1Scenario0[[#This Row],[wins]]/DruidAbilities1Scenario0[[#This Row],[takes]],0)</f>
        <v>0.36363636363636365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34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16</v>
      </c>
      <c r="U4" t="s">
        <v>179</v>
      </c>
      <c r="V4" s="3">
        <f>DruidEquip[[#This Row],[chestpiece]]/SUM(DruidEquip[chestpiece])</f>
        <v>0.16103896103896104</v>
      </c>
    </row>
    <row r="5" spans="1:22" x14ac:dyDescent="0.25">
      <c r="A5" t="s">
        <v>126</v>
      </c>
      <c r="B5">
        <f t="shared" si="0"/>
        <v>119</v>
      </c>
      <c r="C5">
        <f t="shared" si="1"/>
        <v>42</v>
      </c>
      <c r="D5" s="3">
        <f>IF(SUM(DruidAbilities1[[#This Row],[takes]]) &gt; 0,DruidAbilities1[[#This Row],[takes]]/SUM(DruidAbilities1[takes]),0)</f>
        <v>0.30909090909090908</v>
      </c>
      <c r="E5" s="3">
        <f>IF(DruidAbilities1[[#This Row],[takes]]&gt;0,DruidAbilities1[[#This Row],[wins]]/DruidAbilities1[[#This Row],[takes]],0)</f>
        <v>0.35294117647058826</v>
      </c>
      <c r="G5">
        <v>3</v>
      </c>
      <c r="H5">
        <f t="shared" si="2"/>
        <v>195</v>
      </c>
      <c r="I5" s="18">
        <f t="shared" si="3"/>
        <v>107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0.2779220779220779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0.65714285714285714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0.51688311688311683</v>
      </c>
    </row>
    <row r="8" spans="1:22" x14ac:dyDescent="0.25">
      <c r="A8" s="2" t="s">
        <v>71</v>
      </c>
      <c r="B8" s="2">
        <f>L8+L29+L50+L71+L92+L113</f>
        <v>39</v>
      </c>
      <c r="C8" s="2">
        <f>M8+M29+M50+M71+M92+M113</f>
        <v>32</v>
      </c>
      <c r="D8" s="12">
        <f>IF(SUM(DruidAbilities2[[#This Row],[takes]]) &gt; 0,DruidAbilities2[[#This Row],[takes]]/SUM(DruidAbilities2[takes]),0)</f>
        <v>0.1541501976284585</v>
      </c>
      <c r="E8" s="12">
        <f>IF(DruidAbilities2[[#This Row],[takes]]&gt;0,DruidAbilities2[[#This Row],[wins]]/DruidAbilities2[[#This Row],[takes]],0)</f>
        <v>0.82051282051282048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12</v>
      </c>
      <c r="M8" s="2">
        <f>COUNTIF(Scenario0[winner1-ability2],DruidAbilities2Scenario0[[#This Row],[ability]])+COUNTIF(Scenario0[winner2-ability2],DruidAbilities2Scenario0[[#This Row],[ability]])</f>
        <v>10</v>
      </c>
      <c r="N8" s="12">
        <f>IF(SUM(DruidAbilities2Scenario0[[#This Row],[takes]]) &gt; 0,DruidAbilities2Scenario0[[#This Row],[takes]]/SUM(DruidAbilities2Scenario0[takes]),0)</f>
        <v>0.38709677419354838</v>
      </c>
      <c r="O8" s="12">
        <f>IF(DruidAbilities2Scenario0[[#This Row],[takes]]&gt;0,DruidAbilities2Scenario0[[#This Row],[wins]]/DruidAbilities2Scenario0[[#This Row],[takes]],0)</f>
        <v>0.83333333333333337</v>
      </c>
      <c r="S8" s="18"/>
      <c r="U8" t="s">
        <v>178</v>
      </c>
      <c r="V8" s="16">
        <f>SUM(DruidAbilities4[takes])/SUM(DruidAbilities1[takes])</f>
        <v>0.37922077922077924</v>
      </c>
    </row>
    <row r="9" spans="1:22" x14ac:dyDescent="0.25">
      <c r="A9" t="s">
        <v>50</v>
      </c>
      <c r="B9" s="2">
        <f t="shared" ref="B9:B10" si="4">L9+L30+L51+L72+L93+L114</f>
        <v>58</v>
      </c>
      <c r="C9" s="2">
        <f t="shared" ref="C9:C10" si="5">M9+M30+M51+M72+M93+M114</f>
        <v>23</v>
      </c>
      <c r="D9" s="3">
        <f>IF(SUM(DruidAbilities2[[#This Row],[takes]]) &gt; 0,DruidAbilities2[[#This Row],[takes]]/SUM(DruidAbilities2[takes]),0)</f>
        <v>0.22924901185770752</v>
      </c>
      <c r="E9" s="3">
        <f>IF(DruidAbilities2[[#This Row],[takes]]&gt;0,DruidAbilities2[[#This Row],[wins]]/DruidAbilities2[[#This Row],[takes]],0)</f>
        <v>0.39655172413793105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9</v>
      </c>
      <c r="M9" s="2">
        <f>COUNTIF(Scenario0[winner1-ability2],DruidAbilities2Scenario0[[#This Row],[ability]])+COUNTIF(Scenario0[winner2-ability2],DruidAbilities2Scenario0[[#This Row],[ability]])</f>
        <v>7</v>
      </c>
      <c r="N9" s="3">
        <f>IF(SUM(DruidAbilities2Scenario0[[#This Row],[takes]]) &gt; 0,DruidAbilities2Scenario0[[#This Row],[takes]]/SUM(DruidAbilities2Scenario0[takes]),0)</f>
        <v>0.29032258064516131</v>
      </c>
      <c r="O9" s="3">
        <f>IF(DruidAbilities2Scenario0[[#This Row],[takes]]&gt;0,DruidAbilities2Scenario0[[#This Row],[wins]]/DruidAbilities2Scenario0[[#This Row],[takes]],0)</f>
        <v>0.77777777777777779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2.7220779220779221</v>
      </c>
    </row>
    <row r="10" spans="1:22" x14ac:dyDescent="0.25">
      <c r="A10" s="10" t="s">
        <v>84</v>
      </c>
      <c r="B10" s="2">
        <f t="shared" si="4"/>
        <v>156</v>
      </c>
      <c r="C10" s="2">
        <f t="shared" si="5"/>
        <v>75</v>
      </c>
      <c r="D10" s="13">
        <f>IF(SUM(DruidAbilities2[[#This Row],[takes]]) &gt; 0,DruidAbilities2[[#This Row],[takes]]/SUM(DruidAbilities2[takes]),0)</f>
        <v>0.61660079051383399</v>
      </c>
      <c r="E10" s="13">
        <f>IF(DruidAbilities2[[#This Row],[takes]]&gt;0,DruidAbilities2[[#This Row],[wins]]/DruidAbilities2[[#This Row],[takes]],0)</f>
        <v>0.48076923076923078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10</v>
      </c>
      <c r="M10" s="2">
        <f>COUNTIF(Scenario0[winner1-ability2],DruidAbilities2Scenario0[[#This Row],[ability]])+COUNTIF(Scenario0[winner2-ability2],DruidAbilities2Scenario0[[#This Row],[ability]])</f>
        <v>7</v>
      </c>
      <c r="N10" s="13">
        <f>IF(SUM(DruidAbilities2Scenario0[[#This Row],[takes]]) &gt; 0,DruidAbilities2Scenario0[[#This Row],[takes]]/SUM(DruidAbilities2Scenario0[takes]),0)</f>
        <v>0.32258064516129031</v>
      </c>
      <c r="O10" s="13">
        <f>IF(DruidAbilities2Scenario0[[#This Row],[takes]]&gt;0,DruidAbilities2Scenario0[[#This Row],[wins]]/DruidAbilities2Scenario0[[#This Row],[takes]],0)</f>
        <v>0.7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17</v>
      </c>
      <c r="C13" s="1">
        <f>M13+M34+M55+M76+M97+M118</f>
        <v>13</v>
      </c>
      <c r="D13" s="14">
        <f>IF(SUM(DruidAbilities3[[#This Row],[takes]]) &gt; 0,DruidAbilities3[[#This Row],[takes]]/SUM(DruidAbilities3[takes]),0)</f>
        <v>8.5427135678391955E-2</v>
      </c>
      <c r="E13" s="14">
        <f>IF(DruidAbilities3[[#This Row],[takes]]&gt;0,DruidAbilities3[[#This Row],[wins]]/DruidAbilities3[[#This Row],[takes]],0)</f>
        <v>0.76470588235294112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3" s="1">
        <f>COUNTIF(Scenario0[winner1-ability3],DruidAbilities3Scenario0[[#This Row],[ability]])+COUNTIF(Scenario0[winner2-ability3],DruidAbilities3Scenario0[[#This Row],[ability]])</f>
        <v>0</v>
      </c>
      <c r="N13" s="14">
        <f>IF(SUM(DruidAbilities3Scenario0[[#This Row],[takes]]) &gt; 0,DruidAbilities3Scenario0[[#This Row],[takes]]/SUM(DruidAbilities3Scenario0[takes]),0)</f>
        <v>0</v>
      </c>
      <c r="O13" s="14">
        <f>IF(DruidAbilities3Scenario0[[#This Row],[takes]]&gt;0,DruidAbilities3Scenario0[[#This Row],[wins]]/DruidAbilities3Scenario0[[#This Row],[takes]],0)</f>
        <v>0</v>
      </c>
      <c r="S13" s="18"/>
    </row>
    <row r="14" spans="1:22" x14ac:dyDescent="0.25">
      <c r="A14" s="2" t="s">
        <v>127</v>
      </c>
      <c r="B14" s="2">
        <f t="shared" ref="B14:B15" si="6">L14+L35+L56+L77+L98+L119</f>
        <v>110</v>
      </c>
      <c r="C14" s="2">
        <f t="shared" ref="C14:C15" si="7">M14+M35+M56+M77+M98+M119</f>
        <v>64</v>
      </c>
      <c r="D14" s="12">
        <f>IF(SUM(DruidAbilities3[[#This Row],[takes]]) &gt; 0,DruidAbilities3[[#This Row],[takes]]/SUM(DruidAbilities3[takes]),0)</f>
        <v>0.55276381909547734</v>
      </c>
      <c r="E14" s="12">
        <f>IF(DruidAbilities3[[#This Row],[takes]]&gt;0,DruidAbilities3[[#This Row],[wins]]/DruidAbilities3[[#This Row],[takes]],0)</f>
        <v>0.58181818181818179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13</v>
      </c>
      <c r="M14" s="2">
        <f>COUNTIF(Scenario0[winner1-ability3],DruidAbilities3Scenario0[[#This Row],[ability]])+COUNTIF(Scenario0[winner2-ability3],DruidAbilities3Scenario0[[#This Row],[ability]])</f>
        <v>12</v>
      </c>
      <c r="N14" s="12">
        <f>IF(SUM(DruidAbilities3Scenario0[[#This Row],[takes]]) &gt; 0,DruidAbilities3Scenario0[[#This Row],[takes]]/SUM(DruidAbilities3Scenario0[takes]),0)</f>
        <v>0.8125</v>
      </c>
      <c r="O14" s="12">
        <f>IF(DruidAbilities3Scenario0[[#This Row],[takes]]&gt;0,DruidAbilities3Scenario0[[#This Row],[wins]]/DruidAbilities3Scenario0[[#This Row],[takes]],0)</f>
        <v>0.92307692307692313</v>
      </c>
      <c r="S14" s="18"/>
    </row>
    <row r="15" spans="1:22" x14ac:dyDescent="0.25">
      <c r="A15" s="11" t="s">
        <v>90</v>
      </c>
      <c r="B15" s="1">
        <f t="shared" si="6"/>
        <v>72</v>
      </c>
      <c r="C15" s="1">
        <f t="shared" si="7"/>
        <v>31</v>
      </c>
      <c r="D15" s="15">
        <f>IF(SUM(DruidAbilities3[[#This Row],[takes]]) &gt; 0,DruidAbilities3[[#This Row],[takes]]/SUM(DruidAbilities3[takes]),0)</f>
        <v>0.36180904522613067</v>
      </c>
      <c r="E15" s="15">
        <f>IF(DruidAbilities3[[#This Row],[takes]]&gt;0,DruidAbilities3[[#This Row],[wins]]/DruidAbilities3[[#This Row],[takes]],0)</f>
        <v>0.43055555555555558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5" s="1">
        <f>COUNTIF(Scenario0[winner1-ability3],DruidAbilities3Scenario0[[#This Row],[ability]])+COUNTIF(Scenario0[winner2-ability3],DruidAbilities3Scenario0[[#This Row],[ability]])</f>
        <v>3</v>
      </c>
      <c r="N15" s="15">
        <f>IF(SUM(DruidAbilities3Scenario0[[#This Row],[takes]]) &gt; 0,DruidAbilities3Scenario0[[#This Row],[takes]]/SUM(DruidAbilities3Scenario0[takes]),0)</f>
        <v>0.1875</v>
      </c>
      <c r="O15" s="15">
        <f>IF(DruidAbilities3Scenario0[[#This Row],[takes]]&gt;0,DruidAbilities3Scenario0[[#This Row],[wins]]/DruidAbilities3Scenario0[[#This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53</v>
      </c>
      <c r="C18" s="2">
        <f>M18+M39+M60+M81+M102+M123</f>
        <v>30</v>
      </c>
      <c r="D18" s="12">
        <f>IF(SUM(DruidAbilities4[[#This Row],[takes]]) &gt; 0,DruidAbilities4[[#This Row],[takes]]/SUM(DruidAbilities4[takes]),0)</f>
        <v>0.36301369863013699</v>
      </c>
      <c r="E18" s="12">
        <f>IF(DruidAbilities4[[#This Row],[takes]]&gt;0,DruidAbilities4[[#This Row],[wins]]/DruidAbilities4[[#This Row],[takes]],0)</f>
        <v>0.56603773584905659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8" s="2">
        <f>COUNTIF(Scenario0[winner1-ability4],DruidAbilities4Scenario0[[#This Row],[ability]])+COUNTIF(Scenario0[winner2-ability4],DruidAbilities4Scenario0[[#This Row],[ability]])</f>
        <v>2</v>
      </c>
      <c r="N18" s="12">
        <f>IF(SUM(DruidAbilities4Scenario0[[#This Row],[takes]]) &gt; 0,DruidAbilities4Scenario0[[#This Row],[takes]]/SUM(DruidAbilities4Scenario0[takes]),0)</f>
        <v>0.42857142857142855</v>
      </c>
      <c r="O18" s="12">
        <f>IF(DruidAbilities4Scenario0[[#This Row],[takes]]&gt;0,DruidAbilities4Scenario0[[#This Row],[wins]]/DruidAbilities4Scenario0[[#This Row],[takes]],0)</f>
        <v>0.66666666666666663</v>
      </c>
      <c r="S18" s="18"/>
    </row>
    <row r="19" spans="1:20" x14ac:dyDescent="0.25">
      <c r="A19" s="2" t="s">
        <v>52</v>
      </c>
      <c r="B19" s="2">
        <f t="shared" ref="B19:B20" si="8">L19+L40+L61+L82+L103+L124</f>
        <v>33</v>
      </c>
      <c r="C19" s="2">
        <f t="shared" ref="C19:C20" si="9">M19+M40+M61+M82+M103+M124</f>
        <v>16</v>
      </c>
      <c r="D19" s="12">
        <f>IF(SUM(DruidAbilities4[[#This Row],[takes]]) &gt; 0,DruidAbilities4[[#This Row],[takes]]/SUM(DruidAbilities4[takes]),0)</f>
        <v>0.22602739726027396</v>
      </c>
      <c r="E19" s="12">
        <f>IF(DruidAbilities4[[#This Row],[takes]]&gt;0,DruidAbilities4[[#This Row],[wins]]/DruidAbilities4[[#This Row],[takes]],0)</f>
        <v>0.48484848484848486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9" s="2">
        <f>COUNTIF(Scenario0[winner1-ability4],DruidAbilities4Scenario0[[#This Row],[ability]])+COUNTIF(Scenario0[winner2-ability4],DruidAbilities4Scenario0[[#This Row],[ability]])</f>
        <v>3</v>
      </c>
      <c r="N19" s="12">
        <f>IF(SUM(DruidAbilities4Scenario0[[#This Row],[takes]]) &gt; 0,DruidAbilities4Scenario0[[#This Row],[takes]]/SUM(DruidAbilities4Scenario0[takes]),0)</f>
        <v>0.42857142857142855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60</v>
      </c>
      <c r="C20" s="2">
        <f t="shared" si="9"/>
        <v>37</v>
      </c>
      <c r="D20" s="26">
        <f>IF(SUM(DruidAbilities4[[#This Row],[takes]]) &gt; 0,DruidAbilities4[[#This Row],[takes]]/SUM(DruidAbilities4[takes]),0)</f>
        <v>0.41095890410958902</v>
      </c>
      <c r="E20" s="26">
        <f>IF(DruidAbilities4[[#This Row],[takes]]&gt;0,DruidAbilities4[[#This Row],[wins]]/DruidAbilities4[[#This Row],[takes]],0)</f>
        <v>0.6166666666666667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20" s="25">
        <f>COUNTIF(Scenario0[winner1-ability4],DruidAbilities4Scenario0[[#This Row],[ability]])+COUNTIF(Scenario0[winner2-ability4],DruidAbilities4Scenario0[[#This Row],[ability]])</f>
        <v>1</v>
      </c>
      <c r="N20" s="26">
        <f>IF(SUM(DruidAbilities4Scenario0[[#This Row],[takes]]) &gt; 0,DruidAbilities4Scenario0[[#This Row],[takes]]/SUM(DruidAbilities4Scenario0[takes]),0)</f>
        <v>0.14285714285714285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38</v>
      </c>
      <c r="M24">
        <f>COUNTIF(Scenario1[winner1-ability1],DruidAbilities1Scenario1[[#This Row],[ability]])+COUNTIF(Scenario1[winner2-ability1],DruidAbilities1Scenario1[[#This Row],[ability]])</f>
        <v>25</v>
      </c>
      <c r="N24" s="3">
        <f>IF(SUM(DruidAbilities1Scenario1[[#This Row],[takes]]) &gt; 0,DruidAbilities1Scenario1[[#This Row],[takes]]/SUM(DruidAbilities1Scenario1[takes]),0)</f>
        <v>0.3619047619047619</v>
      </c>
      <c r="O24" s="3">
        <f>IF(DruidAbilities1Scenario1[[#This Row],[takes]]&gt;0,DruidAbilities1Scenario1[[#This Row],[wins]]/DruidAbilities1Scenario1[[#This Row],[takes]],0)</f>
        <v>0.65789473684210531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17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67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67</v>
      </c>
      <c r="M25">
        <f>COUNTIF(Scenario1[winner1-ability1],DruidAbilities1Scenario1[[#This Row],[ability]])+COUNTIF(Scenario1[winner2-ability1],DruidAbilities1Scenario1[[#This Row],[ability]])</f>
        <v>30</v>
      </c>
      <c r="N25" s="3">
        <f>IF(SUM(DruidAbilities1Scenario1[[#This Row],[takes]]) &gt; 0,DruidAbilities1Scenario1[[#This Row],[takes]]/SUM(DruidAbilities1Scenario1[takes]),0)</f>
        <v>0.63809523809523805</v>
      </c>
      <c r="O25" s="3">
        <f>IF(DruidAbilities1Scenario1[[#This Row],[takes]]&gt;0,DruidAbilities1Scenario1[[#This Row],[wins]]/DruidAbilities1Scenario1[[#This Row],[takes]],0)</f>
        <v>0.44776119402985076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21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67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13</v>
      </c>
      <c r="M29" s="2">
        <f>COUNTIF(Scenario1[winner1-ability2],DruidAbilities2Scenario1[[#This Row],[ability]])+COUNTIF(Scenario1[winner2-ability2],DruidAbilities2Scenario1[[#This Row],[ability]])</f>
        <v>10</v>
      </c>
      <c r="N29" s="12">
        <f>IF(SUM(DruidAbilities2Scenario1[[#This Row],[takes]]) &gt; 0,DruidAbilities2Scenario1[[#This Row],[takes]]/SUM(DruidAbilities2Scenario1[takes]),0)</f>
        <v>0.23636363636363636</v>
      </c>
      <c r="O29" s="12">
        <f>IF(DruidAbilities2Scenario1[[#This Row],[takes]]&gt;0,DruidAbilities2Scenario1[[#This Row],[wins]]/DruidAbilities2Scenario1[[#This Row],[takes]],0)</f>
        <v>0.76923076923076927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19</v>
      </c>
      <c r="M30" s="2">
        <f>COUNTIF(Scenario1[winner1-ability2],DruidAbilities2Scenario1[[#This Row],[ability]])+COUNTIF(Scenario1[winner2-ability2],DruidAbilities2Scenario1[[#This Row],[ability]])</f>
        <v>7</v>
      </c>
      <c r="N30" s="3">
        <f>IF(SUM(DruidAbilities2Scenario1[[#This Row],[takes]]) &gt; 0,DruidAbilities2Scenario1[[#This Row],[takes]]/SUM(DruidAbilities2Scenario1[takes]),0)</f>
        <v>0.34545454545454546</v>
      </c>
      <c r="O30" s="3">
        <f>IF(DruidAbilities2Scenario1[[#This Row],[takes]]&gt;0,DruidAbilities2Scenario1[[#This Row],[wins]]/DruidAbilities2Scenario1[[#This Row],[takes]],0)</f>
        <v>0.36842105263157893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23</v>
      </c>
      <c r="M31" s="2">
        <f>COUNTIF(Scenario1[winner1-ability2],DruidAbilities2Scenario1[[#This Row],[ability]])+COUNTIF(Scenario1[winner2-ability2],DruidAbilities2Scenario1[[#This Row],[ability]])</f>
        <v>16</v>
      </c>
      <c r="N31" s="13">
        <f>IF(SUM(DruidAbilities2Scenario1[[#This Row],[takes]]) &gt; 0,DruidAbilities2Scenario1[[#This Row],[takes]]/SUM(DruidAbilities2Scenario1[takes]),0)</f>
        <v>0.41818181818181815</v>
      </c>
      <c r="O31" s="13">
        <f>IF(DruidAbilities2Scenario1[[#This Row],[takes]]&gt;0,DruidAbilities2Scenario1[[#This Row],[wins]]/DruidAbilities2Scenario1[[#This Row],[takes]],0)</f>
        <v>0.69565217391304346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4" s="1">
        <f>COUNTIF(Scenario1[winner1-ability3],DruidAbilities3Scenario1[[#This Row],[ability]])+COUNTIF(Scenario1[winner2-ability3],DruidAbilities3Scenario1[[#This Row],[ability]])</f>
        <v>3</v>
      </c>
      <c r="N34" s="14">
        <f>IF(SUM(DruidAbilities3Scenario1[[#This Row],[takes]]) &gt; 0,DruidAbilities3Scenario1[[#This Row],[takes]]/SUM(DruidAbilities3Scenario1[takes]),0)</f>
        <v>0.14705882352941177</v>
      </c>
      <c r="O34" s="14">
        <f>IF(DruidAbilities3Scenario1[[#This Row],[takes]]&gt;0,DruidAbilities3Scenario1[[#This Row],[wins]]/DruidAbilities3Scenario1[[#This Row],[takes]],0)</f>
        <v>0.6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21</v>
      </c>
      <c r="M35" s="2">
        <f>COUNTIF(Scenario1[winner1-ability3],DruidAbilities3Scenario1[[#This Row],[ability]])+COUNTIF(Scenario1[winner2-ability3],DruidAbilities3Scenario1[[#This Row],[ability]])</f>
        <v>15</v>
      </c>
      <c r="N35" s="12">
        <f>IF(SUM(DruidAbilities3Scenario1[[#This Row],[takes]]) &gt; 0,DruidAbilities3Scenario1[[#This Row],[takes]]/SUM(DruidAbilities3Scenario1[takes]),0)</f>
        <v>0.61764705882352944</v>
      </c>
      <c r="O35" s="12">
        <f>IF(DruidAbilities3Scenario1[[#This Row],[takes]]&gt;0,DruidAbilities3Scenario1[[#This Row],[wins]]/DruidAbilities3Scenario1[[#This Row],[takes]],0)</f>
        <v>0.7142857142857143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8</v>
      </c>
      <c r="M36" s="1">
        <f>COUNTIF(Scenario1[winner1-ability3],DruidAbilities3Scenario1[[#This Row],[ability]])+COUNTIF(Scenario1[winner2-ability3],DruidAbilities3Scenario1[[#This Row],[ability]])</f>
        <v>6</v>
      </c>
      <c r="N36" s="15">
        <f>IF(SUM(DruidAbilities3Scenario1[[#This Row],[takes]]) &gt; 0,DruidAbilities3Scenario1[[#This Row],[takes]]/SUM(DruidAbilities3Scenario1[takes]),0)</f>
        <v>0.23529411764705882</v>
      </c>
      <c r="O36" s="15">
        <f>IF(DruidAbilities3Scenario1[[#This Row],[takes]]&gt;0,DruidAbilities3Scenario1[[#This Row],[wins]]/DruidAbilities3Scenario1[[#This Row],[takes]],0)</f>
        <v>0.75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6</v>
      </c>
      <c r="M39" s="2">
        <f>COUNTIF(Scenario1[winner1-ability4],DruidAbilities4Scenario1[[#This Row],[ability]])+COUNTIF(Scenario1[winner2-ability4],DruidAbilities4Scenario1[[#This Row],[ability]])</f>
        <v>6</v>
      </c>
      <c r="N39" s="12">
        <f>IF(SUM(DruidAbilities4Scenario1[[#This Row],[takes]]) &gt; 0,DruidAbilities4Scenario1[[#This Row],[takes]]/SUM(DruidAbilities4Scenario1[takes]),0)</f>
        <v>0.375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</v>
      </c>
      <c r="M40" s="2">
        <f>COUNTIF(Scenario1[winner1-ability4],DruidAbilities4Scenario1[[#This Row],[ability]])+COUNTIF(Scenario1[winner2-ability4],DruidAbilities4Scenario1[[#This Row],[ability]])</f>
        <v>1</v>
      </c>
      <c r="N40" s="12">
        <f>IF(SUM(DruidAbilities4Scenario1[[#This Row],[takes]]) &gt; 0,DruidAbilities4Scenario1[[#This Row],[takes]]/SUM(DruidAbilities4Scenario1[takes]),0)</f>
        <v>0.125</v>
      </c>
      <c r="O40" s="12">
        <f>IF(DruidAbilities4Scenario1[[#This Row],[takes]]&gt;0,DruidAbilities4Scenario1[[#This Row],[wins]]/DruidAbilities4Scenario1[[#This Row],[takes]],0)</f>
        <v>0.5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8</v>
      </c>
      <c r="M41" s="25">
        <f>COUNTIF(Scenario1[winner1-ability4],DruidAbilities4Scenario1[[#This Row],[ability]])+COUNTIF(Scenario1[winner2-ability4],DruidAbilities4Scenario1[[#This Row],[ability]])</f>
        <v>6</v>
      </c>
      <c r="N41" s="26">
        <f>IF(SUM(DruidAbilities4Scenario1[[#This Row],[takes]]) &gt; 0,DruidAbilities4Scenario1[[#This Row],[takes]]/SUM(DruidAbilities4Scenario1[takes]),0)</f>
        <v>0.5</v>
      </c>
      <c r="O41" s="26">
        <f>IF(DruidAbilities4Scenario1[[#This Row],[takes]]&gt;0,DruidAbilities4Scenario1[[#This Row],[wins]]/DruidAbilities4Scenario1[[#This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7</v>
      </c>
      <c r="M45">
        <f>COUNTIF(Scenario2[winner1-ability1],DruidAbilities1Scenario2[[#This Row],[ability]])</f>
        <v>5</v>
      </c>
      <c r="N45" s="3">
        <f>IF(SUM(DruidAbilities1Scenario2[[#This Row],[takes]]) &gt; 0,DruidAbilities1Scenario2[[#This Row],[takes]]/SUM(DruidAbilities1Scenario2[takes]),0)</f>
        <v>0.5</v>
      </c>
      <c r="O45" s="3">
        <f>IF(DruidAbilities1Scenario2[[#This Row],[takes]]&gt;0,DruidAbilities1Scenario2[[#This Row],[wins]]/DruidAbilities1Scenario2[[#This Row],[takes]],0)</f>
        <v>0.7142857142857143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3</v>
      </c>
      <c r="S45" s="18">
        <f>COUNTIFS(Scenario2[winner1],"druid",Scenario2[winner1-cp],DruidEquipScenario2[[#This Row],[level]])+COUNTIFS(Scenario2[loser1],"druid",Scenario2[loser1-cp],DruidEquipScenario2[[#This Row],[level]])</f>
        <v>5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2</v>
      </c>
      <c r="M46">
        <f>COUNTIF(Scenario2[winner1-ability1],DruidAbilities1Scenario2[[#This Row],[ability]])</f>
        <v>1</v>
      </c>
      <c r="N46" s="3">
        <f>IF(SUM(DruidAbilities1Scenario2[[#This Row],[takes]]) &gt; 0,DruidAbilities1Scenario2[[#This Row],[takes]]/SUM(DruidAbilities1Scenario2[takes]),0)</f>
        <v>0.14285714285714285</v>
      </c>
      <c r="O46" s="3">
        <f>IF(DruidAbilities1Scenario2[[#This Row],[takes]]&gt;0,DruidAbilities1Scenario2[[#This Row],[wins]]/DruidAbilities1Scenario2[[#This Row],[takes]],0)</f>
        <v>0.5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5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5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0.35714285714285715</v>
      </c>
      <c r="O47" s="3">
        <f>IF(DruidAbilities1Scenario2[[#This Row],[takes]]&gt;0,DruidAbilities1Scenario2[[#This Row],[wins]]/DruidAbilities1Scenario2[[#This Row],[takes]],0)</f>
        <v>0.8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6</v>
      </c>
      <c r="S47" s="18">
        <f>COUNTIFS(Scenario2[winner1],"druid",Scenario2[winner1-cp],DruidEquipScenario2[[#This Row],[level]])+COUNTIFS(Scenario2[loser1],"druid",Scenario2[loser1-cp],DruidEquipScenario2[[#This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5</v>
      </c>
      <c r="M50" s="2">
        <f>COUNTIF(Scenario2[winner1-ability2],DruidAbilities2Scenario2[[#This Row],[ability]])</f>
        <v>5</v>
      </c>
      <c r="N50" s="12">
        <f>IF(SUM(DruidAbilities2Scenario2[[#This Row],[takes]]) &gt; 0,DruidAbilities2Scenario2[[#This Row],[takes]]/SUM(DruidAbilities2Scenario2[takes]),0)</f>
        <v>0.35714285714285715</v>
      </c>
      <c r="O50" s="12">
        <f>IF(DruidAbilities2Scenario2[[#This Row],[takes]]&gt;0,DruidAbilities2Scenario2[[#This Row],[wins]]/DruidAbilities2Scenario2[[#This Row],[takes]],0)</f>
        <v>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1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7.1428571428571425E-2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8</v>
      </c>
      <c r="M52" s="2">
        <f>COUNTIF(Scenario2[winner1-ability2],DruidAbilities2Scenario2[[#This Row],[ability]])</f>
        <v>5</v>
      </c>
      <c r="N52" s="13">
        <f>IF(SUM(DruidAbilities2Scenario2[[#This Row],[takes]]) &gt; 0,DruidAbilities2Scenario2[[#This Row],[takes]]/SUM(DruidAbilities2Scenario2[takes]),0)</f>
        <v>0.5714285714285714</v>
      </c>
      <c r="O52" s="13">
        <f>IF(DruidAbilities2Scenario2[[#This Row],[takes]]&gt;0,DruidAbilities2Scenario2[[#This Row],[wins]]/DruidAbilities2Scenario2[[#This Row],[takes]],0)</f>
        <v>0.625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1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7.6923076923076927E-2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6</v>
      </c>
      <c r="M56" s="2">
        <f>COUNTIF(Scenario2[winner1-ability3],DruidAbilities3Scenario2[[#This Row],[ability]])</f>
        <v>4</v>
      </c>
      <c r="N56" s="12">
        <f>IF(SUM(DruidAbilities3Scenario2[[#This Row],[takes]]) &gt; 0,DruidAbilities3Scenario2[[#This Row],[takes]]/SUM(DruidAbilities3Scenario2[takes]),0)</f>
        <v>0.46153846153846156</v>
      </c>
      <c r="O56" s="12">
        <f>IF(DruidAbilities3Scenario2[[#This Row],[takes]]&gt;0,DruidAbilities3Scenario2[[#This Row],[wins]]/DruidAbilities3Scenario2[[#This Row],[takes]],0)</f>
        <v>0.66666666666666663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6</v>
      </c>
      <c r="M57" s="1">
        <f>COUNTIF(Scenario2[winner1-ability3],DruidAbilities3Scenario2[[#This Row],[ability]])</f>
        <v>5</v>
      </c>
      <c r="N57" s="15">
        <f>IF(SUM(DruidAbilities3Scenario2[[#This Row],[takes]]) &gt; 0,DruidAbilities3Scenario2[[#This Row],[takes]]/SUM(DruidAbilities3Scenario2[takes]),0)</f>
        <v>0.46153846153846156</v>
      </c>
      <c r="O57" s="15">
        <f>IF(DruidAbilities3Scenario2[[#This Row],[takes]]&gt;0,DruidAbilities3Scenario2[[#This Row],[wins]]/DruidAbilities3Scenario2[[#This Row],[takes]],0)</f>
        <v>0.83333333333333337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7</v>
      </c>
      <c r="M60" s="2">
        <f>COUNTIF(Scenario2[winner1-ability4],DruidAbilities4Scenario2[[#This Row],[ability]])</f>
        <v>7</v>
      </c>
      <c r="N60" s="12">
        <f>IF(SUM(DruidAbilities4Scenario2[[#This Row],[takes]]) &gt; 0,DruidAbilities4Scenario2[[#This Row],[takes]]/SUM(DruidAbilities4Scenario2[takes]),0)</f>
        <v>0.58333333333333337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5</v>
      </c>
      <c r="M61" s="2">
        <f>COUNTIF(Scenario2[winner1-ability4],DruidAbilities4Scenario2[[#This Row],[ability]])</f>
        <v>2</v>
      </c>
      <c r="N61" s="12">
        <f>IF(SUM(DruidAbilities4Scenario2[[#This Row],[takes]]) &gt; 0,DruidAbilities4Scenario2[[#This Row],[takes]]/SUM(DruidAbilities4Scenario2[takes]),0)</f>
        <v>0.41666666666666669</v>
      </c>
      <c r="O61" s="12">
        <f>IF(DruidAbilities4Scenario2[[#This Row],[takes]]&gt;0,DruidAbilities4Scenario2[[#This Row],[wins]]/DruidAbilities4Scenario2[[#This Row],[takes]],0)</f>
        <v>0.4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9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21</v>
      </c>
      <c r="M68">
        <f>COUNTIF(Scenario3[winner1-ability1],DruidAbilities1Scenario3[[#This Row],[ability]])</f>
        <v>5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0.23809523809523808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16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5.2631578947368418E-2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18</v>
      </c>
      <c r="M73" s="2">
        <f>COUNTIF(Scenario3[winner1-ability2],DruidAbilities2Scenario3[[#This Row],[ability]])</f>
        <v>5</v>
      </c>
      <c r="N73" s="13">
        <f>IF(SUM(DruidAbilities2Scenario3[[#This Row],[takes]]) &gt; 0,DruidAbilities2Scenario3[[#This Row],[takes]]/SUM(DruidAbilities2Scenario3[takes]),0)</f>
        <v>0.94736842105263153</v>
      </c>
      <c r="O73" s="13">
        <f>IF(DruidAbilities2Scenario3[[#This Row],[takes]]&gt;0,DruidAbilities2Scenario3[[#This Row],[wins]]/DruidAbilities2Scenario3[[#This Row],[takes]],0)</f>
        <v>0.27777777777777779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6</v>
      </c>
      <c r="M77" s="2">
        <f>COUNTIF(Scenario3[winner1-ability3],DruidAbilities3Scenario3[[#This Row],[ability]])</f>
        <v>1</v>
      </c>
      <c r="N77" s="12">
        <f>IF(SUM(DruidAbilities3Scenario3[[#This Row],[takes]]) &gt; 0,DruidAbilities3Scenario3[[#This Row],[takes]]/SUM(DruidAbilities3Scenario3[takes]),0)</f>
        <v>0.35294117647058826</v>
      </c>
      <c r="O77" s="12">
        <f>IF(DruidAbilities3Scenario3[[#This Row],[takes]]&gt;0,DruidAbilities3Scenario3[[#This Row],[wins]]/DruidAbilities3Scenario3[[#This Row],[takes]],0)</f>
        <v>0.16666666666666666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11</v>
      </c>
      <c r="M78" s="1">
        <f>COUNTIF(Scenario3[winner1-ability3],DruidAbilities3Scenario3[[#This Row],[ability]])</f>
        <v>4</v>
      </c>
      <c r="N78" s="15">
        <f>IF(SUM(DruidAbilities3Scenario3[[#This Row],[takes]]) &gt; 0,DruidAbilities3Scenario3[[#This Row],[takes]]/SUM(DruidAbilities3Scenario3[takes]),0)</f>
        <v>0.6470588235294118</v>
      </c>
      <c r="O78" s="15">
        <f>IF(DruidAbilities3Scenario3[[#This Row],[takes]]&gt;0,DruidAbilities3Scenario3[[#This Row],[wins]]/DruidAbilities3Scenario3[[#This Row],[takes]],0)</f>
        <v>0.36363636363636365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11</v>
      </c>
      <c r="M81" s="2">
        <f>COUNTIF(Scenario3[winner1-ability4],DruidAbilities4Scenario3[[#This Row],[ability]])</f>
        <v>5</v>
      </c>
      <c r="N81" s="12">
        <f>IF(SUM(DruidAbilities4Scenario3[[#This Row],[takes]]) &gt; 0,DruidAbilities4Scenario3[[#This Row],[takes]]/SUM(DruidAbilities4Scenario3[takes]),0)</f>
        <v>0.84615384615384615</v>
      </c>
      <c r="O81" s="12">
        <f>IF(DruidAbilities4Scenario3[[#This Row],[takes]]&gt;0,DruidAbilities4Scenario3[[#This Row],[wins]]/DruidAbilities4Scenario3[[#This Row],[takes]],0)</f>
        <v>0.45454545454545453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2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0.15384615384615385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6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10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6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4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>
        <f>COUNTIF(Scenario4[winner1-ability1],DruidAbilities1Scenario4[[#This Row],[ability]])</f>
        <v>7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0.2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23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2.8571428571428571E-2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34</v>
      </c>
      <c r="M94" s="2">
        <f>COUNTIF(Scenario4[winner1-ability2],DruidAbilities2Scenario4[[#This Row],[ability]])</f>
        <v>7</v>
      </c>
      <c r="N94" s="13">
        <f>IF(SUM(DruidAbilities2Scenario4[[#This Row],[takes]]) &gt; 0,DruidAbilities2Scenario4[[#This Row],[takes]]/SUM(DruidAbilities2Scenario4[takes]),0)</f>
        <v>0.97142857142857142</v>
      </c>
      <c r="O94" s="13">
        <f>IF(DruidAbilities2Scenario4[[#This Row],[takes]]&gt;0,DruidAbilities2Scenario4[[#This Row],[wins]]/DruidAbilities2Scenario4[[#This Row],[takes]],0)</f>
        <v>0.20588235294117646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12</v>
      </c>
      <c r="M98" s="2">
        <f>COUNTIF(Scenario4[winner1-ability3],DruidAbilities3Scenario4[[#This Row],[ability]])</f>
        <v>4</v>
      </c>
      <c r="N98" s="12">
        <f>IF(SUM(DruidAbilities3Scenario4[[#This Row],[takes]]) &gt; 0,DruidAbilities3Scenario4[[#This Row],[takes]]/SUM(DruidAbilities3Scenario4[takes]),0)</f>
        <v>0.36363636363636365</v>
      </c>
      <c r="O98" s="12">
        <f>IF(DruidAbilities3Scenario4[[#This Row],[takes]]&gt;0,DruidAbilities3Scenario4[[#This Row],[wins]]/DruidAbilities3Scenario4[[#This Row],[takes]],0)</f>
        <v>0.33333333333333331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21</v>
      </c>
      <c r="M99" s="1">
        <f>COUNTIF(Scenario4[winner1-ability3],DruidAbilities3Scenario4[[#This Row],[ability]])</f>
        <v>3</v>
      </c>
      <c r="N99" s="15">
        <f>IF(SUM(DruidAbilities3Scenario4[[#This Row],[takes]]) &gt; 0,DruidAbilities3Scenario4[[#This Row],[takes]]/SUM(DruidAbilities3Scenario4[takes]),0)</f>
        <v>0.63636363636363635</v>
      </c>
      <c r="O99" s="15">
        <f>IF(DruidAbilities3Scenario4[[#This Row],[takes]]&gt;0,DruidAbilities3Scenario4[[#This Row],[wins]]/DruidAbilities3Scenario4[[#This Row],[takes]],0)</f>
        <v>0.14285714285714285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18</v>
      </c>
      <c r="M102" s="2">
        <f>COUNTIF(Scenario4[winner1-ability4],DruidAbilities4Scenario4[[#This Row],[ability]])</f>
        <v>5</v>
      </c>
      <c r="N102" s="12">
        <f>IF(SUM(DruidAbilities4Scenario4[[#This Row],[takes]]) &gt; 0,DruidAbilities4Scenario4[[#This Row],[takes]]/SUM(DruidAbilities4Scenario4[takes]),0)</f>
        <v>0.72</v>
      </c>
      <c r="O102" s="12">
        <f>IF(DruidAbilities4Scenario4[[#This Row],[takes]]&gt;0,DruidAbilities4Scenario4[[#This Row],[wins]]/DruidAbilities4Scenario4[[#This Row],[takes]],0)</f>
        <v>0.27777777777777779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7</v>
      </c>
      <c r="M103" s="2">
        <f>COUNTIF(Scenario4[winner1-ability4],DruidAbilities4Scenario4[[#This Row],[ability]])</f>
        <v>2</v>
      </c>
      <c r="N103" s="12">
        <f>IF(SUM(DruidAbilities4Scenario4[[#This Row],[takes]]) &gt; 0,DruidAbilities4Scenario4[[#This Row],[takes]]/SUM(DruidAbilities4Scenario4[takes]),0)</f>
        <v>0.28000000000000003</v>
      </c>
      <c r="O103" s="12">
        <f>IF(DruidAbilities4Scenario4[[#This Row],[takes]]&gt;0,DruidAbilities4Scenario4[[#This Row],[wins]]/DruidAbilities4Scenario4[[#This Row],[takes]],0)</f>
        <v>0.2857142857142857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24</v>
      </c>
      <c r="M108">
        <f>COUNTIF(Scenario5[winner1-ability1],DruidAbilities1Scenario5[[#This Row],[ability]])+COUNTIF(Scenario5[winner2-ability1],DruidAbilities1Scenario5[[#This Row],[ability]])</f>
        <v>10</v>
      </c>
      <c r="N108" s="3">
        <f>IF(SUM(DruidAbilities1Scenario5[[#This Row],[takes]]) &gt; 0,DruidAbilities1Scenario5[[#This Row],[takes]]/SUM(DruidAbilities1Scenario5[takes]),0)</f>
        <v>0.22857142857142856</v>
      </c>
      <c r="O108" s="3">
        <f>IF(DruidAbilities1Scenario5[[#This Row],[takes]]&gt;0,DruidAbilities1Scenario5[[#This Row],[wins]]/DruidAbilities1Scenario5[[#This Row],[takes]],0)</f>
        <v>0.41666666666666669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35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40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23</v>
      </c>
      <c r="M109">
        <f>COUNTIF(Scenario5[winner1-ability1],DruidAbilities1Scenario5[[#This Row],[ability]])+COUNTIF(Scenario5[winner2-ability1],DruidAbilities1Scenario5[[#This Row],[ability]])</f>
        <v>16</v>
      </c>
      <c r="N109" s="3">
        <f>IF(SUM(DruidAbilities1Scenario5[[#This Row],[takes]]) &gt; 0,DruidAbilities1Scenario5[[#This Row],[takes]]/SUM(DruidAbilities1Scenario5[takes]),0)</f>
        <v>0.21904761904761905</v>
      </c>
      <c r="O109" s="3">
        <f>IF(DruidAbilities1Scenario5[[#This Row],[takes]]&gt;0,DruidAbilities1Scenario5[[#This Row],[wins]]/DruidAbilities1Scenario5[[#This Row],[takes]],0)</f>
        <v>0.69565217391304346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19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18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58</v>
      </c>
      <c r="M110">
        <f>COUNTIF(Scenario5[winner1-ability1],DruidAbilities1Scenario5[[#This Row],[ability]])+COUNTIF(Scenario5[winner2-ability1],DruidAbilities1Scenario5[[#This Row],[ability]])</f>
        <v>26</v>
      </c>
      <c r="N110" s="3">
        <f>IF(SUM(DruidAbilities1Scenario5[[#This Row],[takes]]) &gt; 0,DruidAbilities1Scenario5[[#This Row],[takes]]/SUM(DruidAbilities1Scenario5[takes]),0)</f>
        <v>0.55238095238095242</v>
      </c>
      <c r="O110" s="3">
        <f>IF(DruidAbilities1Scenario5[[#This Row],[takes]]&gt;0,DruidAbilities1Scenario5[[#This Row],[wins]]/DruidAbilities1Scenario5[[#This Row],[takes]],0)</f>
        <v>0.44827586206896552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51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47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7</v>
      </c>
      <c r="M113" s="2">
        <f>COUNTIF(Scenario5[winner1-ability2],DruidAbilities2Scenario5[[#This Row],[ability]])+COUNTIF(Scenario5[winner2-ability2],DruidAbilities2Scenario5[[#This Row],[ability]])</f>
        <v>7</v>
      </c>
      <c r="N113" s="12">
        <f>IF(SUM(DruidAbilities2Scenario5[[#This Row],[takes]]) &gt; 0,DruidAbilities2Scenario5[[#This Row],[takes]]/SUM(DruidAbilities2Scenario5[takes]),0)</f>
        <v>7.0707070707070704E-2</v>
      </c>
      <c r="O113" s="12">
        <f>IF(DruidAbilities2Scenario5[[#This Row],[takes]]&gt;0,DruidAbilities2Scenario5[[#This Row],[wins]]/DruidAbilities2Scenario5[[#This Row],[takes]],0)</f>
        <v>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4" s="2">
        <f>COUNTIF(Scenario5[winner1-ability2],DruidAbilities2Scenario5[[#This Row],[ability]])+COUNTIF(Scenario5[winner2-ability2],DruidAbilities2Scenario5[[#This Row],[ability]])</f>
        <v>9</v>
      </c>
      <c r="N114" s="3">
        <f>IF(SUM(DruidAbilities2Scenario5[[#This Row],[takes]]) &gt; 0,DruidAbilities2Scenario5[[#This Row],[takes]]/SUM(DruidAbilities2Scenario5[takes]),0)</f>
        <v>0.29292929292929293</v>
      </c>
      <c r="O114" s="3">
        <f>IF(DruidAbilities2Scenario5[[#This Row],[takes]]&gt;0,DruidAbilities2Scenario5[[#This Row],[wins]]/DruidAbilities2Scenario5[[#This Row],[takes]],0)</f>
        <v>0.31034482758620691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63</v>
      </c>
      <c r="M115" s="2">
        <f>COUNTIF(Scenario5[winner1-ability2],DruidAbilities2Scenario5[[#This Row],[ability]])+COUNTIF(Scenario5[winner2-ability2],DruidAbilities2Scenario5[[#This Row],[ability]])</f>
        <v>35</v>
      </c>
      <c r="N115" s="13">
        <f>IF(SUM(DruidAbilities2Scenario5[[#This Row],[takes]]) &gt; 0,DruidAbilities2Scenario5[[#This Row],[takes]]/SUM(DruidAbilities2Scenario5[takes]),0)</f>
        <v>0.63636363636363635</v>
      </c>
      <c r="O115" s="13">
        <f>IF(DruidAbilities2Scenario5[[#This Row],[takes]]&gt;0,DruidAbilities2Scenario5[[#This Row],[wins]]/DruidAbilities2Scenario5[[#This Row],[takes]],0)</f>
        <v>0.55555555555555558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11</v>
      </c>
      <c r="M118" s="1">
        <f>COUNTIF(Scenario5[winner1-ability3],DruidAbilities3Scenario5[[#This Row],[ability]])+COUNTIF(Scenario5[winner2-ability3],DruidAbilities3Scenario5[[#This Row],[ability]])</f>
        <v>10</v>
      </c>
      <c r="N118" s="14">
        <f>IF(SUM(DruidAbilities3Scenario5[[#This Row],[takes]]) &gt; 0,DruidAbilities3Scenario5[[#This Row],[takes]]/SUM(DruidAbilities3Scenario5[takes]),0)</f>
        <v>0.12790697674418605</v>
      </c>
      <c r="O118" s="14">
        <f>IF(DruidAbilities3Scenario5[[#This Row],[takes]]&gt;0,DruidAbilities3Scenario5[[#This Row],[wins]]/DruidAbilities3Scenario5[[#This Row],[takes]],0)</f>
        <v>0.90909090909090906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52</v>
      </c>
      <c r="M119" s="2">
        <f>COUNTIF(Scenario5[winner1-ability3],DruidAbilities3Scenario5[[#This Row],[ability]])+COUNTIF(Scenario5[winner2-ability3],DruidAbilities3Scenario5[[#This Row],[ability]])</f>
        <v>28</v>
      </c>
      <c r="N119" s="12">
        <f>IF(SUM(DruidAbilities3Scenario5[[#This Row],[takes]]) &gt; 0,DruidAbilities3Scenario5[[#This Row],[takes]]/SUM(DruidAbilities3Scenario5[takes]),0)</f>
        <v>0.60465116279069764</v>
      </c>
      <c r="O119" s="12">
        <f>IF(DruidAbilities3Scenario5[[#This Row],[takes]]&gt;0,DruidAbilities3Scenario5[[#This Row],[wins]]/DruidAbilities3Scenario5[[#This Row],[takes]],0)</f>
        <v>0.53846153846153844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23</v>
      </c>
      <c r="M120" s="1">
        <f>COUNTIF(Scenario5[winner1-ability3],DruidAbilities3Scenario5[[#This Row],[ability]])+COUNTIF(Scenario5[winner2-ability3],DruidAbilities3Scenario5[[#This Row],[ability]])</f>
        <v>10</v>
      </c>
      <c r="N120" s="15">
        <f>IF(SUM(DruidAbilities3Scenario5[[#This Row],[takes]]) &gt; 0,DruidAbilities3Scenario5[[#This Row],[takes]]/SUM(DruidAbilities3Scenario5[takes]),0)</f>
        <v>0.26744186046511625</v>
      </c>
      <c r="O120" s="15">
        <f>IF(DruidAbilities3Scenario5[[#This Row],[takes]]&gt;0,DruidAbilities3Scenario5[[#This Row],[wins]]/DruidAbilities3Scenario5[[#This Row],[takes]],0)</f>
        <v>0.43478260869565216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8</v>
      </c>
      <c r="M123" s="2">
        <f>COUNTIF(Scenario5[winner1-ability4],DruidAbilities4Scenario5[[#This Row],[ability]])+COUNTIF(Scenario5[winner2-ability4],DruidAbilities4Scenario5[[#This Row],[ability]])</f>
        <v>5</v>
      </c>
      <c r="N123" s="12">
        <f>IF(SUM(DruidAbilities4Scenario5[[#This Row],[takes]]) &gt; 0,DruidAbilities4Scenario5[[#This Row],[takes]]/SUM(DruidAbilities4Scenario5[takes]),0)</f>
        <v>0.1095890410958904</v>
      </c>
      <c r="O123" s="12">
        <f>IF(DruidAbilities4Scenario5[[#This Row],[takes]]&gt;0,DruidAbilities4Scenario5[[#This Row],[wins]]/DruidAbilities4Scenario5[[#This Row],[takes]],0)</f>
        <v>0.625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14</v>
      </c>
      <c r="M124" s="2">
        <f>COUNTIF(Scenario5[winner1-ability4],DruidAbilities4Scenario5[[#This Row],[ability]])+COUNTIF(Scenario5[winner2-ability4],DruidAbilities4Scenario5[[#This Row],[ability]])</f>
        <v>8</v>
      </c>
      <c r="N124" s="12">
        <f>IF(SUM(DruidAbilities4Scenario5[[#This Row],[takes]]) &gt; 0,DruidAbilities4Scenario5[[#This Row],[takes]]/SUM(DruidAbilities4Scenario5[takes]),0)</f>
        <v>0.19178082191780821</v>
      </c>
      <c r="O124" s="12">
        <f>IF(DruidAbilities4Scenario5[[#This Row],[takes]]&gt;0,DruidAbilities4Scenario5[[#This Row],[wins]]/DruidAbilities4Scenario5[[#This Row],[takes]],0)</f>
        <v>0.5714285714285714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51</v>
      </c>
      <c r="M125" s="2">
        <f>COUNTIF(Scenario5[winner1-ability4],DruidAbilities4Scenario5[[#This Row],[ability]])+COUNTIF(Scenario5[winner2-ability4],DruidAbilities4Scenario5[[#This Row],[ability]])</f>
        <v>30</v>
      </c>
      <c r="N125" s="26">
        <f>IF(SUM(DruidAbilities4Scenario5[[#This Row],[takes]]) &gt; 0,DruidAbilities4Scenario5[[#This Row],[takes]]/SUM(DruidAbilities4Scenario5[takes]),0)</f>
        <v>0.69863013698630139</v>
      </c>
      <c r="O125" s="26">
        <f>IF(DruidAbilities4Scenario5[[#This Row],[takes]]&gt;0,DruidAbilities4Scenario5[[#This Row],[wins]]/DruidAbilities4Scenario5[[#This Row],[takes]],0)</f>
        <v>0.58823529411764708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0.30389610389610389</v>
      </c>
    </row>
    <row r="3" spans="1:22" x14ac:dyDescent="0.25">
      <c r="A3" t="s">
        <v>46</v>
      </c>
      <c r="B3">
        <f>L3+L24+L45+L66+L87+L108</f>
        <v>178</v>
      </c>
      <c r="C3">
        <f>M3+M24+M45+M66+M87+M108</f>
        <v>102</v>
      </c>
      <c r="D3" s="3">
        <f>IF(SUM(OracleAbilities1[[#This Row],[takes]]) &gt; 0,OracleAbilities1[[#This Row],[takes]]/SUM(OracleAbilities1[takes]),0)</f>
        <v>0.46233766233766233</v>
      </c>
      <c r="E3" s="3">
        <f>IF(OracleAbilities1[[#This Row],[takes]]&gt;0,OracleAbilities1[[#This Row],[wins]]/OracleAbilities1[[#This Row],[takes]],0)</f>
        <v>0.5730337078651685</v>
      </c>
      <c r="G3">
        <v>1</v>
      </c>
      <c r="H3">
        <f>R3+R24+R45+R66+R87+R108</f>
        <v>203</v>
      </c>
      <c r="I3" s="18">
        <f>S3+S24+S45+S66+S87+S108</f>
        <v>75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70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0.66666666666666663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56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30</v>
      </c>
      <c r="U3" t="s">
        <v>198</v>
      </c>
      <c r="V3" s="16">
        <f>H5/SUM(OracleEquip[book])</f>
        <v>0.16883116883116883</v>
      </c>
    </row>
    <row r="4" spans="1:22" x14ac:dyDescent="0.25">
      <c r="A4" t="s">
        <v>65</v>
      </c>
      <c r="B4">
        <f t="shared" ref="B4:B5" si="0">L4+L25+L46+L67+L88+L109</f>
        <v>11</v>
      </c>
      <c r="C4">
        <f t="shared" ref="C4:C5" si="1">M4+M25+M46+M67+M88+M109</f>
        <v>3</v>
      </c>
      <c r="D4" s="3">
        <f>IF(SUM(OracleAbilities1[[#This Row],[takes]]) &gt; 0,OracleAbilities1[[#This Row],[takes]]/SUM(OracleAbilities1[takes]),0)</f>
        <v>2.8571428571428571E-2</v>
      </c>
      <c r="E4" s="3">
        <f>IF(OracleAbilities1[[#This Row],[takes]]&gt;0,OracleAbilities1[[#This Row],[wins]]/OracleAbilities1[[#This Row],[takes]],0)</f>
        <v>0.27272727272727271</v>
      </c>
      <c r="G4">
        <v>2</v>
      </c>
      <c r="H4">
        <f t="shared" ref="H4:H5" si="2">R4+R25+R46+R67+R88+R109</f>
        <v>117</v>
      </c>
      <c r="I4" s="18">
        <f t="shared" ref="I4:I5" si="3">S4+S25+S46+S67+S88+S109</f>
        <v>152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38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44</v>
      </c>
      <c r="U4" t="s">
        <v>179</v>
      </c>
      <c r="V4" s="3">
        <f>OracleEquip[[#This Row],[chestpiece]]/SUM(OracleEquip[chestpiece])</f>
        <v>0.39480519480519483</v>
      </c>
    </row>
    <row r="5" spans="1:22" x14ac:dyDescent="0.25">
      <c r="A5" t="s">
        <v>34</v>
      </c>
      <c r="B5">
        <f t="shared" si="0"/>
        <v>196</v>
      </c>
      <c r="C5">
        <f t="shared" si="1"/>
        <v>84</v>
      </c>
      <c r="D5" s="3">
        <f>IF(SUM(OracleAbilities1[[#This Row],[takes]]) &gt; 0,OracleAbilities1[[#This Row],[takes]]/SUM(OracleAbilities1[takes]),0)</f>
        <v>0.50909090909090904</v>
      </c>
      <c r="E5" s="3">
        <f>IF(OracleAbilities1[[#This Row],[takes]]&gt;0,OracleAbilities1[[#This Row],[wins]]/OracleAbilities1[[#This Row],[takes]],0)</f>
        <v>0.42857142857142855</v>
      </c>
      <c r="G5">
        <v>3</v>
      </c>
      <c r="H5">
        <f t="shared" si="2"/>
        <v>65</v>
      </c>
      <c r="I5" s="18">
        <f t="shared" si="3"/>
        <v>158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11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31</v>
      </c>
      <c r="U5" t="s">
        <v>180</v>
      </c>
      <c r="V5" s="16">
        <f>OracleEquip[[#This Row],[chestpiece]]/SUM(OracleEquip[chestpiece])</f>
        <v>0.41038961038961042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0.31948051948051948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0.17922077922077922</v>
      </c>
    </row>
    <row r="8" spans="1:22" x14ac:dyDescent="0.25">
      <c r="A8" s="2" t="s">
        <v>66</v>
      </c>
      <c r="B8" s="2">
        <f>L8+L29+L50+L71+L92+L113</f>
        <v>37</v>
      </c>
      <c r="C8" s="2">
        <f>M8+M29+M50+M71+M92+M113</f>
        <v>31</v>
      </c>
      <c r="D8" s="12">
        <f>IF(SUM(OracleAbilities2[[#This Row],[takes]]) &gt; 0,OracleAbilities2[[#This Row],[takes]]/SUM(OracleAbilities2[takes]),0)</f>
        <v>0.30081300813008133</v>
      </c>
      <c r="E8" s="12">
        <f>IF(OracleAbilities2[[#This Row],[takes]]&gt;0,OracleAbilities2[[#This Row],[wins]]/OracleAbilities2[[#This Row],[takes]],0)</f>
        <v>0.83783783783783783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8</v>
      </c>
      <c r="M8" s="2">
        <f>COUNTIF(Scenario0[winner1-ability2],OracleAbilities2Scenario0[[#This Row],[ability]])+COUNTIF(Scenario0[winner2-ability2],OracleAbilities2Scenario0[[#This Row],[ability]])</f>
        <v>8</v>
      </c>
      <c r="N8" s="12">
        <f>IF(SUM(OracleAbilities2Scenario0[[#This Row],[takes]]) &gt; 0,OracleAbilities2Scenario0[[#This Row],[takes]]/SUM(OracleAbilities2Scenario0[takes]),0)</f>
        <v>0.44444444444444442</v>
      </c>
      <c r="O8" s="12">
        <f>IF(OracleAbilities2Scenario0[[#This Row],[takes]]&gt;0,OracleAbilities2Scenario0[[#This Row],[wins]]/OracleAbilities2Scenario0[[#This Row],[takes]],0)</f>
        <v>1</v>
      </c>
      <c r="S8" s="18"/>
      <c r="U8" t="s">
        <v>178</v>
      </c>
      <c r="V8" s="16">
        <f>SUM(OracleAbilities4[takes])/SUM(OracleAbilities1[takes])</f>
        <v>0.14025974025974025</v>
      </c>
    </row>
    <row r="9" spans="1:22" x14ac:dyDescent="0.25">
      <c r="A9" t="s">
        <v>130</v>
      </c>
      <c r="B9" s="2">
        <f t="shared" ref="B9:B10" si="4">L9+L30+L51+L72+L93+L114</f>
        <v>53</v>
      </c>
      <c r="C9" s="2">
        <f t="shared" ref="C9:C10" si="5">M9+M30+M51+M72+M93+M114</f>
        <v>26</v>
      </c>
      <c r="D9" s="3">
        <f>IF(SUM(OracleAbilities2[[#This Row],[takes]]) &gt; 0,OracleAbilities2[[#This Row],[takes]]/SUM(OracleAbilities2[takes]),0)</f>
        <v>0.43089430894308944</v>
      </c>
      <c r="E9" s="3">
        <f>IF(OracleAbilities2[[#This Row],[takes]]&gt;0,OracleAbilities2[[#This Row],[wins]]/OracleAbilities2[[#This Row],[takes]],0)</f>
        <v>0.49056603773584906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5.5555555555555552E-2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1.9168831168831169</v>
      </c>
    </row>
    <row r="10" spans="1:22" x14ac:dyDescent="0.25">
      <c r="A10" s="10" t="s">
        <v>35</v>
      </c>
      <c r="B10" s="2">
        <f t="shared" si="4"/>
        <v>33</v>
      </c>
      <c r="C10" s="2">
        <f t="shared" si="5"/>
        <v>25</v>
      </c>
      <c r="D10" s="13">
        <f>IF(SUM(OracleAbilities2[[#This Row],[takes]]) &gt; 0,OracleAbilities2[[#This Row],[takes]]/SUM(OracleAbilities2[takes]),0)</f>
        <v>0.26829268292682928</v>
      </c>
      <c r="E10" s="13">
        <f>IF(OracleAbilities2[[#This Row],[takes]]&gt;0,OracleAbilities2[[#This Row],[wins]]/OracleAbilities2[[#This Row],[takes]],0)</f>
        <v>0.75757575757575757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9</v>
      </c>
      <c r="M10" s="2">
        <f>COUNTIF(Scenario0[winner1-ability2],OracleAbilities2Scenario0[[#This Row],[ability]])+COUNTIF(Scenario0[winner2-ability2],OracleAbilities2Scenario0[[#This Row],[ability]])</f>
        <v>9</v>
      </c>
      <c r="N10" s="13">
        <f>IF(SUM(OracleAbilities2Scenario0[[#This Row],[takes]]) &gt; 0,OracleAbilities2Scenario0[[#This Row],[takes]]/SUM(OracleAbilities2Scenario0[takes]),0)</f>
        <v>0.5</v>
      </c>
      <c r="O10" s="13">
        <f>IF(OracleAbilities2Scenario0[[#This Row],[takes]]&gt;0,OracleAbilities2Scenario0[[#This Row],[wins]]/OracleAbilities2Scenario0[[#This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13</v>
      </c>
      <c r="C13" s="1">
        <f>M13+M34+M55+M76+M97+M118</f>
        <v>9</v>
      </c>
      <c r="D13" s="14">
        <f>IF(SUM(OracleAbilities3[[#This Row],[takes]]) &gt; 0,OracleAbilities3[[#This Row],[takes]]/SUM(OracleAbilities3[takes]),0)</f>
        <v>0.18840579710144928</v>
      </c>
      <c r="E13" s="14">
        <f>IF(OracleAbilities3[[#This Row],[takes]]&gt;0,OracleAbilities3[[#This Row],[wins]]/OracleAbilities3[[#This Row],[takes]],0)</f>
        <v>0.69230769230769229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3" s="1">
        <f>COUNTIF(Scenario0[winner1-ability3],OracleAbilities3Scenario0[[#This Row],[ability]])+COUNTIF(Scenario0[winner2-ability3],OracleAbilities3Scenario0[[#This Row],[ability]])</f>
        <v>1</v>
      </c>
      <c r="N13" s="14">
        <f>IF(SUM(OracleAbilities3Scenario0[[#This Row],[takes]]) &gt; 0,OracleAbilities3Scenario0[[#This Row],[takes]]/SUM(OracleAbilities3Scenario0[takes]),0)</f>
        <v>0.33333333333333331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20</v>
      </c>
      <c r="C14" s="2">
        <f t="shared" ref="C14:C15" si="7">M14+M35+M56+M77+M98+M119</f>
        <v>8</v>
      </c>
      <c r="D14" s="12">
        <f>IF(SUM(OracleAbilities3[[#This Row],[takes]]) &gt; 0,OracleAbilities3[[#This Row],[takes]]/SUM(OracleAbilities3[takes]),0)</f>
        <v>0.28985507246376813</v>
      </c>
      <c r="E14" s="12">
        <f>IF(OracleAbilities3[[#This Row],[takes]]&gt;0,OracleAbilities3[[#This Row],[wins]]/OracleAbilities3[[#This Row],[takes]],0)</f>
        <v>0.4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0.66666666666666663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36</v>
      </c>
      <c r="C15" s="1">
        <f t="shared" si="7"/>
        <v>28</v>
      </c>
      <c r="D15" s="15">
        <f>IF(SUM(OracleAbilities3[[#This Row],[takes]]) &gt; 0,OracleAbilities3[[#This Row],[takes]]/SUM(OracleAbilities3[takes]),0)</f>
        <v>0.52173913043478259</v>
      </c>
      <c r="E15" s="15">
        <f>IF(OracleAbilities3[[#This Row],[takes]]&gt;0,OracleAbilities3[[#This Row],[wins]]/OracleAbilities3[[#This Row],[takes]],0)</f>
        <v>0.77777777777777779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20</v>
      </c>
      <c r="C18" s="2">
        <f>M18+M39+M60+M81+M102+M123</f>
        <v>12</v>
      </c>
      <c r="D18" s="12">
        <f>IF(SUM(OracleAbilities4[[#This Row],[takes]]) &gt; 0,OracleAbilities4[[#This Row],[takes]]/SUM(OracleAbilities4[takes]),0)</f>
        <v>0.37037037037037035</v>
      </c>
      <c r="E18" s="12">
        <f>IF(OracleAbilities4[[#This Row],[takes]]&gt;0,OracleAbilities4[[#This Row],[wins]]/OracleAbilities4[[#This Row],[takes]],0)</f>
        <v>0.6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1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32</v>
      </c>
      <c r="C19" s="2">
        <f t="shared" ref="C19:C20" si="9">M19+M40+M61+M82+M103+M124</f>
        <v>20</v>
      </c>
      <c r="D19" s="12">
        <f>IF(SUM(OracleAbilities4[[#This Row],[takes]]) &gt; 0,OracleAbilities4[[#This Row],[takes]]/SUM(OracleAbilities4[takes]),0)</f>
        <v>0.59259259259259256</v>
      </c>
      <c r="E19" s="12">
        <f>IF(OracleAbilities4[[#This Row],[takes]]&gt;0,OracleAbilities4[[#This Row],[wins]]/OracleAbilities4[[#This Row],[takes]],0)</f>
        <v>0.625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</v>
      </c>
      <c r="C20" s="2">
        <f t="shared" si="9"/>
        <v>2</v>
      </c>
      <c r="D20" s="26">
        <f>IF(SUM(OracleAbilities4[[#This Row],[takes]]) &gt; 0,OracleAbilities4[[#This Row],[takes]]/SUM(OracleAbilities4[takes]),0)</f>
        <v>3.7037037037037035E-2</v>
      </c>
      <c r="E20" s="26">
        <f>IF(OracleAbilities4[[#This Row],[takes]]&gt;0,OracleAbilities4[[#This Row],[wins]]/OracleAbilities4[[#This Row],[takes]],0)</f>
        <v>1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38</v>
      </c>
      <c r="M24">
        <f>COUNTIF(Scenario1[winner1-ability1],OracleAbilities1Scenario1[[#This Row],[ability]])+COUNTIF(Scenario1[winner2-ability1],OracleAbilities1Scenario1[[#This Row],[ability]])</f>
        <v>18</v>
      </c>
      <c r="N24" s="3">
        <f>IF(SUM(OracleAbilities1Scenario1[[#This Row],[takes]]) &gt; 0,OracleAbilities1Scenario1[[#This Row],[takes]]/SUM(OracleAbilities1Scenario1[takes]),0)</f>
        <v>0.3619047619047619</v>
      </c>
      <c r="O24" s="3">
        <f>IF(OracleAbilities1Scenario1[[#This Row],[takes]]&gt;0,OracleAbilities1Scenario1[[#This Row],[wins]]/OracleAbilities1Scenario1[[#This Row],[takes]],0)</f>
        <v>0.47368421052631576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70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8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3</v>
      </c>
      <c r="M25">
        <f>COUNTIF(Scenario1[winner1-ability1],OracleAbilities1Scenario1[[#This Row],[ability]])+COUNTIF(Scenario1[winner2-ability1],OracleAbilities1Scenario1[[#This Row],[ability]])</f>
        <v>1</v>
      </c>
      <c r="N25" s="3">
        <f>IF(SUM(OracleAbilities1Scenario1[[#This Row],[takes]]) &gt; 0,OracleAbilities1Scenario1[[#This Row],[takes]]/SUM(OracleAbilities1Scenario1[takes]),0)</f>
        <v>2.8571428571428571E-2</v>
      </c>
      <c r="O25" s="3">
        <f>IF(OracleAbilities1Scenario1[[#This Row],[takes]]&gt;0,OracleAbilities1Scenario1[[#This Row],[wins]]/OracleAbilities1Scenario1[[#This Row],[takes]],0)</f>
        <v>0.33333333333333331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25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41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64</v>
      </c>
      <c r="M26">
        <f>COUNTIF(Scenario1[winner1-ability1],OracleAbilities1Scenario1[[#This Row],[ability]])+COUNTIF(Scenario1[winner2-ability1],OracleAbilities1Scenario1[[#This Row],[ability]])</f>
        <v>36</v>
      </c>
      <c r="N26" s="3">
        <f>IF(SUM(OracleAbilities1Scenario1[[#This Row],[takes]]) &gt; 0,OracleAbilities1Scenario1[[#This Row],[takes]]/SUM(OracleAbilities1Scenario1[takes]),0)</f>
        <v>0.60952380952380958</v>
      </c>
      <c r="O26" s="3">
        <f>IF(OracleAbilities1Scenario1[[#This Row],[takes]]&gt;0,OracleAbilities1Scenario1[[#This Row],[wins]]/OracleAbilities1Scenario1[[#This Row],[takes]],0)</f>
        <v>0.5625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10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8</v>
      </c>
      <c r="M29" s="2">
        <f>COUNTIF(Scenario1[winner1-ability2],OracleAbilities2Scenario1[[#This Row],[ability]])+COUNTIF(Scenario1[winner2-ability2],OracleAbilities2Scenario1[[#This Row],[ability]])</f>
        <v>8</v>
      </c>
      <c r="N29" s="12">
        <f>IF(SUM(OracleAbilities2Scenario1[[#This Row],[takes]]) &gt; 0,OracleAbilities2Scenario1[[#This Row],[takes]]/SUM(OracleAbilities2Scenario1[takes]),0)</f>
        <v>0.38095238095238093</v>
      </c>
      <c r="O29" s="12">
        <f>IF(OracleAbilities2Scenario1[[#This Row],[takes]]&gt;0,OracleAbilities2Scenario1[[#This Row],[wins]]/OracleAbilities2Scenario1[[#This Row],[takes]],0)</f>
        <v>1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</v>
      </c>
      <c r="M30" s="2">
        <f>COUNTIF(Scenario1[winner1-ability2],OracleAbilities2Scenario1[[#This Row],[ability]])+COUNTIF(Scenario1[winner2-ability2],OracleAbilities2Scenario1[[#This Row],[ability]])</f>
        <v>2</v>
      </c>
      <c r="N30" s="3">
        <f>IF(SUM(OracleAbilities2Scenario1[[#This Row],[takes]]) &gt; 0,OracleAbilities2Scenario1[[#This Row],[takes]]/SUM(OracleAbilities2Scenario1[takes]),0)</f>
        <v>9.5238095238095233E-2</v>
      </c>
      <c r="O30" s="3">
        <f>IF(OracleAbilities2Scenario1[[#This Row],[takes]]&gt;0,OracleAbilities2Scenario1[[#This Row],[wins]]/OracleAbilities2Scenario1[[#This Row],[takes]],0)</f>
        <v>1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11</v>
      </c>
      <c r="M31" s="2">
        <f>COUNTIF(Scenario1[winner1-ability2],OracleAbilities2Scenario1[[#This Row],[ability]])+COUNTIF(Scenario1[winner2-ability2],OracleAbilities2Scenario1[[#This Row],[ability]])</f>
        <v>7</v>
      </c>
      <c r="N31" s="13">
        <f>IF(SUM(OracleAbilities2Scenario1[[#This Row],[takes]]) &gt; 0,OracleAbilities2Scenario1[[#This Row],[takes]]/SUM(OracleAbilities2Scenario1[takes]),0)</f>
        <v>0.52380952380952384</v>
      </c>
      <c r="O31" s="13">
        <f>IF(OracleAbilities2Scenario1[[#This Row],[takes]]&gt;0,OracleAbilities2Scenario1[[#This Row],[wins]]/OracleAbilities2Scenario1[[#This Row],[takes]],0)</f>
        <v>0.63636363636363635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</v>
      </c>
      <c r="M35" s="2">
        <f>COUNTIF(Scenario1[winner1-ability3],OracleAbilities3Scenario1[[#This Row],[ability]])+COUNTIF(Scenario1[winner2-ability3],OracleAbilities3Scenario1[[#This Row],[ability]])</f>
        <v>1</v>
      </c>
      <c r="N35" s="12">
        <f>IF(SUM(OracleAbilities3Scenario1[[#This Row],[takes]]) &gt; 0,OracleAbilities3Scenario1[[#This Row],[takes]]/SUM(OracleAbilities3Scenario1[takes]),0)</f>
        <v>0.2</v>
      </c>
      <c r="O35" s="12">
        <f>IF(OracleAbilities3Scenario1[[#This Row],[takes]]&gt;0,OracleAbilities3Scenario1[[#This Row],[wins]]/OracleAbilities3Scenario1[[#This Row],[takes]],0)</f>
        <v>1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0.8</v>
      </c>
      <c r="O36" s="15">
        <f>IF(OracleAbilities3Scenario1[[#This Row],[takes]]&gt;0,OracleAbilities3Scenario1[[#This Row],[wins]]/OracleAbilities3Scenario1[[#This Row],[takes]],0)</f>
        <v>0.75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40" s="2">
        <f>COUNTIF(Scenario1[winner1-ability4],OracleAbilities4Scenario1[[#This Row],[ability]])+COUNTIF(Scenario1[winner2-ability4],OracleAbilities4Scenario1[[#This Row],[ability]])</f>
        <v>2</v>
      </c>
      <c r="N40" s="12">
        <f>IF(SUM(OracleAbilities4Scenario1[[#This Row],[takes]]) &gt; 0,OracleAbilities4Scenario1[[#This Row],[takes]]/SUM(OracleAbilities4Scenario1[takes]),0)</f>
        <v>1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4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2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0.14285714285714285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8</v>
      </c>
      <c r="S46" s="18">
        <f>COUNTIFS(Scenario2[winner1],"oracle",Scenario2[winner1-cp],OracleEquipScenario2[[#This Row],[level]])+COUNTIFS(Scenario2[loser1],"oracle",Scenario2[loser1-cp],OracleEquipScenario2[[#This Row],[level]])</f>
        <v>5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12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0.8571428571428571</v>
      </c>
      <c r="O47" s="3">
        <f>IF(OracleAbilities1Scenario2[[#This Row],[takes]]&gt;0,OracleAbilities1Scenario2[[#This Row],[wins]]/OracleAbilities1Scenario2[[#This Row],[takes]],0)</f>
        <v>0.33333333333333331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2</v>
      </c>
      <c r="S47" s="18">
        <f>COUNTIFS(Scenario2[winner1],"oracle",Scenario2[winner1-cp],OracleEquipScenario2[[#This Row],[level]])+COUNTIFS(Scenario2[loser1],"oracle",Scenario2[loser1-cp],OracleEquipScenario2[[#This Row],[level]])</f>
        <v>8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3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0.5</v>
      </c>
      <c r="O50" s="12">
        <f>IF(OracleAbilities2Scenario2[[#This Row],[takes]]&gt;0,OracleAbilities2Scenario2[[#This Row],[wins]]/OracleAbilities2Scenario2[[#This Row],[takes]],0)</f>
        <v>0.66666666666666663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0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3</v>
      </c>
      <c r="M52" s="2">
        <f>COUNTIF(Scenario2[winner1-ability2],OracleAbilities2Scenario2[[#This Row],[ability]])</f>
        <v>3</v>
      </c>
      <c r="N52" s="13">
        <f>IF(SUM(OracleAbilities2Scenario2[[#This Row],[takes]]) &gt; 0,OracleAbilities2Scenario2[[#This Row],[takes]]/SUM(OracleAbilities2Scenario2[takes]),0)</f>
        <v>0.5</v>
      </c>
      <c r="O52" s="13">
        <f>IF(OracleAbilities2Scenario2[[#This Row],[takes]]&gt;0,OracleAbilities2Scenario2[[#This Row],[wins]]/OracleAbilities2Scenario2[[#This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4">
        <f>IF(SUM(OracleAbilities3Scenario2[[#This Row],[takes]]) &gt; 0,OracleAbilities3Scenario2[[#This Row],[takes]]/SUM(OracleAbilities3Scenario2[takes]),0)</f>
        <v>0</v>
      </c>
      <c r="O55" s="14">
        <f>IF(OracleAbilities3Scenario2[[#This Row],[takes]]&gt;0,OracleAbilities3Scenario2[[#This Row],[wins]]/OracleAbilities3Scenario2[[#This Row],[takes]],0)</f>
        <v>0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5">
        <f>IF(SUM(OracleAbilities3Scenario2[[#This Row],[takes]]) &gt; 0,OracleAbilities3Scenario2[[#This Row],[takes]]/SUM(OracleAbilities3Scenario2[takes]),0)</f>
        <v>1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1</v>
      </c>
      <c r="M60" s="2">
        <f>COUNTIF(Scenario2[winner1-ability4],OracleAbilities4Scenario2[[#This Row],[ability]])</f>
        <v>1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1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4.7619047619047616E-2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6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20</v>
      </c>
      <c r="M68">
        <f>COUNTIF(Scenario3[winner1-ability1],OracleAbilities1Scenario3[[#This Row],[ability]])</f>
        <v>10</v>
      </c>
      <c r="N68" s="3">
        <f>IF(SUM(OracleAbilities1Scenario3[[#This Row],[takes]]) &gt; 0,OracleAbilities1Scenario3[[#This Row],[takes]]/SUM(OracleAbilities1Scenario3[takes]),0)</f>
        <v>0.95238095238095233</v>
      </c>
      <c r="O68" s="3">
        <f>IF(OracleAbilities1Scenario3[[#This Row],[takes]]&gt;0,OracleAbilities1Scenario3[[#This Row],[wins]]/OracleAbilities1Scenario3[[#This Row],[takes]],0)</f>
        <v>0.5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7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2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0.125</v>
      </c>
      <c r="O71" s="12">
        <f>IF(OracleAbilities2Scenario3[[#This Row],[takes]]&gt;0,OracleAbilities2Scenario3[[#This Row],[wins]]/OracleAbilities2Scenario3[[#This Row],[takes]],0)</f>
        <v>1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12</v>
      </c>
      <c r="M72" s="2">
        <f>COUNTIF(Scenario3[winner1-ability2],OracleAbilities2Scenario3[[#This Row],[ability]])</f>
        <v>7</v>
      </c>
      <c r="N72" s="3">
        <f>IF(SUM(OracleAbilities2Scenario3[[#This Row],[takes]]) &gt; 0,OracleAbilities2Scenario3[[#This Row],[takes]]/SUM(OracleAbilities2Scenario3[takes]),0)</f>
        <v>0.75</v>
      </c>
      <c r="O72" s="3">
        <f>IF(OracleAbilities2Scenario3[[#This Row],[takes]]&gt;0,OracleAbilities2Scenario3[[#This Row],[wins]]/OracleAbilities2Scenario3[[#This Row],[takes]],0)</f>
        <v>0.58333333333333337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2</v>
      </c>
      <c r="M73" s="2">
        <f>COUNTIF(Scenario3[winner1-ability2],OracleAbilities2Scenario3[[#This Row],[ability]])</f>
        <v>1</v>
      </c>
      <c r="N73" s="13">
        <f>IF(SUM(OracleAbilities2Scenario3[[#This Row],[takes]]) &gt; 0,OracleAbilities2Scenario3[[#This Row],[takes]]/SUM(OracleAbilities2Scenario3[takes]),0)</f>
        <v>0.125</v>
      </c>
      <c r="O73" s="13">
        <f>IF(OracleAbilities2Scenario3[[#This Row],[takes]]&gt;0,OracleAbilities2Scenario3[[#This Row],[wins]]/OracleAbilities2Scenario3[[#This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4</v>
      </c>
      <c r="M76" s="1">
        <f>COUNTIF(Scenario3[winner1-ability3],OracleAbilities3Scenario3[[#This Row],[ability]])</f>
        <v>3</v>
      </c>
      <c r="N76" s="14">
        <f>IF(SUM(OracleAbilities3Scenario3[[#This Row],[takes]]) &gt; 0,OracleAbilities3Scenario3[[#This Row],[takes]]/SUM(OracleAbilities3Scenario3[takes]),0)</f>
        <v>0.26666666666666666</v>
      </c>
      <c r="O76" s="14">
        <f>IF(OracleAbilities3Scenario3[[#This Row],[takes]]&gt;0,OracleAbilities3Scenario3[[#This Row],[wins]]/OracleAbilities3Scenario3[[#This Row],[takes]],0)</f>
        <v>0.75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2</v>
      </c>
      <c r="M77" s="2">
        <f>COUNTIF(Scenario3[winner1-ability3],OracleAbilities3Scenario3[[#This Row],[ability]])</f>
        <v>1</v>
      </c>
      <c r="N77" s="12">
        <f>IF(SUM(OracleAbilities3Scenario3[[#This Row],[takes]]) &gt; 0,OracleAbilities3Scenario3[[#This Row],[takes]]/SUM(OracleAbilities3Scenario3[takes]),0)</f>
        <v>0.13333333333333333</v>
      </c>
      <c r="O77" s="12">
        <f>IF(OracleAbilities3Scenario3[[#This Row],[takes]]&gt;0,OracleAbilities3Scenario3[[#This Row],[wins]]/OracleAbilities3Scenario3[[#This Row],[takes]],0)</f>
        <v>0.5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9</v>
      </c>
      <c r="M78" s="1">
        <f>COUNTIF(Scenario3[winner1-ability3],OracleAbilities3Scenario3[[#This Row],[ability]])</f>
        <v>6</v>
      </c>
      <c r="N78" s="15">
        <f>IF(SUM(OracleAbilities3Scenario3[[#This Row],[takes]]) &gt; 0,OracleAbilities3Scenario3[[#This Row],[takes]]/SUM(OracleAbilities3Scenario3[takes]),0)</f>
        <v>0.6</v>
      </c>
      <c r="O78" s="15">
        <f>IF(OracleAbilities3Scenario3[[#This Row],[takes]]&gt;0,OracleAbilities3Scenario3[[#This Row],[wins]]/OracleAbilities3Scenario3[[#This Row],[takes]],0)</f>
        <v>0.66666666666666663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9.0909090909090912E-2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9</v>
      </c>
      <c r="M82" s="2">
        <f>COUNTIF(Scenario3[winner1-ability4],OracleAbilities4Scenario3[[#This Row],[ability]])</f>
        <v>6</v>
      </c>
      <c r="N82" s="12">
        <f>IF(SUM(OracleAbilities4Scenario3[[#This Row],[takes]]) &gt; 0,OracleAbilities4Scenario3[[#This Row],[takes]]/SUM(OracleAbilities4Scenario3[takes]),0)</f>
        <v>0.81818181818181823</v>
      </c>
      <c r="O82" s="12">
        <f>IF(OracleAbilities4Scenario3[[#This Row],[takes]]&gt;0,OracleAbilities4Scenario3[[#This Row],[wins]]/OracleAbilities4Scenario3[[#This Row],[takes]],0)</f>
        <v>0.66666666666666663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</v>
      </c>
      <c r="M83" s="2">
        <f>COUNTIF(Scenario3[winner1-ability4],OracleAbilities4Scenario3[[#This Row],[ability]])</f>
        <v>1</v>
      </c>
      <c r="N83" s="26">
        <f>IF(SUM(OracleAbilities4Scenario3[[#This Row],[takes]]) &gt; 0,OracleAbilities4Scenario3[[#This Row],[takes]]/SUM(OracleAbilities4Scenario3[takes]),0)</f>
        <v>9.0909090909090912E-2</v>
      </c>
      <c r="O83" s="26">
        <f>IF(OracleAbilities4Scenario3[[#This Row],[takes]]&gt;0,OracleAbilities4Scenario3[[#This Row],[wins]]/OracleAbilities4Scenario3[[#This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7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7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35</v>
      </c>
      <c r="M89">
        <f>COUNTIF(Scenario4[winner1-ability1],OracleAbilities1Scenario4[[#This Row],[ability]])</f>
        <v>13</v>
      </c>
      <c r="N89" s="3">
        <f>IF(SUM(OracleAbilities1Scenario4[[#This Row],[takes]]) &gt; 0,OracleAbilities1Scenario4[[#This Row],[takes]]/SUM(OracleAbilities1Scenario4[takes]),0)</f>
        <v>1</v>
      </c>
      <c r="O89" s="3">
        <f>IF(OracleAbilities1Scenario4[[#This Row],[takes]]&gt;0,OracleAbilities1Scenario4[[#This Row],[wins]]/OracleAbilities1Scenario4[[#This Row],[takes]],0)</f>
        <v>0.37142857142857144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23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28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11</v>
      </c>
      <c r="M92" s="2">
        <f>COUNTIF(Scenario4[winner1-ability2],OracleAbilities2Scenario4[[#This Row],[ability]])</f>
        <v>6</v>
      </c>
      <c r="N92" s="12">
        <f>IF(SUM(OracleAbilities2Scenario4[[#This Row],[takes]]) &gt; 0,OracleAbilities2Scenario4[[#This Row],[takes]]/SUM(OracleAbilities2Scenario4[takes]),0)</f>
        <v>0.33333333333333331</v>
      </c>
      <c r="O92" s="12">
        <f>IF(OracleAbilities2Scenario4[[#This Row],[takes]]&gt;0,OracleAbilities2Scenario4[[#This Row],[wins]]/OracleAbilities2Scenario4[[#This Row],[takes]],0)</f>
        <v>0.54545454545454541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22</v>
      </c>
      <c r="M93" s="2">
        <f>COUNTIF(Scenario4[winner1-ability2],OracleAbilities2Scenario4[[#This Row],[ability]])</f>
        <v>7</v>
      </c>
      <c r="N93" s="3">
        <f>IF(SUM(OracleAbilities2Scenario4[[#This Row],[takes]]) &gt; 0,OracleAbilities2Scenario4[[#This Row],[takes]]/SUM(OracleAbilities2Scenario4[takes]),0)</f>
        <v>0.66666666666666663</v>
      </c>
      <c r="O93" s="3">
        <f>IF(OracleAbilities2Scenario4[[#This Row],[takes]]&gt;0,OracleAbilities2Scenario4[[#This Row],[wins]]/OracleAbilities2Scenario4[[#This Row],[takes]],0)</f>
        <v>0.31818181818181818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4</v>
      </c>
      <c r="M97" s="1">
        <f>COUNTIF(Scenario4[winner1-ability3],OracleAbilities3Scenario4[[#This Row],[ability]])</f>
        <v>2</v>
      </c>
      <c r="N97" s="14">
        <f>IF(SUM(OracleAbilities3Scenario4[[#This Row],[takes]]) &gt; 0,OracleAbilities3Scenario4[[#This Row],[takes]]/SUM(OracleAbilities3Scenario4[takes]),0)</f>
        <v>0.13793103448275862</v>
      </c>
      <c r="O97" s="14">
        <f>IF(OracleAbilities3Scenario4[[#This Row],[takes]]&gt;0,OracleAbilities3Scenario4[[#This Row],[wins]]/OracleAbilities3Scenario4[[#This Row],[takes]],0)</f>
        <v>0.5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14</v>
      </c>
      <c r="M98" s="2">
        <f>COUNTIF(Scenario4[winner1-ability3],OracleAbilities3Scenario4[[#This Row],[ability]])</f>
        <v>3</v>
      </c>
      <c r="N98" s="12">
        <f>IF(SUM(OracleAbilities3Scenario4[[#This Row],[takes]]) &gt; 0,OracleAbilities3Scenario4[[#This Row],[takes]]/SUM(OracleAbilities3Scenario4[takes]),0)</f>
        <v>0.48275862068965519</v>
      </c>
      <c r="O98" s="12">
        <f>IF(OracleAbilities3Scenario4[[#This Row],[takes]]&gt;0,OracleAbilities3Scenario4[[#This Row],[wins]]/OracleAbilities3Scenario4[[#This Row],[takes]],0)</f>
        <v>0.21428571428571427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11</v>
      </c>
      <c r="M99" s="1">
        <f>COUNTIF(Scenario4[winner1-ability3],OracleAbilities3Scenario4[[#This Row],[ability]])</f>
        <v>8</v>
      </c>
      <c r="N99" s="15">
        <f>IF(SUM(OracleAbilities3Scenario4[[#This Row],[takes]]) &gt; 0,OracleAbilities3Scenario4[[#This Row],[takes]]/SUM(OracleAbilities3Scenario4[takes]),0)</f>
        <v>0.37931034482758619</v>
      </c>
      <c r="O99" s="15">
        <f>IF(OracleAbilities3Scenario4[[#This Row],[takes]]&gt;0,OracleAbilities3Scenario4[[#This Row],[wins]]/OracleAbilities3Scenario4[[#This Row],[takes]],0)</f>
        <v>0.72727272727272729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12</v>
      </c>
      <c r="M102" s="2">
        <f>COUNTIF(Scenario4[winner1-ability4],OracleAbilities4Scenario4[[#This Row],[ability]])</f>
        <v>6</v>
      </c>
      <c r="N102" s="12">
        <f>IF(SUM(OracleAbilities4Scenario4[[#This Row],[takes]]) &gt; 0,OracleAbilities4Scenario4[[#This Row],[takes]]/SUM(OracleAbilities4Scenario4[takes]),0)</f>
        <v>0.48</v>
      </c>
      <c r="O102" s="12">
        <f>IF(OracleAbilities4Scenario4[[#This Row],[takes]]&gt;0,OracleAbilities4Scenario4[[#This Row],[wins]]/OracleAbilities4Scenario4[[#This Row],[takes]],0)</f>
        <v>0.5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12</v>
      </c>
      <c r="M103" s="2">
        <f>COUNTIF(Scenario4[winner1-ability4],OracleAbilities4Scenario4[[#This Row],[ability]])</f>
        <v>4</v>
      </c>
      <c r="N103" s="12">
        <f>IF(SUM(OracleAbilities4Scenario4[[#This Row],[takes]]) &gt; 0,OracleAbilities4Scenario4[[#This Row],[takes]]/SUM(OracleAbilities4Scenario4[takes]),0)</f>
        <v>0.48</v>
      </c>
      <c r="O103" s="12">
        <f>IF(OracleAbilities4Scenario4[[#This Row],[takes]]&gt;0,OracleAbilities4Scenario4[[#This Row],[wins]]/OracleAbilities4Scenario4[[#This Row],[takes]],0)</f>
        <v>0.33333333333333331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0.04</v>
      </c>
      <c r="O104" s="26">
        <f>IF(OracleAbilities4Scenario4[[#This Row],[takes]]&gt;0,OracleAbilities4Scenario4[[#This Row],[wins]]/OracleAbilities4Scenario4[[#This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34</v>
      </c>
      <c r="M108">
        <f>COUNTIF(Scenario5[winner1-ability1],OracleAbilities1Scenario5[[#This Row],[ability]])+COUNTIF(Scenario5[winner2-ability1],OracleAbilities1Scenario5[[#This Row],[ability]])</f>
        <v>14</v>
      </c>
      <c r="N108" s="3">
        <f>IF(SUM(OracleAbilities1Scenario5[[#This Row],[takes]]) &gt; 0,OracleAbilities1Scenario5[[#This Row],[takes]]/SUM(OracleAbilities1Scenario5[takes]),0)</f>
        <v>0.32380952380952382</v>
      </c>
      <c r="O108" s="3">
        <f>IF(OracleAbilities1Scenario5[[#This Row],[takes]]&gt;0,OracleAbilities1Scenario5[[#This Row],[wins]]/OracleAbilities1Scenario5[[#This Row],[takes]],0)</f>
        <v>0.41176470588235292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60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36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6</v>
      </c>
      <c r="M109">
        <f>COUNTIF(Scenario5[winner1-ability1],OracleAbilities1Scenario5[[#This Row],[ability]])+COUNTIF(Scenario5[winner2-ability1],OracleAbilities1Scenario5[[#This Row],[ability]])</f>
        <v>1</v>
      </c>
      <c r="N109" s="3">
        <f>IF(SUM(OracleAbilities1Scenario5[[#This Row],[takes]]) &gt; 0,OracleAbilities1Scenario5[[#This Row],[takes]]/SUM(OracleAbilities1Scenario5[takes]),0)</f>
        <v>5.7142857142857141E-2</v>
      </c>
      <c r="O109" s="3">
        <f>IF(OracleAbilities1Scenario5[[#This Row],[takes]]&gt;0,OracleAbilities1Scenario5[[#This Row],[wins]]/OracleAbilities1Scenario5[[#This Row],[takes]],0)</f>
        <v>0.16666666666666666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33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49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65</v>
      </c>
      <c r="M110">
        <f>COUNTIF(Scenario5[winner1-ability1],OracleAbilities1Scenario5[[#This Row],[ability]])+COUNTIF(Scenario5[winner2-ability1],OracleAbilities1Scenario5[[#This Row],[ability]])</f>
        <v>21</v>
      </c>
      <c r="N110" s="3">
        <f>IF(SUM(OracleAbilities1Scenario5[[#This Row],[takes]]) &gt; 0,OracleAbilities1Scenario5[[#This Row],[takes]]/SUM(OracleAbilities1Scenario5[takes]),0)</f>
        <v>0.61904761904761907</v>
      </c>
      <c r="O110" s="3">
        <f>IF(OracleAbilities1Scenario5[[#This Row],[takes]]&gt;0,OracleAbilities1Scenario5[[#This Row],[wins]]/OracleAbilities1Scenario5[[#This Row],[takes]],0)</f>
        <v>0.32307692307692309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12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5</v>
      </c>
      <c r="M113" s="2">
        <f>COUNTIF(Scenario5[winner1-ability2],OracleAbilities2Scenario5[[#This Row],[ability]])+COUNTIF(Scenario5[winner2-ability2],OracleAbilities2Scenario5[[#This Row],[ability]])</f>
        <v>5</v>
      </c>
      <c r="N113" s="12">
        <f>IF(SUM(OracleAbilities2Scenario5[[#This Row],[takes]]) &gt; 0,OracleAbilities2Scenario5[[#This Row],[takes]]/SUM(OracleAbilities2Scenario5[takes]),0)</f>
        <v>0.17241379310344829</v>
      </c>
      <c r="O113" s="12">
        <f>IF(OracleAbilities2Scenario5[[#This Row],[takes]]&gt;0,OracleAbilities2Scenario5[[#This Row],[wins]]/OracleAbilities2Scenario5[[#This Row],[takes]],0)</f>
        <v>1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16</v>
      </c>
      <c r="M114" s="2">
        <f>COUNTIF(Scenario5[winner1-ability2],OracleAbilities2Scenario5[[#This Row],[ability]])+COUNTIF(Scenario5[winner2-ability2],OracleAbilities2Scenario5[[#This Row],[ability]])</f>
        <v>9</v>
      </c>
      <c r="N114" s="3">
        <f>IF(SUM(OracleAbilities2Scenario5[[#This Row],[takes]]) &gt; 0,OracleAbilities2Scenario5[[#This Row],[takes]]/SUM(OracleAbilities2Scenario5[takes]),0)</f>
        <v>0.55172413793103448</v>
      </c>
      <c r="O114" s="3">
        <f>IF(OracleAbilities2Scenario5[[#This Row],[takes]]&gt;0,OracleAbilities2Scenario5[[#This Row],[wins]]/OracleAbilities2Scenario5[[#This Row],[takes]],0)</f>
        <v>0.5625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8</v>
      </c>
      <c r="M115" s="2">
        <f>COUNTIF(Scenario5[winner1-ability2],OracleAbilities2Scenario5[[#This Row],[ability]])+COUNTIF(Scenario5[winner2-ability2],OracleAbilities2Scenario5[[#This Row],[ability]])</f>
        <v>5</v>
      </c>
      <c r="N115" s="13">
        <f>IF(SUM(OracleAbilities2Scenario5[[#This Row],[takes]]) &gt; 0,OracleAbilities2Scenario5[[#This Row],[takes]]/SUM(OracleAbilities2Scenario5[takes]),0)</f>
        <v>0.27586206896551724</v>
      </c>
      <c r="O115" s="13">
        <f>IF(OracleAbilities2Scenario5[[#This Row],[takes]]&gt;0,OracleAbilities2Scenario5[[#This Row],[wins]]/OracleAbilities2Scenario5[[#This Row],[takes]],0)</f>
        <v>0.625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4</v>
      </c>
      <c r="M118" s="1">
        <f>COUNTIF(Scenario5[winner1-ability3],OracleAbilities3Scenario5[[#This Row],[ability]])+COUNTIF(Scenario5[winner2-ability3],OracleAbilities3Scenario5[[#This Row],[ability]])</f>
        <v>3</v>
      </c>
      <c r="N118" s="14">
        <f>IF(SUM(OracleAbilities3Scenario5[[#This Row],[takes]]) &gt; 0,OracleAbilities3Scenario5[[#This Row],[takes]]/SUM(OracleAbilities3Scenario5[takes]),0)</f>
        <v>0.25</v>
      </c>
      <c r="O118" s="14">
        <f>IF(OracleAbilities3Scenario5[[#This Row],[takes]]&gt;0,OracleAbilities3Scenario5[[#This Row],[wins]]/OracleAbilities3Scenario5[[#This Row],[takes]],0)</f>
        <v>0.75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</v>
      </c>
      <c r="M119" s="2">
        <f>COUNTIF(Scenario5[winner1-ability3],OracleAbilities3Scenario5[[#This Row],[ability]])+COUNTIF(Scenario5[winner2-ability3],OracleAbilities3Scenario5[[#This Row],[ability]])</f>
        <v>1</v>
      </c>
      <c r="N119" s="12">
        <f>IF(SUM(OracleAbilities3Scenario5[[#This Row],[takes]]) &gt; 0,OracleAbilities3Scenario5[[#This Row],[takes]]/SUM(OracleAbilities3Scenario5[takes]),0)</f>
        <v>6.25E-2</v>
      </c>
      <c r="O119" s="12">
        <f>IF(OracleAbilities3Scenario5[[#This Row],[takes]]&gt;0,OracleAbilities3Scenario5[[#This Row],[wins]]/OracleAbilities3Scenario5[[#This Row],[takes]],0)</f>
        <v>1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11</v>
      </c>
      <c r="M120" s="1">
        <f>COUNTIF(Scenario5[winner1-ability3],OracleAbilities3Scenario5[[#This Row],[ability]])+COUNTIF(Scenario5[winner2-ability3],OracleAbilities3Scenario5[[#This Row],[ability]])</f>
        <v>10</v>
      </c>
      <c r="N120" s="15">
        <f>IF(SUM(OracleAbilities3Scenario5[[#This Row],[takes]]) &gt; 0,OracleAbilities3Scenario5[[#This Row],[takes]]/SUM(OracleAbilities3Scenario5[takes]),0)</f>
        <v>0.6875</v>
      </c>
      <c r="O120" s="15">
        <f>IF(OracleAbilities3Scenario5[[#This Row],[takes]]&gt;0,OracleAbilities3Scenario5[[#This Row],[wins]]/OracleAbilities3Scenario5[[#This Row],[takes]],0)</f>
        <v>0.90909090909090906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5</v>
      </c>
      <c r="M123" s="2">
        <f>COUNTIF(Scenario5[winner1-ability4],OracleAbilities4Scenario5[[#This Row],[ability]])+COUNTIF(Scenario5[winner2-ability4],OracleAbilities4Scenario5[[#This Row],[ability]])</f>
        <v>4</v>
      </c>
      <c r="N123" s="12">
        <f>IF(SUM(OracleAbilities4Scenario5[[#This Row],[takes]]) &gt; 0,OracleAbilities4Scenario5[[#This Row],[takes]]/SUM(OracleAbilities4Scenario5[takes]),0)</f>
        <v>0.35714285714285715</v>
      </c>
      <c r="O123" s="12">
        <f>IF(OracleAbilities4Scenario5[[#This Row],[takes]]&gt;0,OracleAbilities4Scenario5[[#This Row],[wins]]/OracleAbilities4Scenario5[[#This Row],[takes]],0)</f>
        <v>0.8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9</v>
      </c>
      <c r="M124" s="2">
        <f>COUNTIF(Scenario5[winner1-ability4],OracleAbilities4Scenario5[[#This Row],[ability]])+COUNTIF(Scenario5[winner2-ability4],OracleAbilities4Scenario5[[#This Row],[ability]])</f>
        <v>8</v>
      </c>
      <c r="N124" s="12">
        <f>IF(SUM(OracleAbilities4Scenario5[[#This Row],[takes]]) &gt; 0,OracleAbilities4Scenario5[[#This Row],[takes]]/SUM(OracleAbilities4Scenario5[takes]),0)</f>
        <v>0.6428571428571429</v>
      </c>
      <c r="O124" s="12">
        <f>IF(OracleAbilities4Scenario5[[#This Row],[takes]]&gt;0,OracleAbilities4Scenario5[[#This Row],[wins]]/OracleAbilities4Scenario5[[#This Row],[takes]],0)</f>
        <v>0.88888888888888884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5" s="2">
        <f>COUNTIF(Scenario5[winner1-ability4],OracleAbilities4Scenario5[[#This Row],[ability]])+COUNTIF(Scenario5[winner2-ability4],OracleAbilities4Scenario5[[#This Row],[ability]])</f>
        <v>0</v>
      </c>
      <c r="N125" s="26">
        <f>IF(SUM(OracleAbilities4Scenario5[[#This Row],[takes]]) &gt; 0,OracleAbilities4Scenario5[[#This Row],[takes]]/SUM(OracleAbilities4Scenario5[takes]),0)</f>
        <v>0</v>
      </c>
      <c r="O125" s="26">
        <f>IF(OracleAbilities4Scenario5[[#This Row],[takes]]&gt;0,OracleAbilities4Scenario5[[#This Row],[wins]]/OracleAbilities4Scenario5[[#This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4" sqref="E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0.2779220779220779</v>
      </c>
    </row>
    <row r="3" spans="1:22" x14ac:dyDescent="0.25">
      <c r="A3" t="s">
        <v>44</v>
      </c>
      <c r="B3">
        <f>L3+L24+L45+L66+L87+L108</f>
        <v>23</v>
      </c>
      <c r="C3">
        <f>M3+M24+M45+M66+M87+M108</f>
        <v>17</v>
      </c>
      <c r="D3" s="3">
        <f>IF(SUM(AvatarAbilities1[[#This Row],[takes]]) &gt; 0,AvatarAbilities1[[#This Row],[takes]]/SUM(AvatarAbilities1[takes]),0)</f>
        <v>5.9740259740259739E-2</v>
      </c>
      <c r="E3" s="3">
        <f>IF(AvatarAbilities1[[#This Row],[takes]]&gt;0,AvatarAbilities1[[#This Row],[wins]]/AvatarAbilities1[[#This Row],[takes]],0)</f>
        <v>0.73913043478260865</v>
      </c>
      <c r="G3">
        <v>1</v>
      </c>
      <c r="H3">
        <f>R3+R24+R45+R66+R87+R108</f>
        <v>125</v>
      </c>
      <c r="I3" s="18">
        <f>S3+S24+S45+S66+S87+S108</f>
        <v>256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44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80</v>
      </c>
      <c r="U3" t="s">
        <v>200</v>
      </c>
      <c r="V3" s="16">
        <f>H5/SUM(AvatarEquip[bracers])</f>
        <v>0.39740259740259742</v>
      </c>
    </row>
    <row r="4" spans="1:22" x14ac:dyDescent="0.25">
      <c r="A4" t="s">
        <v>135</v>
      </c>
      <c r="B4">
        <f t="shared" ref="B4:B5" si="0">L4+L25+L46+L67+L88+L109</f>
        <v>213</v>
      </c>
      <c r="C4">
        <f t="shared" ref="C4:C5" si="1">M4+M25+M46+M67+M88+M109</f>
        <v>104</v>
      </c>
      <c r="D4" s="3">
        <f>IF(SUM(AvatarAbilities1[[#This Row],[takes]]) &gt; 0,AvatarAbilities1[[#This Row],[takes]]/SUM(AvatarAbilities1[takes]),0)</f>
        <v>0.55324675324675321</v>
      </c>
      <c r="E4" s="3">
        <f>IF(AvatarAbilities1[[#This Row],[takes]]&gt;0,AvatarAbilities1[[#This Row],[wins]]/AvatarAbilities1[[#This Row],[takes]],0)</f>
        <v>0.48826291079812206</v>
      </c>
      <c r="G4">
        <v>2</v>
      </c>
      <c r="H4">
        <f t="shared" ref="H4:H5" si="2">R4+R25+R46+R67+R88+R109</f>
        <v>107</v>
      </c>
      <c r="I4" s="18">
        <f t="shared" ref="I4:I5" si="3">S4+S25+S46+S67+S88+S109</f>
        <v>50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104</v>
      </c>
      <c r="M4">
        <f>COUNTIF(Scenario0[winner1-ability1],AvatarAbilities1Scenario0[[#This Row],[ability]])+COUNTIF(Scenario0[winner2-ability1],AvatarAbilities1Scenario0[[#This Row],[ability]])</f>
        <v>53</v>
      </c>
      <c r="N4" s="3">
        <f>IF(SUM(AvatarAbilities1Scenario0[[#This Row],[takes]]) &gt; 0,AvatarAbilities1Scenario0[[#This Row],[takes]]/SUM(AvatarAbilities1Scenario0[takes]),0)</f>
        <v>0.99047619047619051</v>
      </c>
      <c r="O4" s="3">
        <f>IF(AvatarAbilities1Scenario0[[#This Row],[takes]]&gt;0,AvatarAbilities1Scenario0[[#This Row],[wins]]/AvatarAbilities1Scenario0[[#This Row],[takes]],0)</f>
        <v>0.50961538461538458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38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12</v>
      </c>
      <c r="U4" t="s">
        <v>179</v>
      </c>
      <c r="V4" s="3">
        <f>AvatarEquip[[#This Row],[chestpiece]]/SUM(AvatarEquip[chestpiece])</f>
        <v>0.12987012987012986</v>
      </c>
    </row>
    <row r="5" spans="1:22" x14ac:dyDescent="0.25">
      <c r="A5" t="s">
        <v>73</v>
      </c>
      <c r="B5">
        <f t="shared" si="0"/>
        <v>149</v>
      </c>
      <c r="C5">
        <f t="shared" si="1"/>
        <v>60</v>
      </c>
      <c r="D5" s="3">
        <f>IF(SUM(AvatarAbilities1[[#This Row],[takes]]) &gt; 0,AvatarAbilities1[[#This Row],[takes]]/SUM(AvatarAbilities1[takes]),0)</f>
        <v>0.38701298701298703</v>
      </c>
      <c r="E5" s="3">
        <f>IF(AvatarAbilities1[[#This Row],[takes]]&gt;0,AvatarAbilities1[[#This Row],[wins]]/AvatarAbilities1[[#This Row],[takes]],0)</f>
        <v>0.40268456375838924</v>
      </c>
      <c r="G5">
        <v>3</v>
      </c>
      <c r="H5">
        <f t="shared" si="2"/>
        <v>153</v>
      </c>
      <c r="I5" s="18">
        <f t="shared" si="3"/>
        <v>79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9.5238095238095247E-3</v>
      </c>
      <c r="O5" s="3">
        <f>IF(AvatarAbilities1Scenario0[[#This Row],[takes]]&gt;0,AvatarAbilities1Scenario0[[#This Row],[wins]]/AvatarAbilities1Scenario0[[#This Row],[takes]],0)</f>
        <v>1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23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5" t="s">
        <v>180</v>
      </c>
      <c r="V5" s="16">
        <f>AvatarEquip[[#This Row],[chestpiece]]/SUM(AvatarEquip[chestpiece])</f>
        <v>0.20519480519480521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0.88051948051948048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0.60259740259740258</v>
      </c>
    </row>
    <row r="8" spans="1:22" x14ac:dyDescent="0.25">
      <c r="A8" s="2" t="s">
        <v>74</v>
      </c>
      <c r="B8" s="2">
        <f>L8+L29+L50+L71+L92+L113</f>
        <v>126</v>
      </c>
      <c r="C8" s="2">
        <f>M8+M29+M50+M71+M92+M113</f>
        <v>66</v>
      </c>
      <c r="D8" s="12">
        <f>IF(SUM(AvatarAbilities2[[#This Row],[takes]]) &gt; 0,AvatarAbilities2[[#This Row],[takes]]/SUM(AvatarAbilities2[takes]),0)</f>
        <v>0.37168141592920356</v>
      </c>
      <c r="E8" s="12">
        <f>IF(AvatarAbilities2[[#This Row],[takes]]&gt;0,AvatarAbilities2[[#This Row],[wins]]/AvatarAbilities2[[#This Row],[takes]],0)</f>
        <v>0.52380952380952384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37</v>
      </c>
      <c r="M8" s="2">
        <f>COUNTIF(Scenario0[winner1-ability2],AvatarAbilities2Scenario0[[#This Row],[ability]])+COUNTIF(Scenario0[winner2-ability2],AvatarAbilities2Scenario0[[#This Row],[ability]])</f>
        <v>27</v>
      </c>
      <c r="N8" s="12">
        <f>IF(SUM(AvatarAbilities2Scenario0[[#This Row],[takes]]) &gt; 0,AvatarAbilities2Scenario0[[#This Row],[takes]]/SUM(AvatarAbilities2Scenario0[takes]),0)</f>
        <v>0.44047619047619047</v>
      </c>
      <c r="O8" s="12">
        <f>IF(AvatarAbilities2Scenario0[[#This Row],[takes]]&gt;0,AvatarAbilities2Scenario0[[#This Row],[wins]]/AvatarAbilities2Scenario0[[#This Row],[takes]],0)</f>
        <v>0.72972972972972971</v>
      </c>
      <c r="S8" s="18"/>
      <c r="U8" t="s">
        <v>178</v>
      </c>
      <c r="V8" s="16">
        <f>SUM(AvatarAbilities4[takes])/SUM(AvatarAbilities1[takes])</f>
        <v>0.39220779220779223</v>
      </c>
    </row>
    <row r="9" spans="1:22" x14ac:dyDescent="0.25">
      <c r="A9" t="s">
        <v>136</v>
      </c>
      <c r="B9" s="2">
        <f t="shared" ref="B9:B10" si="4">L9+L30+L51+L72+L93+L114</f>
        <v>122</v>
      </c>
      <c r="C9" s="2">
        <f t="shared" ref="C9:C10" si="5">M9+M30+M51+M72+M93+M114</f>
        <v>42</v>
      </c>
      <c r="D9" s="3">
        <f>IF(SUM(AvatarAbilities2[[#This Row],[takes]]) &gt; 0,AvatarAbilities2[[#This Row],[takes]]/SUM(AvatarAbilities2[takes]),0)</f>
        <v>0.35988200589970504</v>
      </c>
      <c r="E9" s="3">
        <f>IF(AvatarAbilities2[[#This Row],[takes]]&gt;0,AvatarAbilities2[[#This Row],[wins]]/AvatarAbilities2[[#This Row],[takes]],0)</f>
        <v>0.34426229508196721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23</v>
      </c>
      <c r="M9" s="2">
        <f>COUNTIF(Scenario0[winner1-ability2],AvatarAbilities2Scenario0[[#This Row],[ability]])+COUNTIF(Scenario0[winner2-ability2],AvatarAbilities2Scenario0[[#This Row],[ability]])</f>
        <v>6</v>
      </c>
      <c r="N9" s="3">
        <f>IF(SUM(AvatarAbilities2Scenario0[[#This Row],[takes]]) &gt; 0,AvatarAbilities2Scenario0[[#This Row],[takes]]/SUM(AvatarAbilities2Scenario0[takes]),0)</f>
        <v>0.27380952380952384</v>
      </c>
      <c r="O9" s="3">
        <f>IF(AvatarAbilities2Scenario0[[#This Row],[takes]]&gt;0,AvatarAbilities2Scenario0[[#This Row],[wins]]/AvatarAbilities2Scenario0[[#This Row],[takes]],0)</f>
        <v>0.2608695652173913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2.8857142857142857</v>
      </c>
    </row>
    <row r="10" spans="1:22" x14ac:dyDescent="0.25">
      <c r="A10" s="10" t="s">
        <v>99</v>
      </c>
      <c r="B10" s="2">
        <f t="shared" si="4"/>
        <v>91</v>
      </c>
      <c r="C10" s="2">
        <f t="shared" si="5"/>
        <v>56</v>
      </c>
      <c r="D10" s="13">
        <f>IF(SUM(AvatarAbilities2[[#This Row],[takes]]) &gt; 0,AvatarAbilities2[[#This Row],[takes]]/SUM(AvatarAbilities2[takes]),0)</f>
        <v>0.26843657817109146</v>
      </c>
      <c r="E10" s="13">
        <f>IF(AvatarAbilities2[[#This Row],[takes]]&gt;0,AvatarAbilities2[[#This Row],[wins]]/AvatarAbilities2[[#This Row],[takes]],0)</f>
        <v>0.61538461538461542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24</v>
      </c>
      <c r="M10" s="2">
        <f>COUNTIF(Scenario0[winner1-ability2],AvatarAbilities2Scenario0[[#This Row],[ability]])+COUNTIF(Scenario0[winner2-ability2],AvatarAbilities2Scenario0[[#This Row],[ability]])</f>
        <v>16</v>
      </c>
      <c r="N10" s="13">
        <f>IF(SUM(AvatarAbilities2Scenario0[[#This Row],[takes]]) &gt; 0,AvatarAbilities2Scenario0[[#This Row],[takes]]/SUM(AvatarAbilities2Scenario0[takes]),0)</f>
        <v>0.2857142857142857</v>
      </c>
      <c r="O10" s="13">
        <f>IF(AvatarAbilities2Scenario0[[#This Row],[takes]]&gt;0,AvatarAbilities2Scenario0[[#This Row],[wins]]/AvatarAbilities2Scenario0[[#This Row],[takes]],0)</f>
        <v>0.66666666666666663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73</v>
      </c>
      <c r="C13" s="1">
        <f>M13+M34+M55+M76+M97+M118</f>
        <v>39</v>
      </c>
      <c r="D13" s="14">
        <f>IF(SUM(AvatarAbilities3[[#This Row],[takes]]) &gt; 0,AvatarAbilities3[[#This Row],[takes]]/SUM(AvatarAbilities3[takes]),0)</f>
        <v>0.31465517241379309</v>
      </c>
      <c r="E13" s="14">
        <f>IF(AvatarAbilities3[[#This Row],[takes]]&gt;0,AvatarAbilities3[[#This Row],[wins]]/AvatarAbilities3[[#This Row],[takes]],0)</f>
        <v>0.53424657534246578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7</v>
      </c>
      <c r="M13" s="1">
        <f>COUNTIF(Scenario0[winner1-ability3],AvatarAbilities3Scenario0[[#This Row],[ability]])+COUNTIF(Scenario0[winner2-ability3],AvatarAbilities3Scenario0[[#This Row],[ability]])</f>
        <v>5</v>
      </c>
      <c r="N13" s="14">
        <f>IF(SUM(AvatarAbilities3Scenario0[[#This Row],[takes]]) &gt; 0,AvatarAbilities3Scenario0[[#This Row],[takes]]/SUM(AvatarAbilities3Scenario0[takes]),0)</f>
        <v>0.25925925925925924</v>
      </c>
      <c r="O13" s="14">
        <f>IF(AvatarAbilities3Scenario0[[#This Row],[takes]]&gt;0,AvatarAbilities3Scenario0[[#This Row],[wins]]/AvatarAbilities3Scenario0[[#This Row],[takes]],0)</f>
        <v>0.7142857142857143</v>
      </c>
      <c r="S13" s="18"/>
    </row>
    <row r="14" spans="1:22" x14ac:dyDescent="0.25">
      <c r="A14" s="2" t="s">
        <v>100</v>
      </c>
      <c r="B14" s="2">
        <f t="shared" ref="B14:B15" si="6">L14+L35+L56+L77+L98+L119</f>
        <v>90</v>
      </c>
      <c r="C14" s="2">
        <f t="shared" ref="C14:C15" si="7">M14+M35+M56+M77+M98+M119</f>
        <v>39</v>
      </c>
      <c r="D14" s="12">
        <f>IF(SUM(AvatarAbilities3[[#This Row],[takes]]) &gt; 0,AvatarAbilities3[[#This Row],[takes]]/SUM(AvatarAbilities3[takes]),0)</f>
        <v>0.38793103448275862</v>
      </c>
      <c r="E14" s="12">
        <f>IF(AvatarAbilities3[[#This Row],[takes]]&gt;0,AvatarAbilities3[[#This Row],[wins]]/AvatarAbilities3[[#This Row],[takes]],0)</f>
        <v>0.43333333333333335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10</v>
      </c>
      <c r="M14" s="2">
        <f>COUNTIF(Scenario0[winner1-ability3],AvatarAbilities3Scenario0[[#This Row],[ability]])+COUNTIF(Scenario0[winner2-ability3],AvatarAbilities3Scenario0[[#This Row],[ability]])</f>
        <v>7</v>
      </c>
      <c r="N14" s="12">
        <f>IF(SUM(AvatarAbilities3Scenario0[[#This Row],[takes]]) &gt; 0,AvatarAbilities3Scenario0[[#This Row],[takes]]/SUM(AvatarAbilities3Scenario0[takes]),0)</f>
        <v>0.37037037037037035</v>
      </c>
      <c r="O14" s="12">
        <f>IF(AvatarAbilities3Scenario0[[#This Row],[takes]]&gt;0,AvatarAbilities3Scenario0[[#This Row],[wins]]/AvatarAbilities3Scenario0[[#This Row],[takes]],0)</f>
        <v>0.7</v>
      </c>
      <c r="S14" s="18"/>
    </row>
    <row r="15" spans="1:22" x14ac:dyDescent="0.25">
      <c r="A15" s="11" t="s">
        <v>75</v>
      </c>
      <c r="B15" s="1">
        <f t="shared" si="6"/>
        <v>69</v>
      </c>
      <c r="C15" s="1">
        <f t="shared" si="7"/>
        <v>39</v>
      </c>
      <c r="D15" s="15">
        <f>IF(SUM(AvatarAbilities3[[#This Row],[takes]]) &gt; 0,AvatarAbilities3[[#This Row],[takes]]/SUM(AvatarAbilities3[takes]),0)</f>
        <v>0.29741379310344829</v>
      </c>
      <c r="E15" s="15">
        <f>IF(AvatarAbilities3[[#This Row],[takes]]&gt;0,AvatarAbilities3[[#This Row],[wins]]/AvatarAbilities3[[#This Row],[takes]],0)</f>
        <v>0.56521739130434778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10</v>
      </c>
      <c r="M15" s="1">
        <f>COUNTIF(Scenario0[winner1-ability3],AvatarAbilities3Scenario0[[#This Row],[ability]])+COUNTIF(Scenario0[winner2-ability3],AvatarAbilities3Scenario0[[#This Row],[ability]])</f>
        <v>9</v>
      </c>
      <c r="N15" s="15">
        <f>IF(SUM(AvatarAbilities3Scenario0[[#This Row],[takes]]) &gt; 0,AvatarAbilities3Scenario0[[#This Row],[takes]]/SUM(AvatarAbilities3Scenario0[takes]),0)</f>
        <v>0.37037037037037035</v>
      </c>
      <c r="O15" s="15">
        <f>IF(AvatarAbilities3Scenario0[[#This Row],[takes]]&gt;0,AvatarAbilities3Scenario0[[#This Row],[wins]]/AvatarAbilities3Scenario0[[#This Row],[takes]],0)</f>
        <v>0.9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31</v>
      </c>
      <c r="C18" s="2">
        <f>M18+M39+M60+M81+M102+M123</f>
        <v>20</v>
      </c>
      <c r="D18" s="12">
        <f>IF(SUM(AvatarAbilities4[[#This Row],[takes]]) &gt; 0,AvatarAbilities4[[#This Row],[takes]]/SUM(AvatarAbilities4[takes]),0)</f>
        <v>0.20529801324503311</v>
      </c>
      <c r="E18" s="12">
        <f>IF(AvatarAbilities4[[#This Row],[takes]]&gt;0,AvatarAbilities4[[#This Row],[wins]]/AvatarAbilities4[[#This Row],[takes]],0)</f>
        <v>0.64516129032258063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5</v>
      </c>
      <c r="N18" s="12">
        <f>IF(SUM(AvatarAbilities4Scenario0[[#This Row],[takes]]) &gt; 0,AvatarAbilities4Scenario0[[#This Row],[takes]]/SUM(AvatarAbilities4Scenario0[takes]),0)</f>
        <v>0.5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57</v>
      </c>
      <c r="C19" s="2">
        <f t="shared" ref="C19:C20" si="9">M19+M40+M61+M82+M103+M124</f>
        <v>20</v>
      </c>
      <c r="D19" s="12">
        <f>IF(SUM(AvatarAbilities4[[#This Row],[takes]]) &gt; 0,AvatarAbilities4[[#This Row],[takes]]/SUM(AvatarAbilities4[takes]),0)</f>
        <v>0.37748344370860926</v>
      </c>
      <c r="E19" s="12">
        <f>IF(AvatarAbilities4[[#This Row],[takes]]&gt;0,AvatarAbilities4[[#This Row],[wins]]/AvatarAbilities4[[#This Row],[takes]],0)</f>
        <v>0.35087719298245612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9" s="2">
        <f>COUNTIF(Scenario0[winner1-ability4],AvatarAbilities4Scenario0[[#This Row],[ability]])+COUNTIF(Scenario0[winner2-ability4],AvatarAbilities4Scenario0[[#This Row],[ability]])</f>
        <v>2</v>
      </c>
      <c r="N19" s="12">
        <f>IF(SUM(AvatarAbilities4Scenario0[[#This Row],[takes]]) &gt; 0,AvatarAbilities4Scenario0[[#This Row],[takes]]/SUM(AvatarAbilities4Scenario0[takes]),0)</f>
        <v>0.3</v>
      </c>
      <c r="O19" s="12">
        <f>IF(AvatarAbilities4Scenario0[[#This Row],[takes]]&gt;0,AvatarAbilities4Scenario0[[#This Row],[wins]]/AvatarAbilities4Scenario0[[#This Row],[takes]],0)</f>
        <v>0.66666666666666663</v>
      </c>
      <c r="S19" s="18"/>
    </row>
    <row r="20" spans="1:20" ht="15.75" thickBot="1" x14ac:dyDescent="0.3">
      <c r="A20" s="10" t="s">
        <v>139</v>
      </c>
      <c r="B20" s="2">
        <f t="shared" si="8"/>
        <v>63</v>
      </c>
      <c r="C20" s="2">
        <f t="shared" si="9"/>
        <v>29</v>
      </c>
      <c r="D20" s="26">
        <f>IF(SUM(AvatarAbilities4[[#This Row],[takes]]) &gt; 0,AvatarAbilities4[[#This Row],[takes]]/SUM(AvatarAbilities4[takes]),0)</f>
        <v>0.41721854304635764</v>
      </c>
      <c r="E20" s="26">
        <f>IF(AvatarAbilities4[[#This Row],[takes]]&gt;0,AvatarAbilities4[[#This Row],[wins]]/AvatarAbilities4[[#This Row],[takes]],0)</f>
        <v>0.46031746031746029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20" s="25">
        <f>COUNTIF(Scenario0[winner1-ability4],AvatarAbilities4Scenario0[[#This Row],[ability]])+COUNTIF(Scenario0[winner2-ability4],AvatarAbilities4Scenario0[[#This Row],[ability]])</f>
        <v>1</v>
      </c>
      <c r="N20" s="26">
        <f>IF(SUM(AvatarAbilities4Scenario0[[#This Row],[takes]]) &gt; 0,AvatarAbilities4Scenario0[[#This Row],[takes]]/SUM(AvatarAbilities4Scenario0[takes]),0)</f>
        <v>0.2</v>
      </c>
      <c r="O20" s="26">
        <f>IF(AvatarAbilities4Scenario0[[#This Row],[takes]]&gt;0,AvatarAbilities4Scenario0[[#This Row],[wins]]/AvatarAbilities4Scenario0[[#This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9.5238095238095247E-3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43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88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14</v>
      </c>
      <c r="M25">
        <f>COUNTIF(Scenario1[winner1-ability1],AvatarAbilities1Scenario1[[#This Row],[ability]])+COUNTIF(Scenario1[winner2-ability1],AvatarAbilities1Scenario1[[#This Row],[ability]])</f>
        <v>12</v>
      </c>
      <c r="N25" s="3">
        <f>IF(SUM(AvatarAbilities1Scenario1[[#This Row],[takes]]) &gt; 0,AvatarAbilities1Scenario1[[#This Row],[takes]]/SUM(AvatarAbilities1Scenario1[takes]),0)</f>
        <v>0.13333333333333333</v>
      </c>
      <c r="O25" s="3">
        <f>IF(AvatarAbilities1Scenario1[[#This Row],[takes]]&gt;0,AvatarAbilities1Scenario1[[#This Row],[wins]]/AvatarAbilities1Scenario1[[#This Row],[takes]],0)</f>
        <v>0.8571428571428571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38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13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90</v>
      </c>
      <c r="M26">
        <f>COUNTIF(Scenario1[winner1-ability1],AvatarAbilities1Scenario1[[#This Row],[ability]])+COUNTIF(Scenario1[winner2-ability1],AvatarAbilities1Scenario1[[#This Row],[ability]])</f>
        <v>43</v>
      </c>
      <c r="N26" s="3">
        <f>IF(SUM(AvatarAbilities1Scenario1[[#This Row],[takes]]) &gt; 0,AvatarAbilities1Scenario1[[#This Row],[takes]]/SUM(AvatarAbilities1Scenario1[takes]),0)</f>
        <v>0.8571428571428571</v>
      </c>
      <c r="O26" s="3">
        <f>IF(AvatarAbilities1Scenario1[[#This Row],[takes]]&gt;0,AvatarAbilities1Scenario1[[#This Row],[wins]]/AvatarAbilities1Scenario1[[#This Row],[takes]],0)</f>
        <v>0.4777777777777778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24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33</v>
      </c>
      <c r="M29" s="2">
        <f>COUNTIF(Scenario1[winner1-ability2],AvatarAbilities2Scenario1[[#This Row],[ability]])+COUNTIF(Scenario1[winner2-ability2],AvatarAbilities2Scenario1[[#This Row],[ability]])</f>
        <v>18</v>
      </c>
      <c r="N29" s="12">
        <f>IF(SUM(AvatarAbilities2Scenario1[[#This Row],[takes]]) &gt; 0,AvatarAbilities2Scenario1[[#This Row],[takes]]/SUM(AvatarAbilities2Scenario1[takes]),0)</f>
        <v>0.34020618556701032</v>
      </c>
      <c r="O29" s="12">
        <f>IF(AvatarAbilities2Scenario1[[#This Row],[takes]]&gt;0,AvatarAbilities2Scenario1[[#This Row],[wins]]/AvatarAbilities2Scenario1[[#This Row],[takes]],0)</f>
        <v>0.54545454545454541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24</v>
      </c>
      <c r="M30" s="2">
        <f>COUNTIF(Scenario1[winner1-ability2],AvatarAbilities2Scenario1[[#This Row],[ability]])+COUNTIF(Scenario1[winner2-ability2],AvatarAbilities2Scenario1[[#This Row],[ability]])</f>
        <v>9</v>
      </c>
      <c r="N30" s="3">
        <f>IF(SUM(AvatarAbilities2Scenario1[[#This Row],[takes]]) &gt; 0,AvatarAbilities2Scenario1[[#This Row],[takes]]/SUM(AvatarAbilities2Scenario1[takes]),0)</f>
        <v>0.24742268041237114</v>
      </c>
      <c r="O30" s="3">
        <f>IF(AvatarAbilities2Scenario1[[#This Row],[takes]]&gt;0,AvatarAbilities2Scenario1[[#This Row],[wins]]/AvatarAbilities2Scenario1[[#This Row],[takes]],0)</f>
        <v>0.375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40</v>
      </c>
      <c r="M31" s="2">
        <f>COUNTIF(Scenario1[winner1-ability2],AvatarAbilities2Scenario1[[#This Row],[ability]])+COUNTIF(Scenario1[winner2-ability2],AvatarAbilities2Scenario1[[#This Row],[ability]])</f>
        <v>26</v>
      </c>
      <c r="N31" s="13">
        <f>IF(SUM(AvatarAbilities2Scenario1[[#This Row],[takes]]) &gt; 0,AvatarAbilities2Scenario1[[#This Row],[takes]]/SUM(AvatarAbilities2Scenario1[takes]),0)</f>
        <v>0.41237113402061853</v>
      </c>
      <c r="O31" s="13">
        <f>IF(AvatarAbilities2Scenario1[[#This Row],[takes]]&gt;0,AvatarAbilities2Scenario1[[#This Row],[wins]]/AvatarAbilities2Scenario1[[#This Row],[takes]],0)</f>
        <v>0.65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15</v>
      </c>
      <c r="M34" s="1">
        <f>COUNTIF(Scenario1[winner1-ability3],AvatarAbilities3Scenario1[[#This Row],[ability]])+COUNTIF(Scenario1[winner2-ability3],AvatarAbilities3Scenario1[[#This Row],[ability]])</f>
        <v>7</v>
      </c>
      <c r="N34" s="14">
        <f>IF(SUM(AvatarAbilities3Scenario1[[#This Row],[takes]]) &gt; 0,AvatarAbilities3Scenario1[[#This Row],[takes]]/SUM(AvatarAbilities3Scenario1[takes]),0)</f>
        <v>0.20833333333333334</v>
      </c>
      <c r="O34" s="14">
        <f>IF(AvatarAbilities3Scenario1[[#This Row],[takes]]&gt;0,AvatarAbilities3Scenario1[[#This Row],[wins]]/AvatarAbilities3Scenario1[[#This Row],[takes]],0)</f>
        <v>0.46666666666666667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36</v>
      </c>
      <c r="M35" s="2">
        <f>COUNTIF(Scenario1[winner1-ability3],AvatarAbilities3Scenario1[[#This Row],[ability]])+COUNTIF(Scenario1[winner2-ability3],AvatarAbilities3Scenario1[[#This Row],[ability]])</f>
        <v>21</v>
      </c>
      <c r="N35" s="12">
        <f>IF(SUM(AvatarAbilities3Scenario1[[#This Row],[takes]]) &gt; 0,AvatarAbilities3Scenario1[[#This Row],[takes]]/SUM(AvatarAbilities3Scenario1[takes]),0)</f>
        <v>0.5</v>
      </c>
      <c r="O35" s="12">
        <f>IF(AvatarAbilities3Scenario1[[#This Row],[takes]]&gt;0,AvatarAbilities3Scenario1[[#This Row],[wins]]/AvatarAbilities3Scenario1[[#This Row],[takes]],0)</f>
        <v>0.58333333333333337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21</v>
      </c>
      <c r="M36" s="1">
        <f>COUNTIF(Scenario1[winner1-ability3],AvatarAbilities3Scenario1[[#This Row],[ability]])+COUNTIF(Scenario1[winner2-ability3],AvatarAbilities3Scenario1[[#This Row],[ability]])</f>
        <v>13</v>
      </c>
      <c r="N36" s="15">
        <f>IF(SUM(AvatarAbilities3Scenario1[[#This Row],[takes]]) &gt; 0,AvatarAbilities3Scenario1[[#This Row],[takes]]/SUM(AvatarAbilities3Scenario1[takes]),0)</f>
        <v>0.29166666666666669</v>
      </c>
      <c r="O36" s="15">
        <f>IF(AvatarAbilities3Scenario1[[#This Row],[takes]]&gt;0,AvatarAbilities3Scenario1[[#This Row],[wins]]/AvatarAbilities3Scenario1[[#This Row],[takes]],0)</f>
        <v>0.61904761904761907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39" s="2">
        <f>COUNTIF(Scenario1[winner1-ability4],AvatarAbilities4Scenario1[[#This Row],[ability]])+COUNTIF(Scenario1[winner2-ability4],AvatarAbilities4Scenario1[[#This Row],[ability]])</f>
        <v>4</v>
      </c>
      <c r="N39" s="12">
        <f>IF(SUM(AvatarAbilities4Scenario1[[#This Row],[takes]]) &gt; 0,AvatarAbilities4Scenario1[[#This Row],[takes]]/SUM(AvatarAbilities4Scenario1[takes]),0)</f>
        <v>8.6956521739130432E-2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32</v>
      </c>
      <c r="M40" s="2">
        <f>COUNTIF(Scenario1[winner1-ability4],AvatarAbilities4Scenario1[[#This Row],[ability]])+COUNTIF(Scenario1[winner2-ability4],AvatarAbilities4Scenario1[[#This Row],[ability]])</f>
        <v>14</v>
      </c>
      <c r="N40" s="12">
        <f>IF(SUM(AvatarAbilities4Scenario1[[#This Row],[takes]]) &gt; 0,AvatarAbilities4Scenario1[[#This Row],[takes]]/SUM(AvatarAbilities4Scenario1[takes]),0)</f>
        <v>0.69565217391304346</v>
      </c>
      <c r="O40" s="12">
        <f>IF(AvatarAbilities4Scenario1[[#This Row],[takes]]&gt;0,AvatarAbilities4Scenario1[[#This Row],[wins]]/AvatarAbilities4Scenario1[[#This Row],[takes]],0)</f>
        <v>0.4375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10</v>
      </c>
      <c r="M41" s="25">
        <f>COUNTIF(Scenario1[winner1-ability4],AvatarAbilities4Scenario1[[#This Row],[ability]])+COUNTIF(Scenario1[winner2-ability4],AvatarAbilities4Scenario1[[#This Row],[ability]])</f>
        <v>7</v>
      </c>
      <c r="N41" s="26">
        <f>IF(SUM(AvatarAbilities4Scenario1[[#This Row],[takes]]) &gt; 0,AvatarAbilities4Scenario1[[#This Row],[takes]]/SUM(AvatarAbilities4Scenario1[takes]),0)</f>
        <v>0.21739130434782608</v>
      </c>
      <c r="O41" s="26">
        <f>IF(AvatarAbilities4Scenario1[[#This Row],[takes]]&gt;0,AvatarAbilities4Scenario1[[#This Row],[wins]]/AvatarAbilities4Scenario1[[#This Row],[takes]],0)</f>
        <v>0.7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0</v>
      </c>
      <c r="S45" s="18">
        <f>COUNTIFS(Scenario2[winner1],"avatar",Scenario2[winner1-cp],AvatarEquipScenario2[[#This Row],[level]])+COUNTIFS(Scenario2[loser1],"avatar",Scenario2[loser1-cp],AvatarEquipScenario2[[#This Row],[level]])</f>
        <v>8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14</v>
      </c>
      <c r="M46">
        <f>COUNTIF(Scenario2[winner1-ability1],AvatarAbilities1Scenario2[[#This Row],[ability]])</f>
        <v>6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0.42857142857142855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5</v>
      </c>
      <c r="S46" s="18">
        <f>COUNTIFS(Scenario2[winner1],"avatar",Scenario2[winner1-cp],AvatarEquipScenario2[[#This Row],[level]])+COUNTIFS(Scenario2[loser1],"avatar",Scenario2[loser1-cp],AvatarEquipScenario2[[#This Row],[level]])</f>
        <v>2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9</v>
      </c>
      <c r="S47" s="18">
        <f>COUNTIFS(Scenario2[winner1],"avatar",Scenario2[winner1-cp],AvatarEquipScenario2[[#This Row],[level]])+COUNTIFS(Scenario2[loser1],"avatar",Scenario2[loser1-cp],AvatarEquipScenario2[[#This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7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0.58333333333333337</v>
      </c>
      <c r="O50" s="12">
        <f>IF(AvatarAbilities2Scenario2[[#This Row],[takes]]&gt;0,AvatarAbilities2Scenario2[[#This Row],[wins]]/AvatarAbilities2Scenario2[[#This Row],[takes]],0)</f>
        <v>0.14285714285714285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0.33333333333333331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8.3333333333333329E-2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0.875</v>
      </c>
      <c r="O55" s="14">
        <f>IF(AvatarAbilities3Scenario2[[#This Row],[takes]]&gt;0,AvatarAbilities3Scenario2[[#This Row],[wins]]/AvatarAbilities3Scenario2[[#This Row],[takes]],0)</f>
        <v>0.42857142857142855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0.125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1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0.25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0.75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7">
        <f>COUNTIF(Scenario3[winner1-ability1],AvatarAbilities1Scenario3[[#This Row],[ability]])</f>
        <v>3</v>
      </c>
      <c r="N67" s="3">
        <f>IF(SUM(AvatarAbilities1Scenario3[[#This Row],[takes]]) &gt; 0,AvatarAbilities1Scenario3[[#This Row],[takes]]/SUM(AvatarAbilities1Scenario3[takes]),0)</f>
        <v>0.76190476190476186</v>
      </c>
      <c r="O67" s="3">
        <f>IF(AvatarAbilities1Scenario3[[#This Row],[takes]]&gt;0,AvatarAbilities1Scenario3[[#This Row],[wins]]/AvatarAbilities1Scenario3[[#This Row],[takes]],0)</f>
        <v>0.1875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4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5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0.23809523809523808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17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9</v>
      </c>
      <c r="M71" s="2">
        <f>COUNTIF(Scenario3[winner1-ability2],AvatarAbilities2Scenario3[[#This Row],[ability]])</f>
        <v>2</v>
      </c>
      <c r="N71" s="12">
        <f>IF(SUM(AvatarAbilities2Scenario3[[#This Row],[takes]]) &gt; 0,AvatarAbilities2Scenario3[[#This Row],[takes]]/SUM(AvatarAbilities2Scenario3[takes]),0)</f>
        <v>0.45</v>
      </c>
      <c r="O71" s="12">
        <f>IF(AvatarAbilities2Scenario3[[#This Row],[takes]]&gt;0,AvatarAbilities2Scenario3[[#This Row],[wins]]/AvatarAbilities2Scenario3[[#This Row],[takes]],0)</f>
        <v>0.22222222222222221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10</v>
      </c>
      <c r="M72" s="2">
        <f>COUNTIF(Scenario3[winner1-ability2],AvatarAbilities2Scenario3[[#This Row],[ability]])</f>
        <v>1</v>
      </c>
      <c r="N72" s="3">
        <f>IF(SUM(AvatarAbilities2Scenario3[[#This Row],[takes]]) &gt; 0,AvatarAbilities2Scenario3[[#This Row],[takes]]/SUM(AvatarAbilities2Scenario3[takes]),0)</f>
        <v>0.5</v>
      </c>
      <c r="O72" s="3">
        <f>IF(AvatarAbilities2Scenario3[[#This Row],[takes]]&gt;0,AvatarAbilities2Scenario3[[#This Row],[wins]]/AvatarAbilities2Scenario3[[#This Row],[takes]],0)</f>
        <v>0.1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0.05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7</v>
      </c>
      <c r="M76" s="1">
        <f>COUNTIF(Scenario3[winner1-ability3],AvatarAbilities3Scenario3[[#This Row],[ability]])</f>
        <v>2</v>
      </c>
      <c r="N76" s="14">
        <f>IF(SUM(AvatarAbilities3Scenario3[[#This Row],[takes]]) &gt; 0,AvatarAbilities3Scenario3[[#This Row],[takes]]/SUM(AvatarAbilities3Scenario3[takes]),0)</f>
        <v>0.36842105263157893</v>
      </c>
      <c r="O76" s="14">
        <f>IF(AvatarAbilities3Scenario3[[#This Row],[takes]]&gt;0,AvatarAbilities3Scenario3[[#This Row],[wins]]/AvatarAbilities3Scenario3[[#This Row],[takes]],0)</f>
        <v>0.2857142857142857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9</v>
      </c>
      <c r="M77" s="2">
        <f>COUNTIF(Scenario3[winner1-ability3],AvatarAbilities3Scenario3[[#This Row],[ability]])</f>
        <v>1</v>
      </c>
      <c r="N77" s="12">
        <f>IF(SUM(AvatarAbilities3Scenario3[[#This Row],[takes]]) &gt; 0,AvatarAbilities3Scenario3[[#This Row],[takes]]/SUM(AvatarAbilities3Scenario3[takes]),0)</f>
        <v>0.47368421052631576</v>
      </c>
      <c r="O77" s="12">
        <f>IF(AvatarAbilities3Scenario3[[#This Row],[takes]]&gt;0,AvatarAbilities3Scenario3[[#This Row],[wins]]/AvatarAbilities3Scenario3[[#This Row],[takes]],0)</f>
        <v>0.1111111111111111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0.15789473684210525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4</v>
      </c>
      <c r="M81" s="2">
        <f>COUNTIF(Scenario3[winner1-ability4],AvatarAbilities4Scenario3[[#This Row],[ability]])</f>
        <v>2</v>
      </c>
      <c r="N81" s="12">
        <f>IF(SUM(AvatarAbilities4Scenario3[[#This Row],[takes]]) &gt; 0,AvatarAbilities4Scenario3[[#This Row],[takes]]/SUM(AvatarAbilities4Scenario3[takes]),0)</f>
        <v>0.25</v>
      </c>
      <c r="O81" s="12">
        <f>IF(AvatarAbilities4Scenario3[[#This Row],[takes]]&gt;0,AvatarAbilities4Scenario3[[#This Row],[wins]]/AvatarAbilities4Scenario3[[#This Row],[takes]],0)</f>
        <v>0.5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4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0.25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0.5</v>
      </c>
      <c r="O83" s="26">
        <f>IF(AvatarAbilities4Scenario3[[#This Row],[takes]]&gt;0,AvatarAbilities4Scenario3[[#This Row],[wins]]/AvatarAbilities4Scenario3[[#This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0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7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15</v>
      </c>
      <c r="M88">
        <f>COUNTIF(Scenario4[winner1-ability1],AvatarAbilities1Scenario4[[#This Row],[ability]])</f>
        <v>3</v>
      </c>
      <c r="N88" s="3">
        <f>IF(SUM(AvatarAbilities1Scenario4[[#This Row],[takes]]) &gt; 0,AvatarAbilities1Scenario4[[#This Row],[takes]]/SUM(AvatarAbilities1Scenario4[takes]),0)</f>
        <v>0.42857142857142855</v>
      </c>
      <c r="O88" s="3">
        <f>IF(AvatarAbilities1Scenario4[[#This Row],[takes]]&gt;0,AvatarAbilities1Scenario4[[#This Row],[wins]]/AvatarAbilities1Scenario4[[#This Row],[takes]],0)</f>
        <v>0.2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20</v>
      </c>
      <c r="M89">
        <f>COUNTIF(Scenario4[winner1-ability1],AvatarAbilities1Scenario4[[#This Row],[ability]])</f>
        <v>5</v>
      </c>
      <c r="N89" s="3">
        <f>IF(SUM(AvatarAbilities1Scenario4[[#This Row],[takes]]) &gt; 0,AvatarAbilities1Scenario4[[#This Row],[takes]]/SUM(AvatarAbilities1Scenario4[takes]),0)</f>
        <v>0.5714285714285714</v>
      </c>
      <c r="O89" s="3">
        <f>IF(AvatarAbilities1Scenario4[[#This Row],[takes]]&gt;0,AvatarAbilities1Scenario4[[#This Row],[wins]]/AvatarAbilities1Scenario4[[#This Row],[takes]],0)</f>
        <v>0.25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29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14</v>
      </c>
      <c r="M92" s="2">
        <f>COUNTIF(Scenario4[winner1-ability2],AvatarAbilities2Scenario4[[#This Row],[ability]])</f>
        <v>3</v>
      </c>
      <c r="N92" s="12">
        <f>IF(SUM(AvatarAbilities2Scenario4[[#This Row],[takes]]) &gt; 0,AvatarAbilities2Scenario4[[#This Row],[takes]]/SUM(AvatarAbilities2Scenario4[takes]),0)</f>
        <v>0.4</v>
      </c>
      <c r="O92" s="12">
        <f>IF(AvatarAbilities2Scenario4[[#This Row],[takes]]&gt;0,AvatarAbilities2Scenario4[[#This Row],[wins]]/AvatarAbilities2Scenario4[[#This Row],[takes]],0)</f>
        <v>0.21428571428571427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19</v>
      </c>
      <c r="M93" s="2">
        <f>COUNTIF(Scenario4[winner1-ability2],AvatarAbilities2Scenario4[[#This Row],[ability]])</f>
        <v>4</v>
      </c>
      <c r="N93" s="3">
        <f>IF(SUM(AvatarAbilities2Scenario4[[#This Row],[takes]]) &gt; 0,AvatarAbilities2Scenario4[[#This Row],[takes]]/SUM(AvatarAbilities2Scenario4[takes]),0)</f>
        <v>0.54285714285714282</v>
      </c>
      <c r="O93" s="3">
        <f>IF(AvatarAbilities2Scenario4[[#This Row],[takes]]&gt;0,AvatarAbilities2Scenario4[[#This Row],[wins]]/AvatarAbilities2Scenario4[[#This Row],[takes]],0)</f>
        <v>0.21052631578947367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</v>
      </c>
      <c r="M94" s="2">
        <f>COUNTIF(Scenario4[winner1-ability2],AvatarAbilities2Scenario4[[#This Row],[ability]])</f>
        <v>1</v>
      </c>
      <c r="N94" s="13">
        <f>IF(SUM(AvatarAbilities2Scenario4[[#This Row],[takes]]) &gt; 0,AvatarAbilities2Scenario4[[#This Row],[takes]]/SUM(AvatarAbilities2Scenario4[takes]),0)</f>
        <v>5.7142857142857141E-2</v>
      </c>
      <c r="O94" s="13">
        <f>IF(AvatarAbilities2Scenario4[[#This Row],[takes]]&gt;0,AvatarAbilities2Scenario4[[#This Row],[wins]]/AvatarAbilities2Scenario4[[#This Row],[takes]],0)</f>
        <v>0.5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6</v>
      </c>
      <c r="M97" s="1">
        <f>COUNTIF(Scenario4[winner1-ability3],AvatarAbilities3Scenario4[[#This Row],[ability]])</f>
        <v>3</v>
      </c>
      <c r="N97" s="14">
        <f>IF(SUM(AvatarAbilities3Scenario4[[#This Row],[takes]]) &gt; 0,AvatarAbilities3Scenario4[[#This Row],[takes]]/SUM(AvatarAbilities3Scenario4[takes]),0)</f>
        <v>0.19354838709677419</v>
      </c>
      <c r="O97" s="14">
        <f>IF(AvatarAbilities3Scenario4[[#This Row],[takes]]&gt;0,AvatarAbilities3Scenario4[[#This Row],[wins]]/AvatarAbilities3Scenario4[[#This Row],[takes]],0)</f>
        <v>0.5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21</v>
      </c>
      <c r="M98" s="2">
        <f>COUNTIF(Scenario4[winner1-ability3],AvatarAbilities3Scenario4[[#This Row],[ability]])</f>
        <v>3</v>
      </c>
      <c r="N98" s="12">
        <f>IF(SUM(AvatarAbilities3Scenario4[[#This Row],[takes]]) &gt; 0,AvatarAbilities3Scenario4[[#This Row],[takes]]/SUM(AvatarAbilities3Scenario4[takes]),0)</f>
        <v>0.67741935483870963</v>
      </c>
      <c r="O98" s="12">
        <f>IF(AvatarAbilities3Scenario4[[#This Row],[takes]]&gt;0,AvatarAbilities3Scenario4[[#This Row],[wins]]/AvatarAbilities3Scenario4[[#This Row],[takes]],0)</f>
        <v>0.14285714285714285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4</v>
      </c>
      <c r="M99" s="1">
        <f>COUNTIF(Scenario4[winner1-ability3],AvatarAbilities3Scenario4[[#This Row],[ability]])</f>
        <v>2</v>
      </c>
      <c r="N99" s="15">
        <f>IF(SUM(AvatarAbilities3Scenario4[[#This Row],[takes]]) &gt; 0,AvatarAbilities3Scenario4[[#This Row],[takes]]/SUM(AvatarAbilities3Scenario4[takes]),0)</f>
        <v>0.12903225806451613</v>
      </c>
      <c r="O99" s="15">
        <f>IF(AvatarAbilities3Scenario4[[#This Row],[takes]]&gt;0,AvatarAbilities3Scenario4[[#This Row],[wins]]/AvatarAbilities3Scenario4[[#This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5</v>
      </c>
      <c r="M102" s="2">
        <f>COUNTIF(Scenario4[winner1-ability4],AvatarAbilities4Scenario4[[#This Row],[ability]])</f>
        <v>2</v>
      </c>
      <c r="N102" s="12">
        <f>IF(SUM(AvatarAbilities4Scenario4[[#This Row],[takes]]) &gt; 0,AvatarAbilities4Scenario4[[#This Row],[takes]]/SUM(AvatarAbilities4Scenario4[takes]),0)</f>
        <v>0.19230769230769232</v>
      </c>
      <c r="O102" s="12">
        <f>IF(AvatarAbilities4Scenario4[[#This Row],[takes]]&gt;0,AvatarAbilities4Scenario4[[#This Row],[wins]]/AvatarAbilities4Scenario4[[#This Row],[takes]],0)</f>
        <v>0.4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3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0.11538461538461539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18</v>
      </c>
      <c r="M104" s="2">
        <f>COUNTIF(Scenario4[winner1-ability4],AvatarAbilities4Scenario4[[#This Row],[ability]])</f>
        <v>4</v>
      </c>
      <c r="N104" s="26">
        <f>IF(SUM(AvatarAbilities4Scenario4[[#This Row],[takes]]) &gt; 0,AvatarAbilities4Scenario4[[#This Row],[takes]]/SUM(AvatarAbilities4Scenario4[takes]),0)</f>
        <v>0.69230769230769229</v>
      </c>
      <c r="O104" s="26">
        <f>IF(AvatarAbilities4Scenario4[[#This Row],[takes]]&gt;0,AvatarAbilities4Scenario4[[#This Row],[wins]]/AvatarAbilities4Scenario4[[#This Row],[takes]],0)</f>
        <v>0.22222222222222221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22</v>
      </c>
      <c r="M108">
        <f>COUNTIF(Scenario5[winner1-ability1],AvatarAbilities1Scenario5[[#This Row],[ability]])+COUNTIF(Scenario5[winner2-ability1],AvatarAbilities1Scenario5[[#This Row],[ability]])</f>
        <v>17</v>
      </c>
      <c r="N108" s="3">
        <f>IF(SUM(AvatarAbilities1Scenario5[[#This Row],[takes]]) &gt; 0,AvatarAbilities1Scenario5[[#This Row],[takes]]/SUM(AvatarAbilities1Scenario5[takes]),0)</f>
        <v>0.20952380952380953</v>
      </c>
      <c r="O108" s="3">
        <f>IF(AvatarAbilities1Scenario5[[#This Row],[takes]]&gt;0,AvatarAbilities1Scenario5[[#This Row],[wins]]/AvatarAbilities1Scenario5[[#This Row],[takes]],0)</f>
        <v>0.77272727272727271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33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68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50</v>
      </c>
      <c r="M109">
        <f>COUNTIF(Scenario5[winner1-ability1],AvatarAbilities1Scenario5[[#This Row],[ability]])+COUNTIF(Scenario5[winner2-ability1],AvatarAbilities1Scenario5[[#This Row],[ability]])</f>
        <v>27</v>
      </c>
      <c r="N109" s="3">
        <f>IF(SUM(AvatarAbilities1Scenario5[[#This Row],[takes]]) &gt; 0,AvatarAbilities1Scenario5[[#This Row],[takes]]/SUM(AvatarAbilities1Scenario5[takes]),0)</f>
        <v>0.47619047619047616</v>
      </c>
      <c r="O109" s="3">
        <f>IF(AvatarAbilities1Scenario5[[#This Row],[takes]]&gt;0,AvatarAbilities1Scenario5[[#This Row],[wins]]/AvatarAbilities1Scenario5[[#This Row],[takes]],0)</f>
        <v>0.54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21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13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33</v>
      </c>
      <c r="M110">
        <f>COUNTIF(Scenario5[winner1-ability1],AvatarAbilities1Scenario5[[#This Row],[ability]])+COUNTIF(Scenario5[winner2-ability1],AvatarAbilities1Scenario5[[#This Row],[ability]])</f>
        <v>11</v>
      </c>
      <c r="N110" s="3">
        <f>IF(SUM(AvatarAbilities1Scenario5[[#This Row],[takes]]) &gt; 0,AvatarAbilities1Scenario5[[#This Row],[takes]]/SUM(AvatarAbilities1Scenario5[takes]),0)</f>
        <v>0.31428571428571428</v>
      </c>
      <c r="O110" s="3">
        <f>IF(AvatarAbilities1Scenario5[[#This Row],[takes]]&gt;0,AvatarAbilities1Scenario5[[#This Row],[wins]]/AvatarAbilities1Scenario5[[#This Row],[takes]],0)</f>
        <v>0.33333333333333331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51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26</v>
      </c>
      <c r="M113" s="2">
        <f>COUNTIF(Scenario5[winner1-ability2],AvatarAbilities2Scenario5[[#This Row],[ability]])+COUNTIF(Scenario5[winner2-ability2],AvatarAbilities2Scenario5[[#This Row],[ability]])</f>
        <v>15</v>
      </c>
      <c r="N113" s="12">
        <f>IF(SUM(AvatarAbilities2Scenario5[[#This Row],[takes]]) &gt; 0,AvatarAbilities2Scenario5[[#This Row],[takes]]/SUM(AvatarAbilities2Scenario5[takes]),0)</f>
        <v>0.2857142857142857</v>
      </c>
      <c r="O113" s="12">
        <f>IF(AvatarAbilities2Scenario5[[#This Row],[takes]]&gt;0,AvatarAbilities2Scenario5[[#This Row],[wins]]/AvatarAbilities2Scenario5[[#This Row],[takes]],0)</f>
        <v>0.57692307692307687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42</v>
      </c>
      <c r="M114" s="2">
        <f>COUNTIF(Scenario5[winner1-ability2],AvatarAbilities2Scenario5[[#This Row],[ability]])+COUNTIF(Scenario5[winner2-ability2],AvatarAbilities2Scenario5[[#This Row],[ability]])</f>
        <v>20</v>
      </c>
      <c r="N114" s="3">
        <f>IF(SUM(AvatarAbilities2Scenario5[[#This Row],[takes]]) &gt; 0,AvatarAbilities2Scenario5[[#This Row],[takes]]/SUM(AvatarAbilities2Scenario5[takes]),0)</f>
        <v>0.46153846153846156</v>
      </c>
      <c r="O114" s="3">
        <f>IF(AvatarAbilities2Scenario5[[#This Row],[takes]]&gt;0,AvatarAbilities2Scenario5[[#This Row],[wins]]/AvatarAbilities2Scenario5[[#This Row],[takes]],0)</f>
        <v>0.47619047619047616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23</v>
      </c>
      <c r="M115" s="2">
        <f>COUNTIF(Scenario5[winner1-ability2],AvatarAbilities2Scenario5[[#This Row],[ability]])+COUNTIF(Scenario5[winner2-ability2],AvatarAbilities2Scenario5[[#This Row],[ability]])</f>
        <v>12</v>
      </c>
      <c r="N115" s="13">
        <f>IF(SUM(AvatarAbilities2Scenario5[[#This Row],[takes]]) &gt; 0,AvatarAbilities2Scenario5[[#This Row],[takes]]/SUM(AvatarAbilities2Scenario5[takes]),0)</f>
        <v>0.25274725274725274</v>
      </c>
      <c r="O115" s="13">
        <f>IF(AvatarAbilities2Scenario5[[#This Row],[takes]]&gt;0,AvatarAbilities2Scenario5[[#This Row],[wins]]/AvatarAbilities2Scenario5[[#This Row],[takes]],0)</f>
        <v>0.52173913043478259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31</v>
      </c>
      <c r="M118" s="1">
        <f>COUNTIF(Scenario5[winner1-ability3],AvatarAbilities3Scenario5[[#This Row],[ability]])+COUNTIF(Scenario5[winner2-ability3],AvatarAbilities3Scenario5[[#This Row],[ability]])</f>
        <v>19</v>
      </c>
      <c r="N118" s="14">
        <f>IF(SUM(AvatarAbilities3Scenario5[[#This Row],[takes]]) &gt; 0,AvatarAbilities3Scenario5[[#This Row],[takes]]/SUM(AvatarAbilities3Scenario5[takes]),0)</f>
        <v>0.41333333333333333</v>
      </c>
      <c r="O118" s="14">
        <f>IF(AvatarAbilities3Scenario5[[#This Row],[takes]]&gt;0,AvatarAbilities3Scenario5[[#This Row],[wins]]/AvatarAbilities3Scenario5[[#This Row],[takes]],0)</f>
        <v>0.61290322580645162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14</v>
      </c>
      <c r="M119" s="2">
        <f>COUNTIF(Scenario5[winner1-ability3],AvatarAbilities3Scenario5[[#This Row],[ability]])+COUNTIF(Scenario5[winner2-ability3],AvatarAbilities3Scenario5[[#This Row],[ability]])</f>
        <v>7</v>
      </c>
      <c r="N119" s="12">
        <f>IF(SUM(AvatarAbilities3Scenario5[[#This Row],[takes]]) &gt; 0,AvatarAbilities3Scenario5[[#This Row],[takes]]/SUM(AvatarAbilities3Scenario5[takes]),0)</f>
        <v>0.18666666666666668</v>
      </c>
      <c r="O119" s="12">
        <f>IF(AvatarAbilities3Scenario5[[#This Row],[takes]]&gt;0,AvatarAbilities3Scenario5[[#This Row],[wins]]/AvatarAbilities3Scenario5[[#This Row],[takes]],0)</f>
        <v>0.5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30</v>
      </c>
      <c r="M120" s="1">
        <f>COUNTIF(Scenario5[winner1-ability3],AvatarAbilities3Scenario5[[#This Row],[ability]])+COUNTIF(Scenario5[winner2-ability3],AvatarAbilities3Scenario5[[#This Row],[ability]])</f>
        <v>15</v>
      </c>
      <c r="N120" s="15">
        <f>IF(SUM(AvatarAbilities3Scenario5[[#This Row],[takes]]) &gt; 0,AvatarAbilities3Scenario5[[#This Row],[takes]]/SUM(AvatarAbilities3Scenario5[takes]),0)</f>
        <v>0.4</v>
      </c>
      <c r="O120" s="15">
        <f>IF(AvatarAbilities3Scenario5[[#This Row],[takes]]&gt;0,AvatarAbilities3Scenario5[[#This Row],[wins]]/AvatarAbilities3Scenario5[[#This Row],[takes]],0)</f>
        <v>0.5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12</v>
      </c>
      <c r="M123" s="2">
        <f>COUNTIF(Scenario5[winner1-ability4],AvatarAbilities4Scenario5[[#This Row],[ability]])+COUNTIF(Scenario5[winner2-ability4],AvatarAbilities4Scenario5[[#This Row],[ability]])</f>
        <v>7</v>
      </c>
      <c r="N123" s="12">
        <f>IF(SUM(AvatarAbilities4Scenario5[[#This Row],[takes]]) &gt; 0,AvatarAbilities4Scenario5[[#This Row],[takes]]/SUM(AvatarAbilities4Scenario5[takes]),0)</f>
        <v>0.24489795918367346</v>
      </c>
      <c r="O123" s="12">
        <f>IF(AvatarAbilities4Scenario5[[#This Row],[takes]]&gt;0,AvatarAbilities4Scenario5[[#This Row],[wins]]/AvatarAbilities4Scenario5[[#This Row],[takes]],0)</f>
        <v>0.58333333333333337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15</v>
      </c>
      <c r="M124" s="2">
        <f>COUNTIF(Scenario5[winner1-ability4],AvatarAbilities4Scenario5[[#This Row],[ability]])+COUNTIF(Scenario5[winner2-ability4],AvatarAbilities4Scenario5[[#This Row],[ability]])</f>
        <v>4</v>
      </c>
      <c r="N124" s="12">
        <f>IF(SUM(AvatarAbilities4Scenario5[[#This Row],[takes]]) &gt; 0,AvatarAbilities4Scenario5[[#This Row],[takes]]/SUM(AvatarAbilities4Scenario5[takes]),0)</f>
        <v>0.30612244897959184</v>
      </c>
      <c r="O124" s="12">
        <f>IF(AvatarAbilities4Scenario5[[#This Row],[takes]]&gt;0,AvatarAbilities4Scenario5[[#This Row],[wins]]/AvatarAbilities4Scenario5[[#This Row],[takes]],0)</f>
        <v>0.26666666666666666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22</v>
      </c>
      <c r="M125" s="2">
        <f>COUNTIF(Scenario5[winner1-ability4],AvatarAbilities4Scenario5[[#This Row],[ability]])+COUNTIF(Scenario5[winner2-ability4],AvatarAbilities4Scenario5[[#This Row],[ability]])</f>
        <v>16</v>
      </c>
      <c r="N125" s="26">
        <f>IF(SUM(AvatarAbilities4Scenario5[[#This Row],[takes]]) &gt; 0,AvatarAbilities4Scenario5[[#This Row],[takes]]/SUM(AvatarAbilities4Scenario5[takes]),0)</f>
        <v>0.44897959183673469</v>
      </c>
      <c r="O125" s="26">
        <f>IF(AvatarAbilities4Scenario5[[#This Row],[takes]]&gt;0,AvatarAbilities4Scenario5[[#This Row],[wins]]/AvatarAbilities4Scenario5[[#This Row],[takes]],0)</f>
        <v>0.72727272727272729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0.27012987012987011</v>
      </c>
    </row>
    <row r="3" spans="1:22" x14ac:dyDescent="0.25">
      <c r="A3" t="s">
        <v>47</v>
      </c>
      <c r="B3">
        <f>L3+L24+L45+L66+L87+L108</f>
        <v>124</v>
      </c>
      <c r="C3">
        <f>M3+M24+M45+M66+M87+M108</f>
        <v>62</v>
      </c>
      <c r="D3" s="3">
        <f>IF(SUM(ShadowAbilities1[[#This Row],[takes]]) &gt; 0,ShadowAbilities1[[#This Row],[takes]]/SUM(ShadowAbilities1[takes]),0)</f>
        <v>0.32207792207792207</v>
      </c>
      <c r="E3" s="3">
        <f>IF(ShadowAbilities1[[#This Row],[takes]]&gt;0,ShadowAbilities1[[#This Row],[wins]]/ShadowAbilities1[[#This Row],[takes]],0)</f>
        <v>0.5</v>
      </c>
      <c r="G3">
        <v>1</v>
      </c>
      <c r="H3">
        <f>R3+R24+R45+R66+R87+R108</f>
        <v>18</v>
      </c>
      <c r="I3" s="18">
        <f>S3+S24+S45+S66+S87+S108</f>
        <v>274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93</v>
      </c>
      <c r="M3">
        <f>COUNTIF(Scenario0[winner1-ability1],ShadowAbilities1Scenario0[[#This Row],[ability]])+COUNTIF(Scenario0[winner2-ability1],ShadowAbilities1Scenario0[[#This Row],[ability]])</f>
        <v>47</v>
      </c>
      <c r="N3" s="3">
        <f>IF(SUM(ShadowAbilities1Scenario0[[#This Row],[takes]]) &gt; 0,ShadowAbilities1Scenario0[[#This Row],[takes]]/SUM(ShadowAbilities1Scenario0[takes]),0)</f>
        <v>0.88571428571428568</v>
      </c>
      <c r="O3" s="3">
        <f>IF(ShadowAbilities1Scenario0[[#This Row],[takes]]&gt;0,ShadowAbilities1Scenario0[[#This Row],[wins]]/ShadowAbilities1Scenario0[[#This Row],[takes]],0)</f>
        <v>0.5053763440860215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11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92</v>
      </c>
      <c r="U3" t="s">
        <v>202</v>
      </c>
      <c r="V3" s="16">
        <f>H5/SUM(ShadowEquip[bow])</f>
        <v>0.68311688311688312</v>
      </c>
    </row>
    <row r="4" spans="1:22" x14ac:dyDescent="0.25">
      <c r="A4" t="s">
        <v>86</v>
      </c>
      <c r="B4">
        <f t="shared" ref="B4:B5" si="0">L4+L25+L46+L67+L88+L109</f>
        <v>149</v>
      </c>
      <c r="C4">
        <f t="shared" ref="C4:C5" si="1">M4+M25+M46+M67+M88+M109</f>
        <v>58</v>
      </c>
      <c r="D4" s="3">
        <f>IF(SUM(ShadowAbilities1[[#This Row],[takes]]) &gt; 0,ShadowAbilities1[[#This Row],[takes]]/SUM(ShadowAbilities1[takes]),0)</f>
        <v>0.38701298701298703</v>
      </c>
      <c r="E4" s="3">
        <f>IF(ShadowAbilities1[[#This Row],[takes]]&gt;0,ShadowAbilities1[[#This Row],[wins]]/ShadowAbilities1[[#This Row],[takes]],0)</f>
        <v>0.38926174496644295</v>
      </c>
      <c r="G4">
        <v>2</v>
      </c>
      <c r="H4">
        <f t="shared" ref="H4:H5" si="2">R4+R25+R46+R67+R88+R109</f>
        <v>104</v>
      </c>
      <c r="I4" s="18">
        <f t="shared" ref="I4:I5" si="3">S4+S25+S46+S67+S88+S109</f>
        <v>40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9</v>
      </c>
      <c r="M4">
        <f>COUNTIF(Scenario0[winner1-ability1],ShadowAbilities1Scenario0[[#This Row],[ability]])+COUNTIF(Scenario0[winner2-ability1],ShadowAbilities1Scenario0[[#This Row],[ability]])</f>
        <v>3</v>
      </c>
      <c r="N4" s="3">
        <f>IF(SUM(ShadowAbilities1Scenario0[[#This Row],[takes]]) &gt; 0,ShadowAbilities1Scenario0[[#This Row],[takes]]/SUM(ShadowAbilities1Scenario0[takes]),0)</f>
        <v>8.5714285714285715E-2</v>
      </c>
      <c r="O4" s="3">
        <f>IF(ShadowAbilities1Scenario0[[#This Row],[takes]]&gt;0,ShadowAbilities1Scenario0[[#This Row],[wins]]/ShadowAbilities1Scenario0[[#This Row],[takes]],0)</f>
        <v>0.33333333333333331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56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12</v>
      </c>
      <c r="U4" t="s">
        <v>179</v>
      </c>
      <c r="V4" s="3">
        <f>ShadowEquip[[#This Row],[chestpiece]]/SUM(ShadowEquip[chestpiece])</f>
        <v>0.1038961038961039</v>
      </c>
    </row>
    <row r="5" spans="1:22" x14ac:dyDescent="0.25">
      <c r="A5" t="s">
        <v>140</v>
      </c>
      <c r="B5">
        <f t="shared" si="0"/>
        <v>112</v>
      </c>
      <c r="C5">
        <f t="shared" si="1"/>
        <v>65</v>
      </c>
      <c r="D5" s="3">
        <f>IF(SUM(ShadowAbilities1[[#This Row],[takes]]) &gt; 0,ShadowAbilities1[[#This Row],[takes]]/SUM(ShadowAbilities1[takes]),0)</f>
        <v>0.29090909090909089</v>
      </c>
      <c r="E5" s="3">
        <f>IF(ShadowAbilities1[[#This Row],[takes]]&gt;0,ShadowAbilities1[[#This Row],[wins]]/ShadowAbilities1[[#This Row],[takes]],0)</f>
        <v>0.5803571428571429</v>
      </c>
      <c r="G5">
        <v>3</v>
      </c>
      <c r="H5">
        <f t="shared" si="2"/>
        <v>263</v>
      </c>
      <c r="I5" s="18">
        <f t="shared" si="3"/>
        <v>71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3</v>
      </c>
      <c r="M5">
        <f>COUNTIF(Scenario0[winner1-ability1],ShadowAbilities1Scenario0[[#This Row],[ability]])+COUNTIF(Scenario0[winner2-ability1],ShadowAbilities1Scenario0[[#This Row],[ability]])</f>
        <v>1</v>
      </c>
      <c r="N5" s="3">
        <f>IF(SUM(ShadowAbilities1Scenario0[[#This Row],[takes]]) &gt; 0,ShadowAbilities1Scenario0[[#This Row],[takes]]/SUM(ShadowAbilities1Scenario0[takes]),0)</f>
        <v>2.8571428571428571E-2</v>
      </c>
      <c r="O5" s="3">
        <f>IF(ShadowAbilities1Scenario0[[#This Row],[takes]]&gt;0,ShadowAbilities1Scenario0[[#This Row],[wins]]/ShadowAbilities1Scenario0[[#This Row],[takes]],0)</f>
        <v>0.33333333333333331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38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</v>
      </c>
      <c r="U5" t="s">
        <v>180</v>
      </c>
      <c r="V5" s="16">
        <f>ShadowEquip[[#This Row],[chestpiece]]/SUM(ShadowEquip[chestpiece])</f>
        <v>0.18441558441558442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0.41038961038961042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0.30129870129870129</v>
      </c>
    </row>
    <row r="8" spans="1:22" x14ac:dyDescent="0.25">
      <c r="A8" s="2" t="s">
        <v>141</v>
      </c>
      <c r="B8" s="2">
        <f>L8+L29+L50+L71+L92+L113</f>
        <v>100</v>
      </c>
      <c r="C8" s="2">
        <f>M8+M29+M50+M71+M92+M113</f>
        <v>46</v>
      </c>
      <c r="D8" s="12">
        <f>IF(SUM(ShadowAbilities2[[#This Row],[takes]]) &gt; 0,ShadowAbilities2[[#This Row],[takes]]/SUM(ShadowAbilities2[takes]),0)</f>
        <v>0.63291139240506333</v>
      </c>
      <c r="E8" s="12">
        <f>IF(ShadowAbilities2[[#This Row],[takes]]&gt;0,ShadowAbilities2[[#This Row],[wins]]/ShadowAbilities2[[#This Row],[takes]],0)</f>
        <v>0.46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8" s="2">
        <f>COUNTIF(Scenario0[winner1-ability2],ShadowAbilities2Scenario0[[#This Row],[ability]])+COUNTIF(Scenario0[winner2-ability2],ShadowAbilities2Scenario0[[#This Row],[ability]])</f>
        <v>1</v>
      </c>
      <c r="N8" s="12">
        <f>IF(SUM(ShadowAbilities2Scenario0[[#This Row],[takes]]) &gt; 0,ShadowAbilities2Scenario0[[#This Row],[takes]]/SUM(ShadowAbilities2Scenario0[takes]),0)</f>
        <v>0.33333333333333331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0.23636363636363636</v>
      </c>
    </row>
    <row r="9" spans="1:22" x14ac:dyDescent="0.25">
      <c r="A9" t="s">
        <v>92</v>
      </c>
      <c r="B9" s="2">
        <f t="shared" ref="B9:B10" si="4">L9+L30+L51+L72+L93+L114</f>
        <v>9</v>
      </c>
      <c r="C9" s="2">
        <f t="shared" ref="C9:C10" si="5">M9+M30+M51+M72+M93+M114</f>
        <v>6</v>
      </c>
      <c r="D9" s="3">
        <f>IF(SUM(ShadowAbilities2[[#This Row],[takes]]) &gt; 0,ShadowAbilities2[[#This Row],[takes]]/SUM(ShadowAbilities2[takes]),0)</f>
        <v>5.6962025316455694E-2</v>
      </c>
      <c r="E9" s="3">
        <f>IF(ShadowAbilities2[[#This Row],[takes]]&gt;0,ShadowAbilities2[[#This Row],[wins]]/ShadowAbilities2[[#This Row],[takes]],0)</f>
        <v>0.66666666666666663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2.1896103896103898</v>
      </c>
    </row>
    <row r="10" spans="1:22" x14ac:dyDescent="0.25">
      <c r="A10" s="10" t="s">
        <v>76</v>
      </c>
      <c r="B10" s="2">
        <f t="shared" si="4"/>
        <v>49</v>
      </c>
      <c r="C10" s="2">
        <f t="shared" si="5"/>
        <v>27</v>
      </c>
      <c r="D10" s="13">
        <f>IF(SUM(ShadowAbilities2[[#This Row],[takes]]) &gt; 0,ShadowAbilities2[[#This Row],[takes]]/SUM(ShadowAbilities2[takes]),0)</f>
        <v>0.310126582278481</v>
      </c>
      <c r="E10" s="13">
        <f>IF(ShadowAbilities2[[#This Row],[takes]]&gt;0,ShadowAbilities2[[#This Row],[wins]]/ShadowAbilities2[[#This Row],[takes]],0)</f>
        <v>0.55102040816326525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10" s="2">
        <f>COUNTIF(Scenario0[winner1-ability2],ShadowAbilities2Scenario0[[#This Row],[ability]])+COUNTIF(Scenario0[winner2-ability2],ShadowAbilities2Scenario0[[#This Row],[ability]])</f>
        <v>1</v>
      </c>
      <c r="N10" s="13">
        <f>IF(SUM(ShadowAbilities2Scenario0[[#This Row],[takes]]) &gt; 0,ShadowAbilities2Scenario0[[#This Row],[takes]]/SUM(ShadowAbilities2Scenario0[takes]),0)</f>
        <v>0.66666666666666663</v>
      </c>
      <c r="O10" s="13">
        <f>IF(ShadowAbilities2Scenario0[[#This Row],[takes]]&gt;0,ShadowAbilities2Scenario0[[#This Row],[wins]]/ShadowAbilities2Scenario0[[#This Row],[takes]],0)</f>
        <v>0.5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48</v>
      </c>
      <c r="C13" s="1">
        <f>M13+M34+M55+M76+M97+M118</f>
        <v>24</v>
      </c>
      <c r="D13" s="14">
        <f>IF(SUM(ShadowAbilities3[[#This Row],[takes]]) &gt; 0,ShadowAbilities3[[#This Row],[takes]]/SUM(ShadowAbilities3[takes]),0)</f>
        <v>0.41379310344827586</v>
      </c>
      <c r="E13" s="14">
        <f>IF(ShadowAbilities3[[#This Row],[takes]]&gt;0,ShadowAbilities3[[#This Row],[wins]]/ShadowAbilities3[[#This Row],[takes]],0)</f>
        <v>0.5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3" s="1">
        <f>COUNTIF(Scenario0[winner1-ability3],ShadowAbilities3Scenario0[[#This Row],[ability]])+COUNTIF(Scenario0[winner2-ability3],ShadowAbilities3Scenario0[[#This Row],[ability]])</f>
        <v>1</v>
      </c>
      <c r="N13" s="14">
        <f>IF(SUM(ShadowAbilities3Scenario0[[#This Row],[takes]]) &gt; 0,ShadowAbilities3Scenario0[[#This Row],[takes]]/SUM(ShadowAbilities3Scenario0[takes]),0)</f>
        <v>0.5</v>
      </c>
      <c r="O13" s="14">
        <f>IF(ShadowAbilities3Scenario0[[#This Row],[takes]]&gt;0,ShadowAbilities3Scenario0[[#This Row],[wins]]/ShadowAbilities3Scenario0[[#This Row],[takes]],0)</f>
        <v>1</v>
      </c>
      <c r="S13" s="18"/>
    </row>
    <row r="14" spans="1:22" x14ac:dyDescent="0.25">
      <c r="A14" s="2" t="s">
        <v>142</v>
      </c>
      <c r="B14" s="2">
        <f t="shared" ref="B14:B15" si="6">L14+L35+L56+L77+L98+L119</f>
        <v>20</v>
      </c>
      <c r="C14" s="2">
        <f t="shared" ref="C14:C15" si="7">M14+M35+M56+M77+M98+M119</f>
        <v>9</v>
      </c>
      <c r="D14" s="12">
        <f>IF(SUM(ShadowAbilities3[[#This Row],[takes]]) &gt; 0,ShadowAbilities3[[#This Row],[takes]]/SUM(ShadowAbilities3[takes]),0)</f>
        <v>0.17241379310344829</v>
      </c>
      <c r="E14" s="12">
        <f>IF(ShadowAbilities3[[#This Row],[takes]]&gt;0,ShadowAbilities3[[#This Row],[wins]]/ShadowAbilities3[[#This Row],[takes]],0)</f>
        <v>0.45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48</v>
      </c>
      <c r="C15" s="1">
        <f t="shared" si="7"/>
        <v>19</v>
      </c>
      <c r="D15" s="15">
        <f>IF(SUM(ShadowAbilities3[[#This Row],[takes]]) &gt; 0,ShadowAbilities3[[#This Row],[takes]]/SUM(ShadowAbilities3[takes]),0)</f>
        <v>0.41379310344827586</v>
      </c>
      <c r="E15" s="15">
        <f>IF(ShadowAbilities3[[#This Row],[takes]]&gt;0,ShadowAbilities3[[#This Row],[wins]]/ShadowAbilities3[[#This Row],[takes]],0)</f>
        <v>0.39583333333333331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1</v>
      </c>
      <c r="N15" s="15">
        <f>IF(SUM(ShadowAbilities3Scenario0[[#This Row],[takes]]) &gt; 0,ShadowAbilities3Scenario0[[#This Row],[takes]]/SUM(ShadowAbilities3Scenario0[takes]),0)</f>
        <v>0.5</v>
      </c>
      <c r="O15" s="15">
        <f>IF(ShadowAbilities3Scenario0[[#This Row],[takes]]&gt;0,ShadowAbilities3Scenario0[[#This Row],[wins]]/ShadowAbilities3Scenario0[[#This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23</v>
      </c>
      <c r="C18" s="2">
        <f>M18+M39+M60+M81+M102+M123</f>
        <v>8</v>
      </c>
      <c r="D18" s="12">
        <f>IF(SUM(ShadowAbilities4[[#This Row],[takes]]) &gt; 0,ShadowAbilities4[[#This Row],[takes]]/SUM(ShadowAbilities4[takes]),0)</f>
        <v>0.25274725274725274</v>
      </c>
      <c r="E18" s="12">
        <f>IF(ShadowAbilities4[[#This Row],[takes]]&gt;0,ShadowAbilities4[[#This Row],[wins]]/ShadowAbilities4[[#This Row],[takes]],0)</f>
        <v>0.34782608695652173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35</v>
      </c>
      <c r="C19" s="2">
        <f t="shared" ref="C19:C20" si="9">M19+M40+M61+M82+M103+M124</f>
        <v>14</v>
      </c>
      <c r="D19" s="12">
        <f>IF(SUM(ShadowAbilities4[[#This Row],[takes]]) &gt; 0,ShadowAbilities4[[#This Row],[takes]]/SUM(ShadowAbilities4[takes]),0)</f>
        <v>0.38461538461538464</v>
      </c>
      <c r="E19" s="12">
        <f>IF(ShadowAbilities4[[#This Row],[takes]]&gt;0,ShadowAbilities4[[#This Row],[wins]]/ShadowAbilities4[[#This Row],[takes]],0)</f>
        <v>0.4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9" s="2">
        <f>COUNTIF(Scenario0[winner1-ability4],ShadowAbilities4Scenario0[[#This Row],[ability]])+COUNTIF(Scenario0[winner2-ability4],ShadowAbilities4Scenario0[[#This Row],[ability]])</f>
        <v>1</v>
      </c>
      <c r="N19" s="12">
        <f>IF(SUM(ShadowAbilities4Scenario0[[#This Row],[takes]]) &gt; 0,ShadowAbilities4Scenario0[[#This Row],[takes]]/SUM(ShadowAbilities4Scenario0[takes]),0)</f>
        <v>1</v>
      </c>
      <c r="O19" s="12">
        <f>IF(ShadowAbilities4Scenario0[[#This Row],[takes]]&gt;0,ShadowAbilities4Scenario0[[#This Row],[wins]]/ShadowAbilities4Scenario0[[#This Row],[takes]],0)</f>
        <v>1</v>
      </c>
      <c r="S19" s="18"/>
    </row>
    <row r="20" spans="1:20" ht="15.75" thickBot="1" x14ac:dyDescent="0.3">
      <c r="A20" s="10" t="s">
        <v>94</v>
      </c>
      <c r="B20" s="2">
        <f t="shared" si="8"/>
        <v>33</v>
      </c>
      <c r="C20" s="2">
        <f t="shared" si="9"/>
        <v>10</v>
      </c>
      <c r="D20" s="26">
        <f>IF(SUM(ShadowAbilities4[[#This Row],[takes]]) &gt; 0,ShadowAbilities4[[#This Row],[takes]]/SUM(ShadowAbilities4[takes]),0)</f>
        <v>0.36263736263736263</v>
      </c>
      <c r="E20" s="26">
        <f>IF(ShadowAbilities4[[#This Row],[takes]]&gt;0,ShadowAbilities4[[#This Row],[wins]]/ShadowAbilities4[[#This Row],[takes]],0)</f>
        <v>0.30303030303030304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21</v>
      </c>
      <c r="M24">
        <f>COUNTIF(Scenario1[winner1-ability1],ShadowAbilities1Scenario1[[#This Row],[ability]])+COUNTIF(Scenario1[winner2-ability1],ShadowAbilities1Scenario1[[#This Row],[ability]])</f>
        <v>13</v>
      </c>
      <c r="N24" s="3">
        <f>IF(SUM(ShadowAbilities1Scenario1[[#This Row],[takes]]) &gt; 0,ShadowAbilities1Scenario1[[#This Row],[takes]]/SUM(ShadowAbilities1Scenario1[takes]),0)</f>
        <v>0.2</v>
      </c>
      <c r="O24" s="3">
        <f>IF(ShadowAbilities1Scenario1[[#This Row],[takes]]&gt;0,ShadowAbilities1Scenario1[[#This Row],[wins]]/ShadowAbilities1Scenario1[[#This Row],[takes]],0)</f>
        <v>0.61904761904761907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88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37</v>
      </c>
      <c r="M25">
        <f>COUNTIF(Scenario1[winner1-ability1],ShadowAbilities1Scenario1[[#This Row],[ability]])+COUNTIF(Scenario1[winner2-ability1],ShadowAbilities1Scenario1[[#This Row],[ability]])</f>
        <v>17</v>
      </c>
      <c r="N25" s="3">
        <f>IF(SUM(ShadowAbilities1Scenario1[[#This Row],[takes]]) &gt; 0,ShadowAbilities1Scenario1[[#This Row],[takes]]/SUM(ShadowAbilities1Scenario1[takes]),0)</f>
        <v>0.35238095238095241</v>
      </c>
      <c r="O25" s="3">
        <f>IF(ShadowAbilities1Scenario1[[#This Row],[takes]]&gt;0,ShadowAbilities1Scenario1[[#This Row],[wins]]/ShadowAbilities1Scenario1[[#This Row],[takes]],0)</f>
        <v>0.45945945945945948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39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13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47</v>
      </c>
      <c r="M26">
        <f>COUNTIF(Scenario1[winner1-ability1],ShadowAbilities1Scenario1[[#This Row],[ability]])+COUNTIF(Scenario1[winner2-ability1],ShadowAbilities1Scenario1[[#This Row],[ability]])</f>
        <v>26</v>
      </c>
      <c r="N26" s="3">
        <f>IF(SUM(ShadowAbilities1Scenario1[[#This Row],[takes]]) &gt; 0,ShadowAbilities1Scenario1[[#This Row],[takes]]/SUM(ShadowAbilities1Scenario1[takes]),0)</f>
        <v>0.44761904761904764</v>
      </c>
      <c r="O26" s="3">
        <f>IF(ShadowAbilities1Scenario1[[#This Row],[takes]]&gt;0,ShadowAbilities1Scenario1[[#This Row],[wins]]/ShadowAbilities1Scenario1[[#This Row],[takes]],0)</f>
        <v>0.55319148936170215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29" s="2">
        <f>COUNTIF(Scenario1[winner1-ability2],ShadowAbilities2Scenario1[[#This Row],[ability]])+COUNTIF(Scenario1[winner2-ability2],ShadowAbilities2Scenario1[[#This Row],[ability]])</f>
        <v>5</v>
      </c>
      <c r="N29" s="12">
        <f>IF(SUM(ShadowAbilities2Scenario1[[#This Row],[takes]]) &gt; 0,ShadowAbilities2Scenario1[[#This Row],[takes]]/SUM(ShadowAbilities2Scenario1[takes]),0)</f>
        <v>0.72727272727272729</v>
      </c>
      <c r="O29" s="12">
        <f>IF(ShadowAbilities2Scenario1[[#This Row],[takes]]&gt;0,ShadowAbilities2Scenario1[[#This Row],[wins]]/ShadowAbilities2Scenario1[[#This Row],[takes]],0)</f>
        <v>0.625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1" s="2">
        <f>COUNTIF(Scenario1[winner1-ability2],ShadowAbilities2Scenario1[[#This Row],[ability]])+COUNTIF(Scenario1[winner2-ability2],ShadowAbilities2Scenario1[[#This Row],[ability]])</f>
        <v>3</v>
      </c>
      <c r="N31" s="13">
        <f>IF(SUM(ShadowAbilities2Scenario1[[#This Row],[takes]]) &gt; 0,ShadowAbilities2Scenario1[[#This Row],[takes]]/SUM(ShadowAbilities2Scenario1[takes]),0)</f>
        <v>0.27272727272727271</v>
      </c>
      <c r="O31" s="13">
        <f>IF(ShadowAbilities2Scenario1[[#This Row],[takes]]&gt;0,ShadowAbilities2Scenario1[[#This Row],[wins]]/ShadowAbilities2Scenario1[[#This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4" s="1">
        <f>COUNTIF(Scenario1[winner1-ability3],ShadowAbilities3Scenario1[[#This Row],[ability]])+COUNTIF(Scenario1[winner2-ability3],ShadowAbilities3Scenario1[[#This Row],[ability]])</f>
        <v>2</v>
      </c>
      <c r="N34" s="14">
        <f>IF(SUM(ShadowAbilities3Scenario1[[#This Row],[takes]]) &gt; 0,ShadowAbilities3Scenario1[[#This Row],[takes]]/SUM(ShadowAbilities3Scenario1[takes]),0)</f>
        <v>0.5</v>
      </c>
      <c r="O34" s="14">
        <f>IF(ShadowAbilities3Scenario1[[#This Row],[takes]]&gt;0,ShadowAbilities3Scenario1[[#This Row],[wins]]/ShadowAbilities3Scenario1[[#This Row],[takes]],0)</f>
        <v>1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0.5</v>
      </c>
      <c r="O36" s="15">
        <f>IF(ShadowAbilities3Scenario1[[#This Row],[takes]]&gt;0,ShadowAbilities3Scenario1[[#This Row],[wins]]/ShadowAbilities3Scenario1[[#This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0.5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1" s="25">
        <f>COUNTIF(Scenario1[winner1-ability4],ShadowAbilities4Scenario1[[#This Row],[ability]])+COUNTIF(Scenario1[winner2-ability4],ShadowAbilities4Scenario1[[#This Row],[ability]])</f>
        <v>1</v>
      </c>
      <c r="N41" s="26">
        <f>IF(SUM(ShadowAbilities4Scenario1[[#This Row],[takes]]) &gt; 0,ShadowAbilities4Scenario1[[#This Row],[takes]]/SUM(ShadowAbilities4Scenario1[takes]),0)</f>
        <v>0.5</v>
      </c>
      <c r="O41" s="26">
        <f>IF(ShadowAbilities4Scenario1[[#This Row],[takes]]&gt;0,ShadowAbilities4Scenario1[[#This Row],[wins]]/ShadowAbilities4Scenario1[[#This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11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0.14285714285714285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0.7142857142857143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6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0.66666666666666663</v>
      </c>
      <c r="O50" s="12">
        <f>IF(ShadowAbilities2Scenario2[[#This Row],[takes]]&gt;0,ShadowAbilities2Scenario2[[#This Row],[wins]]/ShadowAbilities2Scenario2[[#This Row],[takes]],0)</f>
        <v>0.16666666666666666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0.1111111111111111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2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0.22222222222222221</v>
      </c>
      <c r="O52" s="13">
        <f>IF(ShadowAbilities2Scenario2[[#This Row],[takes]]&gt;0,ShadowAbilities2Scenario2[[#This Row],[wins]]/ShadowAbilities2Scenario2[[#This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6</v>
      </c>
      <c r="M57" s="1">
        <f>COUNTIF(Scenario2[winner1-ability3],ShadowAbilities3Scenario2[[#This Row],[ability]])</f>
        <v>1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0.16666666666666666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1</v>
      </c>
      <c r="N60" s="12">
        <f>IF(SUM(ShadowAbilities4Scenario2[[#This Row],[takes]]) &gt; 0,ShadowAbilities4Scenario2[[#This Row],[takes]]/SUM(ShadowAbilities4Scenario2[takes]),0)</f>
        <v>0.33333333333333331</v>
      </c>
      <c r="O60" s="12">
        <f>IF(ShadowAbilities4Scenario2[[#This Row],[takes]]&gt;0,ShadowAbilities4Scenario2[[#This Row],[wins]]/ShadowAbilities4Scenario2[[#This Row],[takes]],0)</f>
        <v>0.5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1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0.16666666666666666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3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0.5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1</v>
      </c>
      <c r="N66" s="3">
        <f>IF(SUM(ShadowAbilities1Scenario3[[#This Row],[takes]]) &gt; 0,ShadowAbilities1Scenario3[[#This Row],[takes]]/SUM(ShadowAbilities1Scenario3[takes]),0)</f>
        <v>9.5238095238095233E-2</v>
      </c>
      <c r="O66" s="3">
        <f>IF(ShadowAbilities1Scenario3[[#This Row],[takes]]&gt;0,ShadowAbilities1Scenario3[[#This Row],[wins]]/ShadowAbilities1Scenario3[[#This Row],[takes]],0)</f>
        <v>0.5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19</v>
      </c>
      <c r="M67">
        <f>COUNTIF(Scenario3[winner1-ability1],ShadowAbilities1Scenario3[[#This Row],[ability]])</f>
        <v>5</v>
      </c>
      <c r="N67" s="3">
        <f>IF(SUM(ShadowAbilities1Scenario3[[#This Row],[takes]]) &gt; 0,ShadowAbilities1Scenario3[[#This Row],[takes]]/SUM(ShadowAbilities1Scenario3[takes]),0)</f>
        <v>0.90476190476190477</v>
      </c>
      <c r="O67" s="3">
        <f>IF(ShadowAbilities1Scenario3[[#This Row],[takes]]&gt;0,ShadowAbilities1Scenario3[[#This Row],[wins]]/ShadowAbilities1Scenario3[[#This Row],[takes]],0)</f>
        <v>0.26315789473684209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13</v>
      </c>
      <c r="M71" s="2">
        <f>COUNTIF(Scenario3[winner1-ability2],ShadowAbilities2Scenario3[[#This Row],[ability]])</f>
        <v>2</v>
      </c>
      <c r="N71" s="12">
        <f>IF(SUM(ShadowAbilities2Scenario3[[#This Row],[takes]]) &gt; 0,ShadowAbilities2Scenario3[[#This Row],[takes]]/SUM(ShadowAbilities2Scenario3[takes]),0)</f>
        <v>0.68421052631578949</v>
      </c>
      <c r="O71" s="12">
        <f>IF(ShadowAbilities2Scenario3[[#This Row],[takes]]&gt;0,ShadowAbilities2Scenario3[[#This Row],[wins]]/ShadowAbilities2Scenario3[[#This Row],[takes]],0)</f>
        <v>0.15384615384615385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0.10526315789473684</v>
      </c>
      <c r="O72" s="3">
        <f>IF(ShadowAbilities2Scenario3[[#This Row],[takes]]&gt;0,ShadowAbilities2Scenario3[[#This Row],[wins]]/ShadowAbilities2Scenario3[[#This Row],[takes]],0)</f>
        <v>0.5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4</v>
      </c>
      <c r="M73" s="2">
        <f>COUNTIF(Scenario3[winner1-ability2],ShadowAbilities2Scenario3[[#This Row],[ability]])</f>
        <v>3</v>
      </c>
      <c r="N73" s="13">
        <f>IF(SUM(ShadowAbilities2Scenario3[[#This Row],[takes]]) &gt; 0,ShadowAbilities2Scenario3[[#This Row],[takes]]/SUM(ShadowAbilities2Scenario3[takes]),0)</f>
        <v>0.21052631578947367</v>
      </c>
      <c r="O73" s="13">
        <f>IF(ShadowAbilities2Scenario3[[#This Row],[takes]]&gt;0,ShadowAbilities2Scenario3[[#This Row],[wins]]/ShadowAbilities2Scenario3[[#This Row],[takes]],0)</f>
        <v>0.75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0.35294117647058826</v>
      </c>
      <c r="O76" s="14">
        <f>IF(ShadowAbilities3Scenario3[[#This Row],[takes]]&gt;0,ShadowAbilities3Scenario3[[#This Row],[wins]]/ShadowAbilities3Scenario3[[#This Row],[takes]],0)</f>
        <v>0.16666666666666666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7</v>
      </c>
      <c r="M77" s="2">
        <f>COUNTIF(Scenario3[winner1-ability3],ShadowAbilities3Scenario3[[#This Row],[ability]])</f>
        <v>4</v>
      </c>
      <c r="N77" s="12">
        <f>IF(SUM(ShadowAbilities3Scenario3[[#This Row],[takes]]) &gt; 0,ShadowAbilities3Scenario3[[#This Row],[takes]]/SUM(ShadowAbilities3Scenario3[takes]),0)</f>
        <v>0.41176470588235292</v>
      </c>
      <c r="O77" s="12">
        <f>IF(ShadowAbilities3Scenario3[[#This Row],[takes]]&gt;0,ShadowAbilities3Scenario3[[#This Row],[wins]]/ShadowAbilities3Scenario3[[#This Row],[takes]],0)</f>
        <v>0.5714285714285714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0.23529411764705882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1" s="2">
        <f>COUNTIF(Scenario3[winner1-ability4],ShadowAbilities4Scenario3[[#This Row],[ability]])</f>
        <v>3</v>
      </c>
      <c r="N81" s="12">
        <f>IF(SUM(ShadowAbilities4Scenario3[[#This Row],[takes]]) &gt; 0,ShadowAbilities4Scenario3[[#This Row],[takes]]/SUM(ShadowAbilities4Scenario3[takes]),0)</f>
        <v>0.35714285714285715</v>
      </c>
      <c r="O81" s="12">
        <f>IF(ShadowAbilities4Scenario3[[#This Row],[takes]]&gt;0,ShadowAbilities4Scenario3[[#This Row],[wins]]/ShadowAbilities4Scenario3[[#This Row],[takes]],0)</f>
        <v>0.6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1</v>
      </c>
      <c r="N82" s="12">
        <f>IF(SUM(ShadowAbilities4Scenario3[[#This Row],[takes]]) &gt; 0,ShadowAbilities4Scenario3[[#This Row],[takes]]/SUM(ShadowAbilities4Scenario3[takes]),0)</f>
        <v>0.35714285714285715</v>
      </c>
      <c r="O82" s="12">
        <f>IF(ShadowAbilities4Scenario3[[#This Row],[takes]]&gt;0,ShadowAbilities4Scenario3[[#This Row],[wins]]/ShadowAbilities4Scenario3[[#This Row],[takes]],0)</f>
        <v>0.2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4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0.2857142857142857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7</v>
      </c>
      <c r="M87">
        <f>COUNTIF(Scenario4[winner1-ability1],ShadowAbilities1Scenario4[[#This Row],[ability]])</f>
        <v>1</v>
      </c>
      <c r="N87" s="3">
        <f>IF(SUM(ShadowAbilities1Scenario4[[#This Row],[takes]]) &gt; 0,ShadowAbilities1Scenario4[[#This Row],[takes]]/SUM(ShadowAbilities1Scenario4[takes]),0)</f>
        <v>0.2</v>
      </c>
      <c r="O87" s="3">
        <f>IF(ShadowAbilities1Scenario4[[#This Row],[takes]]&gt;0,ShadowAbilities1Scenario4[[#This Row],[wins]]/ShadowAbilities1Scenario4[[#This Row],[takes]],0)</f>
        <v>0.14285714285714285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8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28</v>
      </c>
      <c r="M88">
        <f>COUNTIF(Scenario4[winner1-ability1],ShadowAbilities1Scenario4[[#This Row],[ability]])</f>
        <v>11</v>
      </c>
      <c r="N88" s="3">
        <f>IF(SUM(ShadowAbilities1Scenario4[[#This Row],[takes]]) &gt; 0,ShadowAbilities1Scenario4[[#This Row],[takes]]/SUM(ShadowAbilities1Scenario4[takes]),0)</f>
        <v>0.8</v>
      </c>
      <c r="O88" s="3">
        <f>IF(ShadowAbilities1Scenario4[[#This Row],[takes]]&gt;0,ShadowAbilities1Scenario4[[#This Row],[wins]]/ShadowAbilities1Scenario4[[#This Row],[takes]],0)</f>
        <v>0.39285714285714285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4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33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22</v>
      </c>
      <c r="M92" s="2">
        <f>COUNTIF(Scenario4[winner1-ability2],ShadowAbilities2Scenario4[[#This Row],[ability]])</f>
        <v>9</v>
      </c>
      <c r="N92" s="12">
        <f>IF(SUM(ShadowAbilities2Scenario4[[#This Row],[takes]]) &gt; 0,ShadowAbilities2Scenario4[[#This Row],[takes]]/SUM(ShadowAbilities2Scenario4[takes]),0)</f>
        <v>0.66666666666666663</v>
      </c>
      <c r="O92" s="12">
        <f>IF(ShadowAbilities2Scenario4[[#This Row],[takes]]&gt;0,ShadowAbilities2Scenario4[[#This Row],[wins]]/ShadowAbilities2Scenario4[[#This Row],[takes]],0)</f>
        <v>0.40909090909090912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2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6.0606060606060608E-2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9</v>
      </c>
      <c r="M94" s="2">
        <f>COUNTIF(Scenario4[winner1-ability2],ShadowAbilities2Scenario4[[#This Row],[ability]])</f>
        <v>3</v>
      </c>
      <c r="N94" s="13">
        <f>IF(SUM(ShadowAbilities2Scenario4[[#This Row],[takes]]) &gt; 0,ShadowAbilities2Scenario4[[#This Row],[takes]]/SUM(ShadowAbilities2Scenario4[takes]),0)</f>
        <v>0.27272727272727271</v>
      </c>
      <c r="O94" s="13">
        <f>IF(ShadowAbilities2Scenario4[[#This Row],[takes]]&gt;0,ShadowAbilities2Scenario4[[#This Row],[wins]]/ShadowAbilities2Scenario4[[#This Row],[takes]],0)</f>
        <v>0.33333333333333331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9</v>
      </c>
      <c r="M97" s="1">
        <f>COUNTIF(Scenario4[winner1-ability3],ShadowAbilities3Scenario4[[#This Row],[ability]])</f>
        <v>4</v>
      </c>
      <c r="N97" s="14">
        <f>IF(SUM(ShadowAbilities3Scenario4[[#This Row],[takes]]) &gt; 0,ShadowAbilities3Scenario4[[#This Row],[takes]]/SUM(ShadowAbilities3Scenario4[takes]),0)</f>
        <v>0.31034482758620691</v>
      </c>
      <c r="O97" s="14">
        <f>IF(ShadowAbilities3Scenario4[[#This Row],[takes]]&gt;0,ShadowAbilities3Scenario4[[#This Row],[wins]]/ShadowAbilities3Scenario4[[#This Row],[takes]],0)</f>
        <v>0.44444444444444442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12</v>
      </c>
      <c r="M98" s="2">
        <f>COUNTIF(Scenario4[winner1-ability3],ShadowAbilities3Scenario4[[#This Row],[ability]])</f>
        <v>5</v>
      </c>
      <c r="N98" s="12">
        <f>IF(SUM(ShadowAbilities3Scenario4[[#This Row],[takes]]) &gt; 0,ShadowAbilities3Scenario4[[#This Row],[takes]]/SUM(ShadowAbilities3Scenario4[takes]),0)</f>
        <v>0.41379310344827586</v>
      </c>
      <c r="O98" s="12">
        <f>IF(ShadowAbilities3Scenario4[[#This Row],[takes]]&gt;0,ShadowAbilities3Scenario4[[#This Row],[wins]]/ShadowAbilities3Scenario4[[#This Row],[takes]],0)</f>
        <v>0.41666666666666669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8</v>
      </c>
      <c r="M99" s="1">
        <f>COUNTIF(Scenario4[winner1-ability3],ShadowAbilities3Scenario4[[#This Row],[ability]])</f>
        <v>2</v>
      </c>
      <c r="N99" s="15">
        <f>IF(SUM(ShadowAbilities3Scenario4[[#This Row],[takes]]) &gt; 0,ShadowAbilities3Scenario4[[#This Row],[takes]]/SUM(ShadowAbilities3Scenario4[takes]),0)</f>
        <v>0.27586206896551724</v>
      </c>
      <c r="O99" s="15">
        <f>IF(ShadowAbilities3Scenario4[[#This Row],[takes]]&gt;0,ShadowAbilities3Scenario4[[#This Row],[wins]]/ShadowAbilities3Scenario4[[#This Row],[takes]],0)</f>
        <v>0.25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2" s="2">
        <f>COUNTIF(Scenario4[winner1-ability4],ShadowAbilities4Scenario4[[#This Row],[ability]])</f>
        <v>1</v>
      </c>
      <c r="N102" s="12">
        <f>IF(SUM(ShadowAbilities4Scenario4[[#This Row],[takes]]) &gt; 0,ShadowAbilities4Scenario4[[#This Row],[takes]]/SUM(ShadowAbilities4Scenario4[takes]),0)</f>
        <v>0.25925925925925924</v>
      </c>
      <c r="O102" s="12">
        <f>IF(ShadowAbilities4Scenario4[[#This Row],[takes]]&gt;0,ShadowAbilities4Scenario4[[#This Row],[wins]]/ShadowAbilities4Scenario4[[#This Row],[takes]],0)</f>
        <v>0.14285714285714285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14</v>
      </c>
      <c r="M103" s="2">
        <f>COUNTIF(Scenario4[winner1-ability4],ShadowAbilities4Scenario4[[#This Row],[ability]])</f>
        <v>8</v>
      </c>
      <c r="N103" s="12">
        <f>IF(SUM(ShadowAbilities4Scenario4[[#This Row],[takes]]) &gt; 0,ShadowAbilities4Scenario4[[#This Row],[takes]]/SUM(ShadowAbilities4Scenario4[takes]),0)</f>
        <v>0.51851851851851849</v>
      </c>
      <c r="O103" s="12">
        <f>IF(ShadowAbilities4Scenario4[[#This Row],[takes]]&gt;0,ShadowAbilities4Scenario4[[#This Row],[wins]]/ShadowAbilities4Scenario4[[#This Row],[takes]],0)</f>
        <v>0.5714285714285714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6</v>
      </c>
      <c r="M104" s="2">
        <f>COUNTIF(Scenario4[winner1-ability4],ShadowAbilities4Scenario4[[#This Row],[ability]])</f>
        <v>1</v>
      </c>
      <c r="N104" s="26">
        <f>IF(SUM(ShadowAbilities4Scenario4[[#This Row],[takes]]) &gt; 0,ShadowAbilities4Scenario4[[#This Row],[takes]]/SUM(ShadowAbilities4Scenario4[takes]),0)</f>
        <v>0.22222222222222221</v>
      </c>
      <c r="O104" s="26">
        <f>IF(ShadowAbilities4Scenario4[[#This Row],[takes]]&gt;0,ShadowAbilities4Scenario4[[#This Row],[wins]]/ShadowAbilities4Scenario4[[#This Row],[takes]],0)</f>
        <v>0.16666666666666666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9.5238095238095247E-3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4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67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49</v>
      </c>
      <c r="M109">
        <f>COUNTIF(Scenario5[winner1-ability1],ShadowAbilities1Scenario5[[#This Row],[ability]])+COUNTIF(Scenario5[winner2-ability1],ShadowAbilities1Scenario5[[#This Row],[ability]])</f>
        <v>21</v>
      </c>
      <c r="N109" s="3">
        <f>IF(SUM(ShadowAbilities1Scenario5[[#This Row],[takes]]) &gt; 0,ShadowAbilities1Scenario5[[#This Row],[takes]]/SUM(ShadowAbilities1Scenario5[takes]),0)</f>
        <v>0.46666666666666667</v>
      </c>
      <c r="O109" s="3">
        <f>IF(ShadowAbilities1Scenario5[[#This Row],[takes]]&gt;0,ShadowAbilities1Scenario5[[#This Row],[wins]]/ShadowAbilities1Scenario5[[#This Row],[takes]],0)</f>
        <v>0.42857142857142855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11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55</v>
      </c>
      <c r="M110">
        <f>COUNTIF(Scenario5[winner1-ability1],ShadowAbilities1Scenario5[[#This Row],[ability]])+COUNTIF(Scenario5[winner2-ability1],ShadowAbilities1Scenario5[[#This Row],[ability]])</f>
        <v>33</v>
      </c>
      <c r="N110" s="3">
        <f>IF(SUM(ShadowAbilities1Scenario5[[#This Row],[takes]]) &gt; 0,ShadowAbilities1Scenario5[[#This Row],[takes]]/SUM(ShadowAbilities1Scenario5[takes]),0)</f>
        <v>0.52380952380952384</v>
      </c>
      <c r="O110" s="3">
        <f>IF(ShadowAbilities1Scenario5[[#This Row],[takes]]&gt;0,ShadowAbilities1Scenario5[[#This Row],[wins]]/ShadowAbilities1Scenario5[[#This Row],[takes]],0)</f>
        <v>0.6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93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50</v>
      </c>
      <c r="M113" s="2">
        <f>COUNTIF(Scenario5[winner1-ability2],ShadowAbilities2Scenario5[[#This Row],[ability]])+COUNTIF(Scenario5[winner2-ability2],ShadowAbilities2Scenario5[[#This Row],[ability]])</f>
        <v>28</v>
      </c>
      <c r="N113" s="12">
        <f>IF(SUM(ShadowAbilities2Scenario5[[#This Row],[takes]]) &gt; 0,ShadowAbilities2Scenario5[[#This Row],[takes]]/SUM(ShadowAbilities2Scenario5[takes]),0)</f>
        <v>0.60240963855421692</v>
      </c>
      <c r="O113" s="12">
        <f>IF(ShadowAbilities2Scenario5[[#This Row],[takes]]&gt;0,ShadowAbilities2Scenario5[[#This Row],[wins]]/ShadowAbilities2Scenario5[[#This Row],[takes]],0)</f>
        <v>0.56000000000000005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4</v>
      </c>
      <c r="M114" s="2">
        <f>COUNTIF(Scenario5[winner1-ability2],ShadowAbilities2Scenario5[[#This Row],[ability]])+COUNTIF(Scenario5[winner2-ability2],ShadowAbilities2Scenario5[[#This Row],[ability]])</f>
        <v>4</v>
      </c>
      <c r="N114" s="3">
        <f>IF(SUM(ShadowAbilities2Scenario5[[#This Row],[takes]]) &gt; 0,ShadowAbilities2Scenario5[[#This Row],[takes]]/SUM(ShadowAbilities2Scenario5[takes]),0)</f>
        <v>4.8192771084337352E-2</v>
      </c>
      <c r="O114" s="3">
        <f>IF(ShadowAbilities2Scenario5[[#This Row],[takes]]&gt;0,ShadowAbilities2Scenario5[[#This Row],[wins]]/ShadowAbilities2Scenario5[[#This Row],[takes]],0)</f>
        <v>1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29</v>
      </c>
      <c r="M115" s="2">
        <f>COUNTIF(Scenario5[winner1-ability2],ShadowAbilities2Scenario5[[#This Row],[ability]])+COUNTIF(Scenario5[winner2-ability2],ShadowAbilities2Scenario5[[#This Row],[ability]])</f>
        <v>16</v>
      </c>
      <c r="N115" s="13">
        <f>IF(SUM(ShadowAbilities2Scenario5[[#This Row],[takes]]) &gt; 0,ShadowAbilities2Scenario5[[#This Row],[takes]]/SUM(ShadowAbilities2Scenario5[takes]),0)</f>
        <v>0.3493975903614458</v>
      </c>
      <c r="O115" s="13">
        <f>IF(ShadowAbilities2Scenario5[[#This Row],[takes]]&gt;0,ShadowAbilities2Scenario5[[#This Row],[wins]]/ShadowAbilities2Scenario5[[#This Row],[takes]],0)</f>
        <v>0.55172413793103448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30</v>
      </c>
      <c r="M118" s="1">
        <f>COUNTIF(Scenario5[winner1-ability3],ShadowAbilities3Scenario5[[#This Row],[ability]])+COUNTIF(Scenario5[winner2-ability3],ShadowAbilities3Scenario5[[#This Row],[ability]])</f>
        <v>16</v>
      </c>
      <c r="N118" s="14">
        <f>IF(SUM(ShadowAbilities3Scenario5[[#This Row],[takes]]) &gt; 0,ShadowAbilities3Scenario5[[#This Row],[takes]]/SUM(ShadowAbilities3Scenario5[takes]),0)</f>
        <v>0.51724137931034486</v>
      </c>
      <c r="O118" s="14">
        <f>IF(ShadowAbilities3Scenario5[[#This Row],[takes]]&gt;0,ShadowAbilities3Scenario5[[#This Row],[wins]]/ShadowAbilities3Scenario5[[#This Row],[takes]],0)</f>
        <v>0.53333333333333333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</v>
      </c>
      <c r="M119" s="2">
        <f>COUNTIF(Scenario5[winner1-ability3],ShadowAbilities3Scenario5[[#This Row],[ability]])+COUNTIF(Scenario5[winner2-ability3],ShadowAbilities3Scenario5[[#This Row],[ability]])</f>
        <v>0</v>
      </c>
      <c r="N119" s="12">
        <f>IF(SUM(ShadowAbilities3Scenario5[[#This Row],[takes]]) &gt; 0,ShadowAbilities3Scenario5[[#This Row],[takes]]/SUM(ShadowAbilities3Scenario5[takes]),0)</f>
        <v>1.7241379310344827E-2</v>
      </c>
      <c r="O119" s="12">
        <f>IF(ShadowAbilities3Scenario5[[#This Row],[takes]]&gt;0,ShadowAbilities3Scenario5[[#This Row],[wins]]/ShadowAbilities3Scenario5[[#This Row],[takes]],0)</f>
        <v>0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27</v>
      </c>
      <c r="M120" s="1">
        <f>COUNTIF(Scenario5[winner1-ability3],ShadowAbilities3Scenario5[[#This Row],[ability]])+COUNTIF(Scenario5[winner2-ability3],ShadowAbilities3Scenario5[[#This Row],[ability]])</f>
        <v>14</v>
      </c>
      <c r="N120" s="15">
        <f>IF(SUM(ShadowAbilities3Scenario5[[#This Row],[takes]]) &gt; 0,ShadowAbilities3Scenario5[[#This Row],[takes]]/SUM(ShadowAbilities3Scenario5[takes]),0)</f>
        <v>0.46551724137931033</v>
      </c>
      <c r="O120" s="15">
        <f>IF(ShadowAbilities3Scenario5[[#This Row],[takes]]&gt;0,ShadowAbilities3Scenario5[[#This Row],[wins]]/ShadowAbilities3Scenario5[[#This Row],[takes]],0)</f>
        <v>0.51851851851851849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9</v>
      </c>
      <c r="M123" s="2">
        <f>COUNTIF(Scenario5[winner1-ability4],ShadowAbilities4Scenario5[[#This Row],[ability]])+COUNTIF(Scenario5[winner2-ability4],ShadowAbilities4Scenario5[[#This Row],[ability]])</f>
        <v>3</v>
      </c>
      <c r="N123" s="12">
        <f>IF(SUM(ShadowAbilities4Scenario5[[#This Row],[takes]]) &gt; 0,ShadowAbilities4Scenario5[[#This Row],[takes]]/SUM(ShadowAbilities4Scenario5[takes]),0)</f>
        <v>0.21951219512195122</v>
      </c>
      <c r="O123" s="12">
        <f>IF(ShadowAbilities4Scenario5[[#This Row],[takes]]&gt;0,ShadowAbilities4Scenario5[[#This Row],[wins]]/ShadowAbilities4Scenario5[[#This Row],[takes]],0)</f>
        <v>0.33333333333333331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13</v>
      </c>
      <c r="M124" s="2">
        <f>COUNTIF(Scenario5[winner1-ability4],ShadowAbilities4Scenario5[[#This Row],[ability]])+COUNTIF(Scenario5[winner2-ability4],ShadowAbilities4Scenario5[[#This Row],[ability]])</f>
        <v>4</v>
      </c>
      <c r="N124" s="12">
        <f>IF(SUM(ShadowAbilities4Scenario5[[#This Row],[takes]]) &gt; 0,ShadowAbilities4Scenario5[[#This Row],[takes]]/SUM(ShadowAbilities4Scenario5[takes]),0)</f>
        <v>0.31707317073170732</v>
      </c>
      <c r="O124" s="12">
        <f>IF(ShadowAbilities4Scenario5[[#This Row],[takes]]&gt;0,ShadowAbilities4Scenario5[[#This Row],[wins]]/ShadowAbilities4Scenario5[[#This Row],[takes]],0)</f>
        <v>0.30769230769230771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19</v>
      </c>
      <c r="M125" s="2">
        <f>COUNTIF(Scenario5[winner1-ability4],ShadowAbilities4Scenario5[[#This Row],[ability]])+COUNTIF(Scenario5[winner2-ability4],ShadowAbilities4Scenario5[[#This Row],[ability]])</f>
        <v>8</v>
      </c>
      <c r="N125" s="26">
        <f>IF(SUM(ShadowAbilities4Scenario5[[#This Row],[takes]]) &gt; 0,ShadowAbilities4Scenario5[[#This Row],[takes]]/SUM(ShadowAbilities4Scenario5[takes]),0)</f>
        <v>0.46341463414634149</v>
      </c>
      <c r="O125" s="26">
        <f>IF(ShadowAbilities4Scenario5[[#This Row],[takes]]&gt;0,ShadowAbilities4Scenario5[[#This Row],[wins]]/ShadowAbilities4Scenario5[[#This Row],[takes]],0)</f>
        <v>0.42105263157894735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topLeftCell="A179" workbookViewId="0">
      <selection activeCell="A3" sqref="A3:A21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6.5809523809523807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" s="3">
        <f>IF(ScenarioTeams0[[#This Row],[battles]],ScenarioTeams0[[#This Row],[wins]]/ScenarioTeams0[[#This Row],[battles]],0)</f>
        <v>0.33333333333333331</v>
      </c>
      <c r="O3" s="4" t="s">
        <v>159</v>
      </c>
      <c r="P3" s="30">
        <f>MAX(Scenario0[crystals])</f>
        <v>18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4" s="3">
        <f>IF(ScenarioTeams0[[#This Row],[battles]],ScenarioTeams0[[#This Row],[wins]]/ScenarioTeams0[[#This Row],[battles]],0)</f>
        <v>0.26666666666666666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5" s="3">
        <f>IF(ScenarioTeams0[[#This Row],[battles]],ScenarioTeams0[[#This Row],[wins]]/ScenarioTeams0[[#This Row],[battles]],0)</f>
        <v>0.73333333333333328</v>
      </c>
      <c r="O5" s="4" t="s">
        <v>158</v>
      </c>
      <c r="P5" s="30">
        <f>MIN(Scenario0[turns])</f>
        <v>16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5" t="s">
        <v>108</v>
      </c>
      <c r="P6" s="31">
        <f>AVERAGE(Scenario0[turns])</f>
        <v>27.780952380952382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7" s="3">
        <f>IF(ScenarioTeams0[[#This Row],[battles]],ScenarioTeams0[[#This Row],[wins]]/ScenarioTeams0[[#This Row],[battles]],0)</f>
        <v>0.46666666666666667</v>
      </c>
      <c r="O7" s="5" t="s">
        <v>160</v>
      </c>
      <c r="P7" s="31">
        <f>MAX(Scenario0[turns])</f>
        <v>57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8" s="3">
        <f>IF(ScenarioTeams0[[#This Row],[battles]],ScenarioTeams0[[#This Row],[wins]]/ScenarioTeams0[[#This Row],[battles]],0)</f>
        <v>0.33333333333333331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9" s="3">
        <f>IF(ScenarioTeams0[[#This Row],[battles]],ScenarioTeams0[[#This Row],[wins]]/ScenarioTeams0[[#This Row],[battles]],0)</f>
        <v>0.4</v>
      </c>
      <c r="O9" s="4" t="s">
        <v>185</v>
      </c>
      <c r="P9" s="30">
        <f>120000*$P$6/1000/60</f>
        <v>55.561904761904763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0" s="3">
        <f>IF(ScenarioTeams0[[#This Row],[battles]],ScenarioTeams0[[#This Row],[wins]]/ScenarioTeams0[[#This Row],[battles]],0)</f>
        <v>0.6</v>
      </c>
      <c r="O10" s="5" t="s">
        <v>186</v>
      </c>
      <c r="P10" s="31">
        <f>P9*COUNTA(ScenarioStat0[hero-1])/60/24</f>
        <v>8.1027777777777779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1" s="3">
        <f>IF(ScenarioTeams0[[#This Row],[battles]],ScenarioTeams0[[#This Row],[wins]]/ScenarioTeams0[[#This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2" s="3">
        <f>IF(ScenarioTeams0[[#This Row],[battles]],ScenarioTeams0[[#This Row],[wins]]/ScenarioTeams0[[#This Row],[battles]],0)</f>
        <v>0.33333333333333331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3" s="3">
        <f>IF(ScenarioTeams0[[#This Row],[battles]],ScenarioTeams0[[#This Row],[wins]]/ScenarioTeams0[[#This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4" s="3">
        <f>IF(ScenarioTeams0[[#This Row],[battles]],ScenarioTeams0[[#This Row],[wins]]/ScenarioTeams0[[#This Row],[battles]],0)</f>
        <v>0.33333333333333331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5" s="3">
        <f>IF(ScenarioTeams0[[#This Row],[battles]],ScenarioTeams0[[#This Row],[wins]]/ScenarioTeams0[[#This Row],[battles]],0)</f>
        <v>0.4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6" s="3">
        <f>IF(ScenarioTeams0[[#This Row],[battles]],ScenarioTeams0[[#This Row],[wins]]/ScenarioTeams0[[#This Row],[battles]],0)</f>
        <v>0.66666666666666663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8" s="3">
        <f>IF(ScenarioTeams0[[#This Row],[battles]],ScenarioTeams0[[#This Row],[wins]]/ScenarioTeams0[[#This Row],[battles]],0)</f>
        <v>0.66666666666666663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9" s="3">
        <f>IF(ScenarioTeams0[[#This Row],[battles]],ScenarioTeams0[[#This Row],[wins]]/ScenarioTeams0[[#This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0" s="3">
        <f>IF(ScenarioTeams0[[#This Row],[battles]],ScenarioTeams0[[#This Row],[wins]]/ScenarioTeams0[[#This Row],[battles]],0)</f>
        <v>0.6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2" s="3">
        <f>IF(ScenarioTeams0[[#This Row],[battles]],ScenarioTeams0[[#This Row],[wins]]/ScenarioTeams0[[#This Row],[battles]],0)</f>
        <v>0.73333333333333328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3" s="3">
        <f>IF(ScenarioTeams0[[#This Row],[battles]],ScenarioTeams0[[#This Row],[wins]]/ScenarioTeams0[[#This Row],[battles]],0)</f>
        <v>0.6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4" s="3">
        <f>IF(ScenarioTeams0[[#This Row],[battles]],ScenarioTeams0[[#This Row],[wins]]/ScenarioTeams0[[#This Row],[battles]],0)</f>
        <v>0.73333333333333328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25" s="3">
        <f>IF(ScenarioTeams0[[#This Row],[battles]],ScenarioTeams0[[#This Row],[wins]]/ScenarioTeams0[[#This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6" s="3">
        <f>IF(ScenarioTeams0[[#This Row],[battles]],ScenarioTeams0[[#This Row],[wins]]/ScenarioTeams0[[#This Row],[battles]],0)</f>
        <v>0.4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14</v>
      </c>
      <c r="M27" s="3">
        <f>IF(ScenarioTeams0[[#This Row],[battles]],ScenarioTeams0[[#This Row],[wins]]/ScenarioTeams0[[#This Row],[battles]],0)</f>
        <v>0.93333333333333335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28" s="3">
        <f>IF(ScenarioTeams0[[#This Row],[battles]],ScenarioTeams0[[#This Row],[wins]]/ScenarioTeams0[[#This Row],[battles]],0)</f>
        <v>0.26666666666666666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9" s="3">
        <f>IF(ScenarioTeams0[[#This Row],[battles]],ScenarioTeams0[[#This Row],[wins]]/ScenarioTeams0[[#This Row],[battles]],0)</f>
        <v>0.46666666666666667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30" s="3">
        <f>IF(ScenarioTeams0[[#This Row],[battles]],ScenarioTeams0[[#This Row],[wins]]/ScenarioTeams0[[#This Row],[battles]],0)</f>
        <v>0.2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0.24675324675324675</v>
      </c>
    </row>
    <row r="3" spans="1:22" x14ac:dyDescent="0.25">
      <c r="A3" t="s">
        <v>72</v>
      </c>
      <c r="B3">
        <f>L3+L24+L45+L66+L87+L108</f>
        <v>184</v>
      </c>
      <c r="C3">
        <f>M3+M24+M45+M66+M87+M108</f>
        <v>62</v>
      </c>
      <c r="D3" s="3">
        <f>IF(SUM(LightbringerAbilities1[[#This Row],[takes]]) &gt; 0,LightbringerAbilities1[[#This Row],[takes]]/SUM(LightbringerAbilities1[takes]),0)</f>
        <v>0.47792207792207791</v>
      </c>
      <c r="E3" s="3">
        <f>IF(LightbringerAbilities1[[#This Row],[takes]]&gt;0,LightbringerAbilities1[[#This Row],[wins]]/LightbringerAbilities1[[#This Row],[takes]],0)</f>
        <v>0.33695652173913043</v>
      </c>
      <c r="G3">
        <v>1</v>
      </c>
      <c r="H3">
        <f>R3+R24+R45+R66+R87+R108</f>
        <v>161</v>
      </c>
      <c r="I3" s="18">
        <f>S3+S24+S45+S66+S87+S108</f>
        <v>259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76</v>
      </c>
      <c r="M3">
        <f>COUNTIF(Scenario0[winner1-ability1],LightbringerAbilities1Scenario0[[#This Row],[ability]])+COUNTIF(Scenario0[winner2-ability1],LightbringerAbilities1Scenario0[[#This Row],[ability]])</f>
        <v>25</v>
      </c>
      <c r="N3" s="3">
        <f>IF(SUM(LightbringerAbilities1Scenario0[[#This Row],[takes]]) &gt; 0,LightbringerAbilities1Scenario0[[#This Row],[takes]]/SUM(LightbringerAbilities1Scenario0[takes]),0)</f>
        <v>0.72380952380952379</v>
      </c>
      <c r="O3" s="3">
        <f>IF(LightbringerAbilities1Scenario0[[#This Row],[takes]]&gt;0,LightbringerAbilities1Scenario0[[#This Row],[wins]]/LightbringerAbilities1Scenario0[[#This Row],[takes]],0)</f>
        <v>0.32894736842105265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76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99</v>
      </c>
      <c r="U3" t="s">
        <v>204</v>
      </c>
      <c r="V3" s="16">
        <f>H5/SUM(LightbringerEquip[hammer])</f>
        <v>0.33506493506493507</v>
      </c>
    </row>
    <row r="4" spans="1:22" x14ac:dyDescent="0.25">
      <c r="A4" t="s">
        <v>145</v>
      </c>
      <c r="B4">
        <f t="shared" ref="B4:B5" si="0">L4+L25+L46+L67+L88+L109</f>
        <v>92</v>
      </c>
      <c r="C4">
        <f t="shared" ref="C4:C5" si="1">M4+M25+M46+M67+M88+M109</f>
        <v>40</v>
      </c>
      <c r="D4" s="3">
        <f>IF(SUM(LightbringerAbilities1[[#This Row],[takes]]) &gt; 0,LightbringerAbilities1[[#This Row],[takes]]/SUM(LightbringerAbilities1[takes]),0)</f>
        <v>0.23896103896103896</v>
      </c>
      <c r="E4" s="3">
        <f>IF(LightbringerAbilities1[[#This Row],[takes]]&gt;0,LightbringerAbilities1[[#This Row],[wins]]/LightbringerAbilities1[[#This Row],[takes]],0)</f>
        <v>0.43478260869565216</v>
      </c>
      <c r="G4">
        <v>2</v>
      </c>
      <c r="H4">
        <f t="shared" ref="H4:H5" si="2">R4+R25+R46+R67+R88+R109</f>
        <v>95</v>
      </c>
      <c r="I4" s="18">
        <f t="shared" ref="I4:I5" si="3">S4+S25+S46+S67+S88+S109</f>
        <v>47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2</v>
      </c>
      <c r="M4">
        <f>COUNTIF(Scenario0[winner1-ability1],LightbringerAbilities1Scenario0[[#This Row],[ability]])+COUNTIF(Scenario0[winner2-ability1],LightbringerAbilities1Scenario0[[#This Row],[ability]])</f>
        <v>2</v>
      </c>
      <c r="N4" s="3">
        <f>IF(SUM(LightbringerAbilities1Scenario0[[#This Row],[takes]]) &gt; 0,LightbringerAbilities1Scenario0[[#This Row],[takes]]/SUM(LightbringerAbilities1Scenario0[takes]),0)</f>
        <v>1.9047619047619049E-2</v>
      </c>
      <c r="O4" s="3">
        <f>IF(LightbringerAbilities1Scenario0[[#This Row],[takes]]&gt;0,LightbringerAbilities1Scenario0[[#This Row],[wins]]/LightbringerAbilities1Scenario0[[#This Row],[takes]],0)</f>
        <v>1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23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6</v>
      </c>
      <c r="U4" t="s">
        <v>179</v>
      </c>
      <c r="V4" s="3">
        <f>LightbringerEquip[[#This Row],[chestpiece]]/SUM(LightbringerEquip[chestpiece])</f>
        <v>0.12207792207792208</v>
      </c>
    </row>
    <row r="5" spans="1:22" x14ac:dyDescent="0.25">
      <c r="A5" t="s">
        <v>103</v>
      </c>
      <c r="B5">
        <f t="shared" si="0"/>
        <v>109</v>
      </c>
      <c r="C5">
        <f t="shared" si="1"/>
        <v>52</v>
      </c>
      <c r="D5" s="3">
        <f>IF(SUM(LightbringerAbilities1[[#This Row],[takes]]) &gt; 0,LightbringerAbilities1[[#This Row],[takes]]/SUM(LightbringerAbilities1[takes]),0)</f>
        <v>0.2831168831168831</v>
      </c>
      <c r="E5" s="3">
        <f>IF(LightbringerAbilities1[[#This Row],[takes]]&gt;0,LightbringerAbilities1[[#This Row],[wins]]/LightbringerAbilities1[[#This Row],[takes]],0)</f>
        <v>0.47706422018348627</v>
      </c>
      <c r="G5">
        <v>3</v>
      </c>
      <c r="H5">
        <f t="shared" si="2"/>
        <v>129</v>
      </c>
      <c r="I5" s="18">
        <f t="shared" si="3"/>
        <v>79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27</v>
      </c>
      <c r="M5">
        <f>COUNTIF(Scenario0[winner1-ability1],LightbringerAbilities1Scenario0[[#This Row],[ability]])+COUNTIF(Scenario0[winner2-ability1],LightbringerAbilities1Scenario0[[#This Row],[ability]])</f>
        <v>12</v>
      </c>
      <c r="N5" s="3">
        <f>IF(SUM(LightbringerAbilities1Scenario0[[#This Row],[takes]]) &gt; 0,LightbringerAbilities1Scenario0[[#This Row],[takes]]/SUM(LightbringerAbilities1Scenario0[takes]),0)</f>
        <v>0.25714285714285712</v>
      </c>
      <c r="O5" s="3">
        <f>IF(LightbringerAbilities1Scenario0[[#This Row],[takes]]&gt;0,LightbringerAbilities1Scenario0[[#This Row],[wins]]/LightbringerAbilities1Scenario0[[#This Row],[takes]],0)</f>
        <v>0.44444444444444442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6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0.20519480519480521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0.8571428571428571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0.54545454545454541</v>
      </c>
    </row>
    <row r="8" spans="1:22" x14ac:dyDescent="0.25">
      <c r="A8" s="2" t="s">
        <v>95</v>
      </c>
      <c r="B8" s="2">
        <f>L8+L29+L50+L71+L92+L113</f>
        <v>75</v>
      </c>
      <c r="C8" s="2">
        <f>M8+M29+M50+M71+M92+M113</f>
        <v>30</v>
      </c>
      <c r="D8" s="12">
        <f>IF(SUM(LightbringerAbilities2[[#This Row],[takes]]) &gt; 0,LightbringerAbilities2[[#This Row],[takes]]/SUM(LightbringerAbilities2[takes]),0)</f>
        <v>0.22727272727272727</v>
      </c>
      <c r="E8" s="12">
        <f>IF(LightbringerAbilities2[[#This Row],[takes]]&gt;0,LightbringerAbilities2[[#This Row],[wins]]/LightbringerAbilities2[[#This Row],[takes]],0)</f>
        <v>0.4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19</v>
      </c>
      <c r="M8" s="2">
        <f>COUNTIF(Scenario0[winner1-ability2],LightbringerAbilities2Scenario0[[#This Row],[ability]])+COUNTIF(Scenario0[winner2-ability2],LightbringerAbilities2Scenario0[[#This Row],[ability]])</f>
        <v>10</v>
      </c>
      <c r="N8" s="12">
        <f>IF(SUM(LightbringerAbilities2Scenario0[[#This Row],[takes]]) &gt; 0,LightbringerAbilities2Scenario0[[#This Row],[takes]]/SUM(LightbringerAbilities2Scenario0[takes]),0)</f>
        <v>0.31147540983606559</v>
      </c>
      <c r="O8" s="12">
        <f>IF(LightbringerAbilities2Scenario0[[#This Row],[takes]]&gt;0,LightbringerAbilities2Scenario0[[#This Row],[wins]]/LightbringerAbilities2Scenario0[[#This Row],[takes]],0)</f>
        <v>0.52631578947368418</v>
      </c>
      <c r="S8" s="18"/>
      <c r="U8" t="s">
        <v>178</v>
      </c>
      <c r="V8" s="16">
        <f>SUM(LightbringerAbilities4[takes])/SUM(LightbringerAbilities1[takes])</f>
        <v>0.34285714285714286</v>
      </c>
    </row>
    <row r="9" spans="1:22" x14ac:dyDescent="0.25">
      <c r="A9" t="s">
        <v>146</v>
      </c>
      <c r="B9" s="2">
        <f t="shared" ref="B9:B10" si="4">L9+L30+L51+L72+L93+L114</f>
        <v>103</v>
      </c>
      <c r="C9" s="2">
        <f t="shared" ref="C9:C10" si="5">M9+M30+M51+M72+M93+M114</f>
        <v>53</v>
      </c>
      <c r="D9" s="3">
        <f>IF(SUM(LightbringerAbilities2[[#This Row],[takes]]) &gt; 0,LightbringerAbilities2[[#This Row],[takes]]/SUM(LightbringerAbilities2[takes]),0)</f>
        <v>0.31212121212121213</v>
      </c>
      <c r="E9" s="3">
        <f>IF(LightbringerAbilities2[[#This Row],[takes]]&gt;0,LightbringerAbilities2[[#This Row],[wins]]/LightbringerAbilities2[[#This Row],[takes]],0)</f>
        <v>0.5145631067961165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7</v>
      </c>
      <c r="M9" s="2">
        <f>COUNTIF(Scenario0[winner1-ability2],LightbringerAbilities2Scenario0[[#This Row],[ability]])+COUNTIF(Scenario0[winner2-ability2],LightbringerAbilities2Scenario0[[#This Row],[ability]])</f>
        <v>4</v>
      </c>
      <c r="N9" s="3">
        <f>IF(SUM(LightbringerAbilities2Scenario0[[#This Row],[takes]]) &gt; 0,LightbringerAbilities2Scenario0[[#This Row],[takes]]/SUM(LightbringerAbilities2Scenario0[takes]),0)</f>
        <v>0.11475409836065574</v>
      </c>
      <c r="O9" s="3">
        <f>IF(LightbringerAbilities2Scenario0[[#This Row],[takes]]&gt;0,LightbringerAbilities2Scenario0[[#This Row],[wins]]/LightbringerAbilities2Scenario0[[#This Row],[takes]],0)</f>
        <v>0.5714285714285714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2.6545454545454548</v>
      </c>
    </row>
    <row r="10" spans="1:22" x14ac:dyDescent="0.25">
      <c r="A10" s="10" t="s">
        <v>91</v>
      </c>
      <c r="B10" s="2">
        <f t="shared" si="4"/>
        <v>152</v>
      </c>
      <c r="C10" s="2">
        <f t="shared" si="5"/>
        <v>58</v>
      </c>
      <c r="D10" s="13">
        <f>IF(SUM(LightbringerAbilities2[[#This Row],[takes]]) &gt; 0,LightbringerAbilities2[[#This Row],[takes]]/SUM(LightbringerAbilities2[takes]),0)</f>
        <v>0.46060606060606063</v>
      </c>
      <c r="E10" s="13">
        <f>IF(LightbringerAbilities2[[#This Row],[takes]]&gt;0,LightbringerAbilities2[[#This Row],[wins]]/LightbringerAbilities2[[#This Row],[takes]],0)</f>
        <v>0.38157894736842107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35</v>
      </c>
      <c r="M10" s="2">
        <f>COUNTIF(Scenario0[winner1-ability2],LightbringerAbilities2Scenario0[[#This Row],[ability]])+COUNTIF(Scenario0[winner2-ability2],LightbringerAbilities2Scenario0[[#This Row],[ability]])</f>
        <v>15</v>
      </c>
      <c r="N10" s="13">
        <f>IF(SUM(LightbringerAbilities2Scenario0[[#This Row],[takes]]) &gt; 0,LightbringerAbilities2Scenario0[[#This Row],[takes]]/SUM(LightbringerAbilities2Scenario0[takes]),0)</f>
        <v>0.57377049180327866</v>
      </c>
      <c r="O10" s="13">
        <f>IF(LightbringerAbilities2Scenario0[[#This Row],[takes]]&gt;0,LightbringerAbilities2Scenario0[[#This Row],[wins]]/LightbringerAbilities2Scenario0[[#This Row],[takes]],0)</f>
        <v>0.42857142857142855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57</v>
      </c>
      <c r="C13" s="1">
        <f>M13+M34+M55+M76+M97+M118</f>
        <v>26</v>
      </c>
      <c r="D13" s="14">
        <f>IF(SUM(LightbringerAbilities3[[#This Row],[takes]]) &gt; 0,LightbringerAbilities3[[#This Row],[takes]]/SUM(LightbringerAbilities3[takes]),0)</f>
        <v>0.27142857142857141</v>
      </c>
      <c r="E13" s="14">
        <f>IF(LightbringerAbilities3[[#This Row],[takes]]&gt;0,LightbringerAbilities3[[#This Row],[wins]]/LightbringerAbilities3[[#This Row],[takes]],0)</f>
        <v>0.45614035087719296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5</v>
      </c>
      <c r="M13" s="1">
        <f>COUNTIF(Scenario0[winner1-ability3],LightbringerAbilities3Scenario0[[#This Row],[ability]])+COUNTIF(Scenario0[winner2-ability3],LightbringerAbilities3Scenario0[[#This Row],[ability]])</f>
        <v>4</v>
      </c>
      <c r="N13" s="14">
        <f>IF(SUM(LightbringerAbilities3Scenario0[[#This Row],[takes]]) &gt; 0,LightbringerAbilities3Scenario0[[#This Row],[takes]]/SUM(LightbringerAbilities3Scenario0[takes]),0)</f>
        <v>0.45454545454545453</v>
      </c>
      <c r="O13" s="14">
        <f>IF(LightbringerAbilities3Scenario0[[#This Row],[takes]]&gt;0,LightbringerAbilities3Scenario0[[#This Row],[wins]]/LightbringerAbilities3Scenario0[[#This Row],[takes]],0)</f>
        <v>0.8</v>
      </c>
      <c r="S13" s="18"/>
    </row>
    <row r="14" spans="1:22" x14ac:dyDescent="0.25">
      <c r="A14" s="2" t="s">
        <v>147</v>
      </c>
      <c r="B14" s="2">
        <f t="shared" ref="B14:B15" si="6">L14+L35+L56+L77+L98+L119</f>
        <v>65</v>
      </c>
      <c r="C14" s="2">
        <f t="shared" ref="C14:C15" si="7">M14+M35+M56+M77+M98+M119</f>
        <v>31</v>
      </c>
      <c r="D14" s="12">
        <f>IF(SUM(LightbringerAbilities3[[#This Row],[takes]]) &gt; 0,LightbringerAbilities3[[#This Row],[takes]]/SUM(LightbringerAbilities3[takes]),0)</f>
        <v>0.30952380952380953</v>
      </c>
      <c r="E14" s="12">
        <f>IF(LightbringerAbilities3[[#This Row],[takes]]&gt;0,LightbringerAbilities3[[#This Row],[wins]]/LightbringerAbilities3[[#This Row],[takes]],0)</f>
        <v>0.47692307692307695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6</v>
      </c>
      <c r="M14" s="2">
        <f>COUNTIF(Scenario0[winner1-ability3],LightbringerAbilities3Scenario0[[#This Row],[ability]])+COUNTIF(Scenario0[winner2-ability3],LightbringerAbilities3Scenario0[[#This Row],[ability]])</f>
        <v>2</v>
      </c>
      <c r="N14" s="12">
        <f>IF(SUM(LightbringerAbilities3Scenario0[[#This Row],[takes]]) &gt; 0,LightbringerAbilities3Scenario0[[#This Row],[takes]]/SUM(LightbringerAbilities3Scenario0[takes]),0)</f>
        <v>0.54545454545454541</v>
      </c>
      <c r="O14" s="12">
        <f>IF(LightbringerAbilities3Scenario0[[#This Row],[takes]]&gt;0,LightbringerAbilities3Scenario0[[#This Row],[wins]]/LightbringerAbilities3Scenario0[[#This Row],[takes]],0)</f>
        <v>0.33333333333333331</v>
      </c>
      <c r="S14" s="18"/>
    </row>
    <row r="15" spans="1:22" x14ac:dyDescent="0.25">
      <c r="A15" s="11" t="s">
        <v>148</v>
      </c>
      <c r="B15" s="1">
        <f t="shared" si="6"/>
        <v>88</v>
      </c>
      <c r="C15" s="1">
        <f t="shared" si="7"/>
        <v>34</v>
      </c>
      <c r="D15" s="15">
        <f>IF(SUM(LightbringerAbilities3[[#This Row],[takes]]) &gt; 0,LightbringerAbilities3[[#This Row],[takes]]/SUM(LightbringerAbilities3[takes]),0)</f>
        <v>0.41904761904761906</v>
      </c>
      <c r="E15" s="15">
        <f>IF(LightbringerAbilities3[[#This Row],[takes]]&gt;0,LightbringerAbilities3[[#This Row],[wins]]/LightbringerAbilities3[[#This Row],[takes]],0)</f>
        <v>0.38636363636363635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14</v>
      </c>
      <c r="C18" s="2">
        <f>M18+M39+M60+M81+M102+M123</f>
        <v>9</v>
      </c>
      <c r="D18" s="12">
        <f>IF(SUM(LightbringerAbilities4[[#This Row],[takes]]) &gt; 0,LightbringerAbilities4[[#This Row],[takes]]/SUM(LightbringerAbilities4[takes]),0)</f>
        <v>0.10606060606060606</v>
      </c>
      <c r="E18" s="12">
        <f>IF(LightbringerAbilities4[[#This Row],[takes]]&gt;0,LightbringerAbilities4[[#This Row],[wins]]/LightbringerAbilities4[[#This Row],[takes]],0)</f>
        <v>0.6428571428571429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8" s="2">
        <f>COUNTIF(Scenario0[winner1-ability4],LightbringerAbilities4Scenario0[[#This Row],[ability]])+COUNTIF(Scenario0[winner2-ability4],LightbringerAbilities4Scenario0[[#This Row],[ability]])</f>
        <v>1</v>
      </c>
      <c r="N18" s="12">
        <f>IF(SUM(LightbringerAbilities4Scenario0[[#This Row],[takes]]) &gt; 0,LightbringerAbilities4Scenario0[[#This Row],[takes]]/SUM(LightbringerAbilities4Scenario0[takes]),0)</f>
        <v>0.5</v>
      </c>
      <c r="O18" s="12">
        <f>IF(LightbringerAbilities4Scenario0[[#This Row],[takes]]&gt;0,LightbringerAbilities4Scenario0[[#This Row],[wins]]/LightbringerAbilities4Scenario0[[#This Row],[takes]],0)</f>
        <v>1</v>
      </c>
      <c r="S18" s="18"/>
    </row>
    <row r="19" spans="1:20" x14ac:dyDescent="0.25">
      <c r="A19" s="2" t="s">
        <v>150</v>
      </c>
      <c r="B19" s="2">
        <f t="shared" ref="B19:B20" si="8">L19+L40+L61+L82+L103+L124</f>
        <v>38</v>
      </c>
      <c r="C19" s="2">
        <f t="shared" ref="C19:C20" si="9">M19+M40+M61+M82+M103+M124</f>
        <v>28</v>
      </c>
      <c r="D19" s="12">
        <f>IF(SUM(LightbringerAbilities4[[#This Row],[takes]]) &gt; 0,LightbringerAbilities4[[#This Row],[takes]]/SUM(LightbringerAbilities4[takes]),0)</f>
        <v>0.2878787878787879</v>
      </c>
      <c r="E19" s="12">
        <f>IF(LightbringerAbilities4[[#This Row],[takes]]&gt;0,LightbringerAbilities4[[#This Row],[wins]]/LightbringerAbilities4[[#This Row],[takes]],0)</f>
        <v>0.73684210526315785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80</v>
      </c>
      <c r="C20" s="2">
        <f t="shared" si="9"/>
        <v>30</v>
      </c>
      <c r="D20" s="26">
        <f>IF(SUM(LightbringerAbilities4[[#This Row],[takes]]) &gt; 0,LightbringerAbilities4[[#This Row],[takes]]/SUM(LightbringerAbilities4[takes]),0)</f>
        <v>0.60606060606060608</v>
      </c>
      <c r="E20" s="26">
        <f>IF(LightbringerAbilities4[[#This Row],[takes]]&gt;0,LightbringerAbilities4[[#This Row],[wins]]/LightbringerAbilities4[[#This Row],[takes]],0)</f>
        <v>0.375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5">
        <f>COUNTIF(Scenario0[winner1-ability4],LightbringerAbilities4Scenario0[[#This Row],[ability]])+COUNTIF(Scenario0[winner2-ability4],LightbringerAbilities4Scenario0[[#This Row],[ability]])</f>
        <v>1</v>
      </c>
      <c r="N20" s="26">
        <f>IF(SUM(LightbringerAbilities4Scenario0[[#This Row],[takes]]) &gt; 0,LightbringerAbilities4Scenario0[[#This Row],[takes]]/SUM(LightbringerAbilities4Scenario0[takes]),0)</f>
        <v>0.5</v>
      </c>
      <c r="O20" s="26">
        <f>IF(LightbringerAbilities4Scenario0[[#This Row],[takes]]&gt;0,LightbringerAbilities4Scenario0[[#This Row],[wins]]/LightbringerAbilities4Scenario0[[#This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91</v>
      </c>
      <c r="M24">
        <f>COUNTIF(Scenario1[winner1-ability1],LightbringerAbilities1Scenario1[[#This Row],[ability]])+COUNTIF(Scenario1[winner2-ability1],LightbringerAbilities1Scenario1[[#This Row],[ability]])</f>
        <v>27</v>
      </c>
      <c r="N24" s="3">
        <f>IF(SUM(LightbringerAbilities1Scenario1[[#This Row],[takes]]) &gt; 0,LightbringerAbilities1Scenario1[[#This Row],[takes]]/SUM(LightbringerAbilities1Scenario1[takes]),0)</f>
        <v>0.8666666666666667</v>
      </c>
      <c r="O24" s="3">
        <f>IF(LightbringerAbilities1Scenario1[[#This Row],[takes]]&gt;0,LightbringerAbilities1Scenario1[[#This Row],[wins]]/LightbringerAbilities1Scenario1[[#This Row],[takes]],0)</f>
        <v>0.2967032967032967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28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99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43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3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14</v>
      </c>
      <c r="M26">
        <f>COUNTIF(Scenario1[winner1-ability1],LightbringerAbilities1Scenario1[[#This Row],[ability]])+COUNTIF(Scenario1[winner2-ability1],LightbringerAbilities1Scenario1[[#This Row],[ability]])</f>
        <v>9</v>
      </c>
      <c r="N26" s="3">
        <f>IF(SUM(LightbringerAbilities1Scenario1[[#This Row],[takes]]) &gt; 0,LightbringerAbilities1Scenario1[[#This Row],[takes]]/SUM(LightbringerAbilities1Scenario1[takes]),0)</f>
        <v>0.13333333333333333</v>
      </c>
      <c r="O26" s="3">
        <f>IF(LightbringerAbilities1Scenario1[[#This Row],[takes]]&gt;0,LightbringerAbilities1Scenario1[[#This Row],[wins]]/LightbringerAbilities1Scenario1[[#This Row],[takes]],0)</f>
        <v>0.6428571428571429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34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47</v>
      </c>
      <c r="M29" s="2">
        <f>COUNTIF(Scenario1[winner1-ability2],LightbringerAbilities2Scenario1[[#This Row],[ability]])+COUNTIF(Scenario1[winner2-ability2],LightbringerAbilities2Scenario1[[#This Row],[ability]])</f>
        <v>14</v>
      </c>
      <c r="N29" s="12">
        <f>IF(SUM(LightbringerAbilities2Scenario1[[#This Row],[takes]]) &gt; 0,LightbringerAbilities2Scenario1[[#This Row],[takes]]/SUM(LightbringerAbilities2Scenario1[takes]),0)</f>
        <v>0.4845360824742268</v>
      </c>
      <c r="O29" s="12">
        <f>IF(LightbringerAbilities2Scenario1[[#This Row],[takes]]&gt;0,LightbringerAbilities2Scenario1[[#This Row],[wins]]/LightbringerAbilities2Scenario1[[#This Row],[takes]],0)</f>
        <v>0.2978723404255319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21</v>
      </c>
      <c r="M30" s="2">
        <f>COUNTIF(Scenario1[winner1-ability2],LightbringerAbilities2Scenario1[[#This Row],[ability]])+COUNTIF(Scenario1[winner2-ability2],LightbringerAbilities2Scenario1[[#This Row],[ability]])</f>
        <v>11</v>
      </c>
      <c r="N30" s="3">
        <f>IF(SUM(LightbringerAbilities2Scenario1[[#This Row],[takes]]) &gt; 0,LightbringerAbilities2Scenario1[[#This Row],[takes]]/SUM(LightbringerAbilities2Scenario1[takes]),0)</f>
        <v>0.21649484536082475</v>
      </c>
      <c r="O30" s="3">
        <f>IF(LightbringerAbilities2Scenario1[[#This Row],[takes]]&gt;0,LightbringerAbilities2Scenario1[[#This Row],[wins]]/LightbringerAbilities2Scenario1[[#This Row],[takes]],0)</f>
        <v>0.52380952380952384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29</v>
      </c>
      <c r="M31" s="2">
        <f>COUNTIF(Scenario1[winner1-ability2],LightbringerAbilities2Scenario1[[#This Row],[ability]])+COUNTIF(Scenario1[winner2-ability2],LightbringerAbilities2Scenario1[[#This Row],[ability]])</f>
        <v>9</v>
      </c>
      <c r="N31" s="13">
        <f>IF(SUM(LightbringerAbilities2Scenario1[[#This Row],[takes]]) &gt; 0,LightbringerAbilities2Scenario1[[#This Row],[takes]]/SUM(LightbringerAbilities2Scenario1[takes]),0)</f>
        <v>0.29896907216494845</v>
      </c>
      <c r="O31" s="13">
        <f>IF(LightbringerAbilities2Scenario1[[#This Row],[takes]]&gt;0,LightbringerAbilities2Scenario1[[#This Row],[wins]]/LightbringerAbilities2Scenario1[[#This Row],[takes]],0)</f>
        <v>0.31034482758620691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22</v>
      </c>
      <c r="M34" s="1">
        <f>COUNTIF(Scenario1[winner1-ability3],LightbringerAbilities3Scenario1[[#This Row],[ability]])+COUNTIF(Scenario1[winner2-ability3],LightbringerAbilities3Scenario1[[#This Row],[ability]])</f>
        <v>8</v>
      </c>
      <c r="N34" s="14">
        <f>IF(SUM(LightbringerAbilities3Scenario1[[#This Row],[takes]]) &gt; 0,LightbringerAbilities3Scenario1[[#This Row],[takes]]/SUM(LightbringerAbilities3Scenario1[takes]),0)</f>
        <v>0.44897959183673469</v>
      </c>
      <c r="O34" s="14">
        <f>IF(LightbringerAbilities3Scenario1[[#This Row],[takes]]&gt;0,LightbringerAbilities3Scenario1[[#This Row],[wins]]/LightbringerAbilities3Scenario1[[#This Row],[takes]],0)</f>
        <v>0.36363636363636365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21</v>
      </c>
      <c r="M35" s="2">
        <f>COUNTIF(Scenario1[winner1-ability3],LightbringerAbilities3Scenario1[[#This Row],[ability]])+COUNTIF(Scenario1[winner2-ability3],LightbringerAbilities3Scenario1[[#This Row],[ability]])</f>
        <v>6</v>
      </c>
      <c r="N35" s="12">
        <f>IF(SUM(LightbringerAbilities3Scenario1[[#This Row],[takes]]) &gt; 0,LightbringerAbilities3Scenario1[[#This Row],[takes]]/SUM(LightbringerAbilities3Scenario1[takes]),0)</f>
        <v>0.42857142857142855</v>
      </c>
      <c r="O35" s="12">
        <f>IF(LightbringerAbilities3Scenario1[[#This Row],[takes]]&gt;0,LightbringerAbilities3Scenario1[[#This Row],[wins]]/LightbringerAbilities3Scenario1[[#This Row],[takes]],0)</f>
        <v>0.2857142857142857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6</v>
      </c>
      <c r="M36" s="1">
        <f>COUNTIF(Scenario1[winner1-ability3],LightbringerAbilities3Scenario1[[#This Row],[ability]])+COUNTIF(Scenario1[winner2-ability3],LightbringerAbilities3Scenario1[[#This Row],[ability]])</f>
        <v>2</v>
      </c>
      <c r="N36" s="15">
        <f>IF(SUM(LightbringerAbilities3Scenario1[[#This Row],[takes]]) &gt; 0,LightbringerAbilities3Scenario1[[#This Row],[takes]]/SUM(LightbringerAbilities3Scenario1[takes]),0)</f>
        <v>0.12244897959183673</v>
      </c>
      <c r="O36" s="15">
        <f>IF(LightbringerAbilities3Scenario1[[#This Row],[takes]]&gt;0,LightbringerAbilities3Scenario1[[#This Row],[wins]]/LightbringerAbilities3Scenario1[[#This Row],[takes]],0)</f>
        <v>0.33333333333333331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39" s="2">
        <f>COUNTIF(Scenario1[winner1-ability4],LightbringerAbilities4Scenario1[[#This Row],[ability]])+COUNTIF(Scenario1[winner2-ability4],LightbringerAbilities4Scenario1[[#This Row],[ability]])</f>
        <v>2</v>
      </c>
      <c r="N39" s="12">
        <f>IF(SUM(LightbringerAbilities4Scenario1[[#This Row],[takes]]) &gt; 0,LightbringerAbilities4Scenario1[[#This Row],[takes]]/SUM(LightbringerAbilities4Scenario1[takes]),0)</f>
        <v>0.5714285714285714</v>
      </c>
      <c r="O39" s="12">
        <f>IF(LightbringerAbilities4Scenario1[[#This Row],[takes]]&gt;0,LightbringerAbilities4Scenario1[[#This Row],[wins]]/LightbringerAbilities4Scenario1[[#This Row],[takes]],0)</f>
        <v>0.5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3</v>
      </c>
      <c r="M41" s="25">
        <f>COUNTIF(Scenario1[winner1-ability4],LightbringerAbilities4Scenario1[[#This Row],[ability]])+COUNTIF(Scenario1[winner2-ability4],LightbringerAbilities4Scenario1[[#This Row],[ability]])</f>
        <v>2</v>
      </c>
      <c r="N41" s="26">
        <f>IF(SUM(LightbringerAbilities4Scenario1[[#This Row],[takes]]) &gt; 0,LightbringerAbilities4Scenario1[[#This Row],[takes]]/SUM(LightbringerAbilities4Scenario1[takes]),0)</f>
        <v>0.42857142857142855</v>
      </c>
      <c r="O41" s="26">
        <f>IF(LightbringerAbilities4Scenario1[[#This Row],[takes]]&gt;0,LightbringerAbilities4Scenario1[[#This Row],[wins]]/LightbringerAbilities4Scenario1[[#This Row],[takes]],0)</f>
        <v>0.66666666666666663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2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0.14285714285714285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7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6</v>
      </c>
      <c r="M46">
        <f>COUNTIF(Scenario2[winner1-ability1],LightbringerAbilities1Scenario2[[#This Row],[ability]])</f>
        <v>1</v>
      </c>
      <c r="N46" s="3">
        <f>IF(SUM(LightbringerAbilities1Scenario2[[#This Row],[takes]]) &gt; 0,LightbringerAbilities1Scenario2[[#This Row],[takes]]/SUM(LightbringerAbilities1Scenario2[takes]),0)</f>
        <v>0.42857142857142855</v>
      </c>
      <c r="O46" s="3">
        <f>IF(LightbringerAbilities1Scenario2[[#This Row],[takes]]&gt;0,LightbringerAbilities1Scenario2[[#This Row],[wins]]/LightbringerAbilities1Scenario2[[#This Row],[takes]],0)</f>
        <v>0.16666666666666666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1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6</v>
      </c>
      <c r="M47">
        <f>COUNTIF(Scenario2[winner1-ability1],LightbringerAbilities1Scenario2[[#This Row],[ability]])</f>
        <v>1</v>
      </c>
      <c r="N47" s="3">
        <f>IF(SUM(LightbringerAbilities1Scenario2[[#This Row],[takes]]) &gt; 0,LightbringerAbilities1Scenario2[[#This Row],[takes]]/SUM(LightbringerAbilities1Scenario2[takes]),0)</f>
        <v>0.42857142857142855</v>
      </c>
      <c r="O47" s="3">
        <f>IF(LightbringerAbilities1Scenario2[[#This Row],[takes]]&gt;0,LightbringerAbilities1Scenario2[[#This Row],[wins]]/LightbringerAbilities1Scenario2[[#This Row],[takes]],0)</f>
        <v>0.16666666666666666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0</v>
      </c>
      <c r="M50" s="2">
        <f>COUNTIF(Scenario2[winner1-ability2],LightbringerAbilities2Scenario2[[#This Row],[ability]])</f>
        <v>0</v>
      </c>
      <c r="N50" s="12">
        <f>IF(SUM(LightbringerAbilities2Scenario2[[#This Row],[takes]]) &gt; 0,LightbringerAbilities2Scenario2[[#This Row],[takes]]/SUM(LightbringerAbilities2Scenario2[takes]),0)</f>
        <v>0</v>
      </c>
      <c r="O50" s="12">
        <f>IF(LightbringerAbilities2Scenario2[[#This Row],[takes]]&gt;0,LightbringerAbilities2Scenario2[[#This Row],[wins]]/LightbringerAbilities2Scenario2[[#This Row],[takes]],0)</f>
        <v>0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1</v>
      </c>
      <c r="N51" s="3">
        <f>IF(SUM(LightbringerAbilities2Scenario2[[#This Row],[takes]]) &gt; 0,LightbringerAbilities2Scenario2[[#This Row],[takes]]/SUM(LightbringerAbilities2Scenario2[takes]),0)</f>
        <v>0.5</v>
      </c>
      <c r="O51" s="3">
        <f>IF(LightbringerAbilities2Scenario2[[#This Row],[takes]]&gt;0,LightbringerAbilities2Scenario2[[#This Row],[wins]]/LightbringerAbilities2Scenario2[[#This Row],[takes]],0)</f>
        <v>0.16666666666666666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6</v>
      </c>
      <c r="M52" s="2">
        <f>COUNTIF(Scenario2[winner1-ability2],LightbringerAbilities2Scenario2[[#This Row],[ability]])</f>
        <v>1</v>
      </c>
      <c r="N52" s="13">
        <f>IF(SUM(LightbringerAbilities2Scenario2[[#This Row],[takes]]) &gt; 0,LightbringerAbilities2Scenario2[[#This Row],[takes]]/SUM(LightbringerAbilities2Scenario2[takes]),0)</f>
        <v>0.5</v>
      </c>
      <c r="O52" s="13">
        <f>IF(LightbringerAbilities2Scenario2[[#This Row],[takes]]&gt;0,LightbringerAbilities2Scenario2[[#This Row],[wins]]/LightbringerAbilities2Scenario2[[#This Row],[takes]],0)</f>
        <v>0.16666666666666666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5</v>
      </c>
      <c r="M55" s="1">
        <f>COUNTIF(Scenario2[winner1-ability3],LightbringerAbilities3Scenario2[[#This Row],[ability]])</f>
        <v>1</v>
      </c>
      <c r="N55" s="14">
        <f>IF(SUM(LightbringerAbilities3Scenario2[[#This Row],[takes]]) &gt; 0,LightbringerAbilities3Scenario2[[#This Row],[takes]]/SUM(LightbringerAbilities3Scenario2[takes]),0)</f>
        <v>0.41666666666666669</v>
      </c>
      <c r="O55" s="14">
        <f>IF(LightbringerAbilities3Scenario2[[#This Row],[takes]]&gt;0,LightbringerAbilities3Scenario2[[#This Row],[wins]]/LightbringerAbilities3Scenario2[[#This Row],[takes]],0)</f>
        <v>0.2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2</v>
      </c>
      <c r="M56" s="2">
        <f>COUNTIF(Scenario2[winner1-ability3],LightbringerAbilities3Scenario2[[#This Row],[ability]])</f>
        <v>1</v>
      </c>
      <c r="N56" s="12">
        <f>IF(SUM(LightbringerAbilities3Scenario2[[#This Row],[takes]]) &gt; 0,LightbringerAbilities3Scenario2[[#This Row],[takes]]/SUM(LightbringerAbilities3Scenario2[takes]),0)</f>
        <v>0.16666666666666666</v>
      </c>
      <c r="O56" s="12">
        <f>IF(LightbringerAbilities3Scenario2[[#This Row],[takes]]&gt;0,LightbringerAbilities3Scenario2[[#This Row],[wins]]/LightbringerAbilities3Scenario2[[#This Row],[takes]],0)</f>
        <v>0.5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5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0.41666666666666669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0</v>
      </c>
      <c r="M60" s="2">
        <f>COUNTIF(Scenario2[winner1-ability4],LightbringerAbilities4Scenario2[[#This Row],[ability]])</f>
        <v>0</v>
      </c>
      <c r="N60" s="12">
        <f>IF(SUM(LightbringerAbilities4Scenario2[[#This Row],[takes]]) &gt; 0,LightbringerAbilities4Scenario2[[#This Row],[takes]]/SUM(LightbringerAbilities4Scenario2[takes]),0)</f>
        <v>0</v>
      </c>
      <c r="O60" s="12">
        <f>IF(LightbringerAbilities4Scenario2[[#This Row],[takes]]&gt;0,LightbringerAbilities4Scenario2[[#This Row],[wins]]/LightbringerAbilities4Scenario2[[#This Row],[takes]],0)</f>
        <v>0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1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0.14285714285714285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6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0.8571428571428571</v>
      </c>
      <c r="O62" s="26">
        <f>IF(LightbringerAbilities4Scenario2[[#This Row],[takes]]&gt;0,LightbringerAbilities4Scenario2[[#This Row],[wins]]/LightbringerAbilities4Scenario2[[#This Row],[takes]],0)</f>
        <v>0.16666666666666666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4.7619047619047616E-2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10</v>
      </c>
      <c r="M67">
        <f>COUNTIF(Scenario3[winner1-ability1],LightbringerAbilities1Scenario3[[#This Row],[ability]])</f>
        <v>3</v>
      </c>
      <c r="N67" s="3">
        <f>IF(SUM(LightbringerAbilities1Scenario3[[#This Row],[takes]]) &gt; 0,LightbringerAbilities1Scenario3[[#This Row],[takes]]/SUM(LightbringerAbilities1Scenario3[takes]),0)</f>
        <v>0.47619047619047616</v>
      </c>
      <c r="O67" s="3">
        <f>IF(LightbringerAbilities1Scenario3[[#This Row],[takes]]&gt;0,LightbringerAbilities1Scenario3[[#This Row],[wins]]/LightbringerAbilities1Scenario3[[#This Row],[takes]],0)</f>
        <v>0.3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10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0.47619047619047616</v>
      </c>
      <c r="O68" s="3">
        <f>IF(LightbringerAbilities1Scenario3[[#This Row],[takes]]&gt;0,LightbringerAbilities1Scenario3[[#This Row],[wins]]/LightbringerAbilities1Scenario3[[#This Row],[takes]],0)</f>
        <v>0.2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14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14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4.7619047619047616E-2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12</v>
      </c>
      <c r="M72" s="2">
        <f>COUNTIF(Scenario3[winner1-ability2],LightbringerAbilities2Scenario3[[#This Row],[ability]])</f>
        <v>5</v>
      </c>
      <c r="N72" s="3">
        <f>IF(SUM(LightbringerAbilities2Scenario3[[#This Row],[takes]]) &gt; 0,LightbringerAbilities2Scenario3[[#This Row],[takes]]/SUM(LightbringerAbilities2Scenario3[takes]),0)</f>
        <v>0.5714285714285714</v>
      </c>
      <c r="O72" s="3">
        <f>IF(LightbringerAbilities2Scenario3[[#This Row],[takes]]&gt;0,LightbringerAbilities2Scenario3[[#This Row],[wins]]/LightbringerAbilities2Scenario3[[#This Row],[takes]],0)</f>
        <v>0.41666666666666669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8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0.38095238095238093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3</v>
      </c>
      <c r="M76" s="1">
        <f>COUNTIF(Scenario3[winner1-ability3],LightbringerAbilities3Scenario3[[#This Row],[ability]])</f>
        <v>1</v>
      </c>
      <c r="N76" s="14">
        <f>IF(SUM(LightbringerAbilities3Scenario3[[#This Row],[takes]]) &gt; 0,LightbringerAbilities3Scenario3[[#This Row],[takes]]/SUM(LightbringerAbilities3Scenario3[takes]),0)</f>
        <v>0.15</v>
      </c>
      <c r="O76" s="14">
        <f>IF(LightbringerAbilities3Scenario3[[#This Row],[takes]]&gt;0,LightbringerAbilities3Scenario3[[#This Row],[wins]]/LightbringerAbilities3Scenario3[[#This Row],[takes]],0)</f>
        <v>0.33333333333333331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2</v>
      </c>
      <c r="M77" s="2">
        <f>COUNTIF(Scenario3[winner1-ability3],LightbringerAbilities3Scenario3[[#This Row],[ability]])</f>
        <v>1</v>
      </c>
      <c r="N77" s="12">
        <f>IF(SUM(LightbringerAbilities3Scenario3[[#This Row],[takes]]) &gt; 0,LightbringerAbilities3Scenario3[[#This Row],[takes]]/SUM(LightbringerAbilities3Scenario3[takes]),0)</f>
        <v>0.1</v>
      </c>
      <c r="O77" s="12">
        <f>IF(LightbringerAbilities3Scenario3[[#This Row],[takes]]&gt;0,LightbringerAbilities3Scenario3[[#This Row],[wins]]/LightbringerAbilities3Scenario3[[#This Row],[takes]],0)</f>
        <v>0.5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15</v>
      </c>
      <c r="M78" s="1">
        <f>COUNTIF(Scenario3[winner1-ability3],LightbringerAbilities3Scenario3[[#This Row],[ability]])</f>
        <v>3</v>
      </c>
      <c r="N78" s="15">
        <f>IF(SUM(LightbringerAbilities3Scenario3[[#This Row],[takes]]) &gt; 0,LightbringerAbilities3Scenario3[[#This Row],[takes]]/SUM(LightbringerAbilities3Scenario3[takes]),0)</f>
        <v>0.75</v>
      </c>
      <c r="O78" s="15">
        <f>IF(LightbringerAbilities3Scenario3[[#This Row],[takes]]&gt;0,LightbringerAbilities3Scenario3[[#This Row],[wins]]/LightbringerAbilities3Scenario3[[#This Row],[takes]],0)</f>
        <v>0.2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</v>
      </c>
      <c r="M81" s="2">
        <f>COUNTIF(Scenario3[winner1-ability4],LightbringerAbilities4Scenario3[[#This Row],[ability]])</f>
        <v>1</v>
      </c>
      <c r="N81" s="12">
        <f>IF(SUM(LightbringerAbilities4Scenario3[[#This Row],[takes]]) &gt; 0,LightbringerAbilities4Scenario3[[#This Row],[takes]]/SUM(LightbringerAbilities4Scenario3[takes]),0)</f>
        <v>5.5555555555555552E-2</v>
      </c>
      <c r="O81" s="12">
        <f>IF(LightbringerAbilities4Scenario3[[#This Row],[takes]]&gt;0,LightbringerAbilities4Scenario3[[#This Row],[wins]]/LightbringerAbilities4Scenario3[[#This Row],[takes]],0)</f>
        <v>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2</v>
      </c>
      <c r="N82" s="12">
        <f>IF(SUM(LightbringerAbilities4Scenario3[[#This Row],[takes]]) &gt; 0,LightbringerAbilities4Scenario3[[#This Row],[takes]]/SUM(LightbringerAbilities4Scenario3[takes]),0)</f>
        <v>0.16666666666666666</v>
      </c>
      <c r="O82" s="12">
        <f>IF(LightbringerAbilities4Scenario3[[#This Row],[takes]]&gt;0,LightbringerAbilities4Scenario3[[#This Row],[wins]]/LightbringerAbilities4Scenario3[[#This Row],[takes]],0)</f>
        <v>0.66666666666666663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14</v>
      </c>
      <c r="M83" s="2">
        <f>COUNTIF(Scenario3[winner1-ability4],LightbringerAbilities4Scenario3[[#This Row],[ability]])</f>
        <v>2</v>
      </c>
      <c r="N83" s="26">
        <f>IF(SUM(LightbringerAbilities4Scenario3[[#This Row],[takes]]) &gt; 0,LightbringerAbilities4Scenario3[[#This Row],[takes]]/SUM(LightbringerAbilities4Scenario3[takes]),0)</f>
        <v>0.77777777777777779</v>
      </c>
      <c r="O83" s="26">
        <f>IF(LightbringerAbilities4Scenario3[[#This Row],[takes]]&gt;0,LightbringerAbilities4Scenario3[[#This Row],[wins]]/LightbringerAbilities4Scenario3[[#This Row],[takes]],0)</f>
        <v>0.14285714285714285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8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7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26</v>
      </c>
      <c r="M88">
        <f>COUNTIF(Scenario4[winner1-ability1],LightbringerAbilities1Scenario4[[#This Row],[ability]])</f>
        <v>7</v>
      </c>
      <c r="N88" s="3">
        <f>IF(SUM(LightbringerAbilities1Scenario4[[#This Row],[takes]]) &gt; 0,LightbringerAbilities1Scenario4[[#This Row],[takes]]/SUM(LightbringerAbilities1Scenario4[takes]),0)</f>
        <v>0.74285714285714288</v>
      </c>
      <c r="O88" s="3">
        <f>IF(LightbringerAbilities1Scenario4[[#This Row],[takes]]&gt;0,LightbringerAbilities1Scenario4[[#This Row],[wins]]/LightbringerAbilities1Scenario4[[#This Row],[takes]],0)</f>
        <v>0.26923076923076922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6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6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9</v>
      </c>
      <c r="M89">
        <f>COUNTIF(Scenario4[winner1-ability1],LightbringerAbilities1Scenario4[[#This Row],[ability]])</f>
        <v>2</v>
      </c>
      <c r="N89" s="3">
        <f>IF(SUM(LightbringerAbilities1Scenario4[[#This Row],[takes]]) &gt; 0,LightbringerAbilities1Scenario4[[#This Row],[takes]]/SUM(LightbringerAbilities1Scenario4[takes]),0)</f>
        <v>0.25714285714285712</v>
      </c>
      <c r="O89" s="3">
        <f>IF(LightbringerAbilities1Scenario4[[#This Row],[takes]]&gt;0,LightbringerAbilities1Scenario4[[#This Row],[wins]]/LightbringerAbilities1Scenario4[[#This Row],[takes]],0)</f>
        <v>0.22222222222222221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21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12</v>
      </c>
      <c r="M93" s="2">
        <f>COUNTIF(Scenario4[winner1-ability2],LightbringerAbilities2Scenario4[[#This Row],[ability]])</f>
        <v>5</v>
      </c>
      <c r="N93" s="3">
        <f>IF(SUM(LightbringerAbilities2Scenario4[[#This Row],[takes]]) &gt; 0,LightbringerAbilities2Scenario4[[#This Row],[takes]]/SUM(LightbringerAbilities2Scenario4[takes]),0)</f>
        <v>0.34285714285714286</v>
      </c>
      <c r="O93" s="3">
        <f>IF(LightbringerAbilities2Scenario4[[#This Row],[takes]]&gt;0,LightbringerAbilities2Scenario4[[#This Row],[wins]]/LightbringerAbilities2Scenario4[[#This Row],[takes]],0)</f>
        <v>0.41666666666666669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23</v>
      </c>
      <c r="M94" s="2">
        <f>COUNTIF(Scenario4[winner1-ability2],LightbringerAbilities2Scenario4[[#This Row],[ability]])</f>
        <v>4</v>
      </c>
      <c r="N94" s="13">
        <f>IF(SUM(LightbringerAbilities2Scenario4[[#This Row],[takes]]) &gt; 0,LightbringerAbilities2Scenario4[[#This Row],[takes]]/SUM(LightbringerAbilities2Scenario4[takes]),0)</f>
        <v>0.65714285714285714</v>
      </c>
      <c r="O94" s="13">
        <f>IF(LightbringerAbilities2Scenario4[[#This Row],[takes]]&gt;0,LightbringerAbilities2Scenario4[[#This Row],[wins]]/LightbringerAbilities2Scenario4[[#This Row],[takes]],0)</f>
        <v>0.17391304347826086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5</v>
      </c>
      <c r="M97" s="1">
        <f>COUNTIF(Scenario4[winner1-ability3],LightbringerAbilities3Scenario4[[#This Row],[ability]])</f>
        <v>2</v>
      </c>
      <c r="N97" s="14">
        <f>IF(SUM(LightbringerAbilities3Scenario4[[#This Row],[takes]]) &gt; 0,LightbringerAbilities3Scenario4[[#This Row],[takes]]/SUM(LightbringerAbilities3Scenario4[takes]),0)</f>
        <v>0.14285714285714285</v>
      </c>
      <c r="O97" s="14">
        <f>IF(LightbringerAbilities3Scenario4[[#This Row],[takes]]&gt;0,LightbringerAbilities3Scenario4[[#This Row],[wins]]/LightbringerAbilities3Scenario4[[#This Row],[takes]],0)</f>
        <v>0.4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</v>
      </c>
      <c r="M98" s="2">
        <f>COUNTIF(Scenario4[winner1-ability3],LightbringerAbilities3Scenario4[[#This Row],[ability]])</f>
        <v>1</v>
      </c>
      <c r="N98" s="12">
        <f>IF(SUM(LightbringerAbilities3Scenario4[[#This Row],[takes]]) &gt; 0,LightbringerAbilities3Scenario4[[#This Row],[takes]]/SUM(LightbringerAbilities3Scenario4[takes]),0)</f>
        <v>2.8571428571428571E-2</v>
      </c>
      <c r="O98" s="12">
        <f>IF(LightbringerAbilities3Scenario4[[#This Row],[takes]]&gt;0,LightbringerAbilities3Scenario4[[#This Row],[wins]]/LightbringerAbilities3Scenario4[[#This Row],[takes]],0)</f>
        <v>1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29</v>
      </c>
      <c r="M99" s="1">
        <f>COUNTIF(Scenario4[winner1-ability3],LightbringerAbilities3Scenario4[[#This Row],[ability]])</f>
        <v>6</v>
      </c>
      <c r="N99" s="15">
        <f>IF(SUM(LightbringerAbilities3Scenario4[[#This Row],[takes]]) &gt; 0,LightbringerAbilities3Scenario4[[#This Row],[takes]]/SUM(LightbringerAbilities3Scenario4[takes]),0)</f>
        <v>0.82857142857142863</v>
      </c>
      <c r="O99" s="15">
        <f>IF(LightbringerAbilities3Scenario4[[#This Row],[takes]]&gt;0,LightbringerAbilities3Scenario4[[#This Row],[wins]]/LightbringerAbilities3Scenario4[[#This Row],[takes]],0)</f>
        <v>0.20689655172413793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</v>
      </c>
      <c r="M102" s="2">
        <f>COUNTIF(Scenario4[winner1-ability4],LightbringerAbilities4Scenario4[[#This Row],[ability]])</f>
        <v>1</v>
      </c>
      <c r="N102" s="12">
        <f>IF(SUM(LightbringerAbilities4Scenario4[[#This Row],[takes]]) &gt; 0,LightbringerAbilities4Scenario4[[#This Row],[takes]]/SUM(LightbringerAbilities4Scenario4[takes]),0)</f>
        <v>3.0303030303030304E-2</v>
      </c>
      <c r="O102" s="12">
        <f>IF(LightbringerAbilities4Scenario4[[#This Row],[takes]]&gt;0,LightbringerAbilities4Scenario4[[#This Row],[wins]]/LightbringerAbilities4Scenario4[[#This Row],[takes]],0)</f>
        <v>1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6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0.18181818181818182</v>
      </c>
      <c r="O103" s="12">
        <f>IF(LightbringerAbilities4Scenario4[[#This Row],[takes]]&gt;0,LightbringerAbilities4Scenario4[[#This Row],[wins]]/LightbringerAbilities4Scenario4[[#This Row],[takes]],0)</f>
        <v>0.5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26</v>
      </c>
      <c r="M104" s="2">
        <f>COUNTIF(Scenario4[winner1-ability4],LightbringerAbilities4Scenario4[[#This Row],[ability]])</f>
        <v>5</v>
      </c>
      <c r="N104" s="26">
        <f>IF(SUM(LightbringerAbilities4Scenario4[[#This Row],[takes]]) &gt; 0,LightbringerAbilities4Scenario4[[#This Row],[takes]]/SUM(LightbringerAbilities4Scenario4[takes]),0)</f>
        <v>0.78787878787878785</v>
      </c>
      <c r="O104" s="26">
        <f>IF(LightbringerAbilities4Scenario4[[#This Row],[takes]]&gt;0,LightbringerAbilities4Scenario4[[#This Row],[wins]]/LightbringerAbilities4Scenario4[[#This Row],[takes]],0)</f>
        <v>0.19230769230769232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14</v>
      </c>
      <c r="M108">
        <f>COUNTIF(Scenario5[winner1-ability1],LightbringerAbilities1Scenario5[[#This Row],[ability]])+COUNTIF(Scenario5[winner2-ability1],LightbringerAbilities1Scenario5[[#This Row],[ability]])</f>
        <v>10</v>
      </c>
      <c r="N108" s="3">
        <f>IF(SUM(LightbringerAbilities1Scenario5[[#This Row],[takes]]) &gt; 0,LightbringerAbilities1Scenario5[[#This Row],[takes]]/SUM(LightbringerAbilities1Scenario5[takes]),0)</f>
        <v>0.13333333333333333</v>
      </c>
      <c r="O108" s="3">
        <f>IF(LightbringerAbilities1Scenario5[[#This Row],[takes]]&gt;0,LightbringerAbilities1Scenario5[[#This Row],[wins]]/LightbringerAbilities1Scenario5[[#This Row],[takes]],0)</f>
        <v>0.7142857142857143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40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43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48</v>
      </c>
      <c r="M109">
        <f>COUNTIF(Scenario5[winner1-ability1],LightbringerAbilities1Scenario5[[#This Row],[ability]])+COUNTIF(Scenario5[winner2-ability1],LightbringerAbilities1Scenario5[[#This Row],[ability]])</f>
        <v>27</v>
      </c>
      <c r="N109" s="3">
        <f>IF(SUM(LightbringerAbilities1Scenario5[[#This Row],[takes]]) &gt; 0,LightbringerAbilities1Scenario5[[#This Row],[takes]]/SUM(LightbringerAbilities1Scenario5[takes]),0)</f>
        <v>0.45714285714285713</v>
      </c>
      <c r="O109" s="3">
        <f>IF(LightbringerAbilities1Scenario5[[#This Row],[takes]]&gt;0,LightbringerAbilities1Scenario5[[#This Row],[wins]]/LightbringerAbilities1Scenario5[[#This Row],[takes]],0)</f>
        <v>0.5625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18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26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43</v>
      </c>
      <c r="M110">
        <f>COUNTIF(Scenario5[winner1-ability1],LightbringerAbilities1Scenario5[[#This Row],[ability]])+COUNTIF(Scenario5[winner2-ability1],LightbringerAbilities1Scenario5[[#This Row],[ability]])</f>
        <v>26</v>
      </c>
      <c r="N110" s="3">
        <f>IF(SUM(LightbringerAbilities1Scenario5[[#This Row],[takes]]) &gt; 0,LightbringerAbilities1Scenario5[[#This Row],[takes]]/SUM(LightbringerAbilities1Scenario5[takes]),0)</f>
        <v>0.40952380952380951</v>
      </c>
      <c r="O110" s="3">
        <f>IF(LightbringerAbilities1Scenario5[[#This Row],[takes]]&gt;0,LightbringerAbilities1Scenario5[[#This Row],[wins]]/LightbringerAbilities1Scenario5[[#This Row],[takes]],0)</f>
        <v>0.60465116279069764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47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36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8</v>
      </c>
      <c r="M113" s="2">
        <f>COUNTIF(Scenario5[winner1-ability2],LightbringerAbilities2Scenario5[[#This Row],[ability]])+COUNTIF(Scenario5[winner2-ability2],LightbringerAbilities2Scenario5[[#This Row],[ability]])</f>
        <v>6</v>
      </c>
      <c r="N113" s="12">
        <f>IF(SUM(LightbringerAbilities2Scenario5[[#This Row],[takes]]) &gt; 0,LightbringerAbilities2Scenario5[[#This Row],[takes]]/SUM(LightbringerAbilities2Scenario5[takes]),0)</f>
        <v>7.6923076923076927E-2</v>
      </c>
      <c r="O113" s="12">
        <f>IF(LightbringerAbilities2Scenario5[[#This Row],[takes]]&gt;0,LightbringerAbilities2Scenario5[[#This Row],[wins]]/LightbringerAbilities2Scenario5[[#This Row],[takes]],0)</f>
        <v>0.75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45</v>
      </c>
      <c r="M114" s="2">
        <f>COUNTIF(Scenario5[winner1-ability2],LightbringerAbilities2Scenario5[[#This Row],[ability]])+COUNTIF(Scenario5[winner2-ability2],LightbringerAbilities2Scenario5[[#This Row],[ability]])</f>
        <v>27</v>
      </c>
      <c r="N114" s="3">
        <f>IF(SUM(LightbringerAbilities2Scenario5[[#This Row],[takes]]) &gt; 0,LightbringerAbilities2Scenario5[[#This Row],[takes]]/SUM(LightbringerAbilities2Scenario5[takes]),0)</f>
        <v>0.43269230769230771</v>
      </c>
      <c r="O114" s="3">
        <f>IF(LightbringerAbilities2Scenario5[[#This Row],[takes]]&gt;0,LightbringerAbilities2Scenario5[[#This Row],[wins]]/LightbringerAbilities2Scenario5[[#This Row],[takes]],0)</f>
        <v>0.6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51</v>
      </c>
      <c r="M115" s="2">
        <f>COUNTIF(Scenario5[winner1-ability2],LightbringerAbilities2Scenario5[[#This Row],[ability]])+COUNTIF(Scenario5[winner2-ability2],LightbringerAbilities2Scenario5[[#This Row],[ability]])</f>
        <v>29</v>
      </c>
      <c r="N115" s="13">
        <f>IF(SUM(LightbringerAbilities2Scenario5[[#This Row],[takes]]) &gt; 0,LightbringerAbilities2Scenario5[[#This Row],[takes]]/SUM(LightbringerAbilities2Scenario5[takes]),0)</f>
        <v>0.49038461538461536</v>
      </c>
      <c r="O115" s="13">
        <f>IF(LightbringerAbilities2Scenario5[[#This Row],[takes]]&gt;0,LightbringerAbilities2Scenario5[[#This Row],[wins]]/LightbringerAbilities2Scenario5[[#This Row],[takes]],0)</f>
        <v>0.56862745098039214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17</v>
      </c>
      <c r="M118" s="1">
        <f>COUNTIF(Scenario5[winner1-ability3],LightbringerAbilities3Scenario5[[#This Row],[ability]])+COUNTIF(Scenario5[winner2-ability3],LightbringerAbilities3Scenario5[[#This Row],[ability]])</f>
        <v>10</v>
      </c>
      <c r="N118" s="14">
        <f>IF(SUM(LightbringerAbilities3Scenario5[[#This Row],[takes]]) &gt; 0,LightbringerAbilities3Scenario5[[#This Row],[takes]]/SUM(LightbringerAbilities3Scenario5[takes]),0)</f>
        <v>0.20481927710843373</v>
      </c>
      <c r="O118" s="14">
        <f>IF(LightbringerAbilities3Scenario5[[#This Row],[takes]]&gt;0,LightbringerAbilities3Scenario5[[#This Row],[wins]]/LightbringerAbilities3Scenario5[[#This Row],[takes]],0)</f>
        <v>0.58823529411764708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33</v>
      </c>
      <c r="M119" s="2">
        <f>COUNTIF(Scenario5[winner1-ability3],LightbringerAbilities3Scenario5[[#This Row],[ability]])+COUNTIF(Scenario5[winner2-ability3],LightbringerAbilities3Scenario5[[#This Row],[ability]])</f>
        <v>20</v>
      </c>
      <c r="N119" s="12">
        <f>IF(SUM(LightbringerAbilities3Scenario5[[#This Row],[takes]]) &gt; 0,LightbringerAbilities3Scenario5[[#This Row],[takes]]/SUM(LightbringerAbilities3Scenario5[takes]),0)</f>
        <v>0.39759036144578314</v>
      </c>
      <c r="O119" s="12">
        <f>IF(LightbringerAbilities3Scenario5[[#This Row],[takes]]&gt;0,LightbringerAbilities3Scenario5[[#This Row],[wins]]/LightbringerAbilities3Scenario5[[#This Row],[takes]],0)</f>
        <v>0.60606060606060608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33</v>
      </c>
      <c r="M120" s="1">
        <f>COUNTIF(Scenario5[winner1-ability3],LightbringerAbilities3Scenario5[[#This Row],[ability]])+COUNTIF(Scenario5[winner2-ability3],LightbringerAbilities3Scenario5[[#This Row],[ability]])</f>
        <v>23</v>
      </c>
      <c r="N120" s="15">
        <f>IF(SUM(LightbringerAbilities3Scenario5[[#This Row],[takes]]) &gt; 0,LightbringerAbilities3Scenario5[[#This Row],[takes]]/SUM(LightbringerAbilities3Scenario5[takes]),0)</f>
        <v>0.39759036144578314</v>
      </c>
      <c r="O120" s="15">
        <f>IF(LightbringerAbilities3Scenario5[[#This Row],[takes]]&gt;0,LightbringerAbilities3Scenario5[[#This Row],[wins]]/LightbringerAbilities3Scenario5[[#This Row],[takes]],0)</f>
        <v>0.69696969696969702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7</v>
      </c>
      <c r="M123" s="2">
        <f>COUNTIF(Scenario5[winner1-ability4],LightbringerAbilities4Scenario5[[#This Row],[ability]])+COUNTIF(Scenario5[winner2-ability4],LightbringerAbilities4Scenario5[[#This Row],[ability]])</f>
        <v>4</v>
      </c>
      <c r="N123" s="12">
        <f>IF(SUM(LightbringerAbilities4Scenario5[[#This Row],[takes]]) &gt; 0,LightbringerAbilities4Scenario5[[#This Row],[takes]]/SUM(LightbringerAbilities4Scenario5[takes]),0)</f>
        <v>0.1076923076923077</v>
      </c>
      <c r="O123" s="12">
        <f>IF(LightbringerAbilities4Scenario5[[#This Row],[takes]]&gt;0,LightbringerAbilities4Scenario5[[#This Row],[wins]]/LightbringerAbilities4Scenario5[[#This Row],[takes]],0)</f>
        <v>0.5714285714285714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28</v>
      </c>
      <c r="M124" s="2">
        <f>COUNTIF(Scenario5[winner1-ability4],LightbringerAbilities4Scenario5[[#This Row],[ability]])+COUNTIF(Scenario5[winner2-ability4],LightbringerAbilities4Scenario5[[#This Row],[ability]])</f>
        <v>23</v>
      </c>
      <c r="N124" s="12">
        <f>IF(SUM(LightbringerAbilities4Scenario5[[#This Row],[takes]]) &gt; 0,LightbringerAbilities4Scenario5[[#This Row],[takes]]/SUM(LightbringerAbilities4Scenario5[takes]),0)</f>
        <v>0.43076923076923079</v>
      </c>
      <c r="O124" s="12">
        <f>IF(LightbringerAbilities4Scenario5[[#This Row],[takes]]&gt;0,LightbringerAbilities4Scenario5[[#This Row],[wins]]/LightbringerAbilities4Scenario5[[#This Row],[takes]],0)</f>
        <v>0.8214285714285714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30</v>
      </c>
      <c r="M125" s="2">
        <f>COUNTIF(Scenario5[winner1-ability4],LightbringerAbilities4Scenario5[[#This Row],[ability]])+COUNTIF(Scenario5[winner2-ability4],LightbringerAbilities4Scenario5[[#This Row],[ability]])</f>
        <v>19</v>
      </c>
      <c r="N125" s="26">
        <f>IF(SUM(LightbringerAbilities4Scenario5[[#This Row],[takes]]) &gt; 0,LightbringerAbilities4Scenario5[[#This Row],[takes]]/SUM(LightbringerAbilities4Scenario5[takes]),0)</f>
        <v>0.46153846153846156</v>
      </c>
      <c r="O125" s="26">
        <f>IF(LightbringerAbilities4Scenario5[[#This Row],[takes]]&gt;0,LightbringerAbilities4Scenario5[[#This Row],[wins]]/LightbringerAbilities4Scenario5[[#This Row],[takes]],0)</f>
        <v>0.6333333333333333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F28" sqref="F28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0.18701298701298702</v>
      </c>
    </row>
    <row r="3" spans="1:24" x14ac:dyDescent="0.25">
      <c r="A3" t="s">
        <v>67</v>
      </c>
      <c r="B3">
        <f>M3+M24+M45+M66+M87+M108</f>
        <v>109</v>
      </c>
      <c r="C3">
        <f>N3+N24+N45+N66+N87+N108</f>
        <v>77</v>
      </c>
      <c r="D3" s="3">
        <f>IF(SUM(AvengerAbilities1[[#This Row],[takes]]) &gt; 0,AvengerAbilities1[[#This Row],[takes]]/SUM(AvengerAbilities1[takes]),0)</f>
        <v>0.2831168831168831</v>
      </c>
      <c r="E3" s="3">
        <f>IF(AvengerAbilities1[[#This Row],[takes]]&gt;0,AvengerAbilities1[[#This Row],[wins]]/AvengerAbilities1[[#This Row],[takes]],0)</f>
        <v>0.70642201834862384</v>
      </c>
      <c r="G3">
        <v>1</v>
      </c>
      <c r="H3">
        <f>S3+S24+S45+S66+S87+S108</f>
        <v>227</v>
      </c>
      <c r="I3">
        <f>T3+T24+T45+T66+T87+T108</f>
        <v>269</v>
      </c>
      <c r="J3" s="18">
        <f>U3+U24+U45+U66+U87+U108</f>
        <v>104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42</v>
      </c>
      <c r="N3">
        <f>COUNTIF(Scenario0[winner1-ability1],AvengerAbilities1Scenario0[[#This Row],[ability]])+COUNTIF(Scenario0[winner2-ability1],AvengerAbilities1Scenario0[[#This Row],[ability]])</f>
        <v>25</v>
      </c>
      <c r="O3" s="3">
        <f>IF(SUM(AvengerAbilities1Scenario0[[#This Row],[takes]]) &gt; 0,AvengerAbilities1Scenario0[[#This Row],[takes]]/SUM(AvengerAbilities1Scenario0[takes]),0)</f>
        <v>0.4</v>
      </c>
      <c r="P3" s="3">
        <f>IF(AvengerAbilities1Scenario0[[#This Row],[takes]]&gt;0,AvengerAbilities1Scenario0[[#This Row],[wins]]/AvengerAbilities1Scenario0[[#This Row],[takes]],0)</f>
        <v>0.59523809523809523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79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88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51</v>
      </c>
      <c r="W3" t="s">
        <v>206</v>
      </c>
      <c r="X3" s="16">
        <f>H5/SUM(AvengerEquip[sabre])</f>
        <v>0.22337662337662337</v>
      </c>
    </row>
    <row r="4" spans="1:24" x14ac:dyDescent="0.25">
      <c r="A4" t="s">
        <v>152</v>
      </c>
      <c r="B4">
        <f t="shared" ref="B4:B5" si="0">M4+M25+M46+M67+M88+M109</f>
        <v>118</v>
      </c>
      <c r="C4">
        <f t="shared" ref="C4:C5" si="1">N4+N25+N46+N67+N88+N109</f>
        <v>63</v>
      </c>
      <c r="D4" s="3">
        <f>IF(SUM(AvengerAbilities1[[#This Row],[takes]]) &gt; 0,AvengerAbilities1[[#This Row],[takes]]/SUM(AvengerAbilities1[takes]),0)</f>
        <v>0.30649350649350648</v>
      </c>
      <c r="E4" s="3">
        <f>IF(AvengerAbilities1[[#This Row],[takes]]&gt;0,AvengerAbilities1[[#This Row],[wins]]/AvengerAbilities1[[#This Row],[takes]],0)</f>
        <v>0.53389830508474578</v>
      </c>
      <c r="G4">
        <v>2</v>
      </c>
      <c r="H4">
        <f t="shared" ref="H4:H5" si="2">S4+S25+S46+S67+S88+S109</f>
        <v>72</v>
      </c>
      <c r="I4">
        <f t="shared" ref="I4:I5" si="3">T4+T25+T46+T67+T88+T109</f>
        <v>50</v>
      </c>
      <c r="J4" s="18">
        <f t="shared" ref="J4:J5" si="4">U4+U25+U46+U67+U88+U109</f>
        <v>173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63</v>
      </c>
      <c r="N4">
        <f>COUNTIF(Scenario0[winner1-ability1],AvengerAbilities1Scenario0[[#This Row],[ability]])+COUNTIF(Scenario0[winner2-ability1],AvengerAbilities1Scenario0[[#This Row],[ability]])</f>
        <v>31</v>
      </c>
      <c r="O4" s="3">
        <f>IF(SUM(AvengerAbilities1Scenario0[[#This Row],[takes]]) &gt; 0,AvengerAbilities1Scenario0[[#This Row],[takes]]/SUM(AvengerAbilities1Scenario0[takes]),0)</f>
        <v>0.6</v>
      </c>
      <c r="P4" s="3">
        <f>IF(AvengerAbilities1Scenario0[[#This Row],[takes]]&gt;0,AvengerAbilities1Scenario0[[#This Row],[wins]]/AvengerAbilities1Scenario0[[#This Row],[takes]],0)</f>
        <v>0.49206349206349204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19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17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42</v>
      </c>
      <c r="W4" t="s">
        <v>207</v>
      </c>
      <c r="X4" s="3">
        <f>AvengerEquip[[#This Row],[blade]]/SUM(AvengerEquip[blade])</f>
        <v>0.12987012987012986</v>
      </c>
    </row>
    <row r="5" spans="1:24" x14ac:dyDescent="0.25">
      <c r="A5" t="s">
        <v>39</v>
      </c>
      <c r="B5">
        <f t="shared" si="0"/>
        <v>158</v>
      </c>
      <c r="C5">
        <f t="shared" si="1"/>
        <v>47</v>
      </c>
      <c r="D5" s="3">
        <f>IF(SUM(AvengerAbilities1[[#This Row],[takes]]) &gt; 0,AvengerAbilities1[[#This Row],[takes]]/SUM(AvengerAbilities1[takes]),0)</f>
        <v>0.41038961038961042</v>
      </c>
      <c r="E5" s="3">
        <f>IF(AvengerAbilities1[[#This Row],[takes]]&gt;0,AvengerAbilities1[[#This Row],[wins]]/AvengerAbilities1[[#This Row],[takes]],0)</f>
        <v>0.29746835443037972</v>
      </c>
      <c r="G5">
        <v>3</v>
      </c>
      <c r="H5">
        <f t="shared" si="2"/>
        <v>86</v>
      </c>
      <c r="I5">
        <f t="shared" si="3"/>
        <v>66</v>
      </c>
      <c r="J5" s="18">
        <f t="shared" si="4"/>
        <v>108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7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12</v>
      </c>
      <c r="W5" t="s">
        <v>208</v>
      </c>
      <c r="X5" s="16">
        <f>AvengerEquip[[#This Row],[blade]]/SUM(AvengerEquip[blade])</f>
        <v>0.17142857142857143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0.44935064935064933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0.2805194805194805</v>
      </c>
    </row>
    <row r="8" spans="1:24" x14ac:dyDescent="0.25">
      <c r="A8" s="2" t="s">
        <v>40</v>
      </c>
      <c r="B8" s="2">
        <f>M8+M29+M50+M71+M92+M113</f>
        <v>81</v>
      </c>
      <c r="C8" s="2">
        <f>N8+N29+N50+N71+N92+N113</f>
        <v>18</v>
      </c>
      <c r="D8" s="12">
        <f>IF(SUM(AvengerAbilities2[[#This Row],[takes]]) &gt; 0,AvengerAbilities2[[#This Row],[takes]]/SUM(AvengerAbilities2[takes]),0)</f>
        <v>0.29241877256317689</v>
      </c>
      <c r="E8" s="12">
        <f>IF(AvengerAbilities2[[#This Row],[takes]]&gt;0,AvengerAbilities2[[#This Row],[wins]]/AvengerAbilities2[[#This Row],[takes]],0)</f>
        <v>0.22222222222222221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8" s="2">
        <f>COUNTIF(Scenario0[winner1-ability2],AvengerAbilities2Scenario0[[#This Row],[ability]])+COUNTIF(Scenario0[winner2-ability2],AvengerAbilities2Scenario0[[#This Row],[ability]])</f>
        <v>3</v>
      </c>
      <c r="O8" s="12">
        <f>IF(SUM(AvengerAbilities2Scenario0[[#This Row],[takes]]) &gt; 0,AvengerAbilities2Scenario0[[#This Row],[takes]]/SUM(AvengerAbilities2Scenario0[takes]),0)</f>
        <v>0.11363636363636363</v>
      </c>
      <c r="P8" s="12">
        <f>IF(AvengerAbilities2Scenario0[[#This Row],[takes]]&gt;0,AvengerAbilities2Scenario0[[#This Row],[wins]]/AvengerAbilities2Scenario0[[#This Row],[takes]],0)</f>
        <v>0.6</v>
      </c>
      <c r="U8" s="18"/>
      <c r="W8" t="s">
        <v>176</v>
      </c>
      <c r="X8" s="3">
        <f>SUM(AvengerAbilities2[takes])/SUM(AvengerAbilities1[takes])</f>
        <v>0.7194805194805195</v>
      </c>
    </row>
    <row r="9" spans="1:24" x14ac:dyDescent="0.25">
      <c r="A9" t="s">
        <v>70</v>
      </c>
      <c r="B9" s="2">
        <f t="shared" ref="B9:B10" si="5">M9+M30+M51+M72+M93+M114</f>
        <v>95</v>
      </c>
      <c r="C9" s="2">
        <f t="shared" ref="C9:C10" si="6">N9+N30+N51+N72+N93+N114</f>
        <v>76</v>
      </c>
      <c r="D9" s="3">
        <f>IF(SUM(AvengerAbilities2[[#This Row],[takes]]) &gt; 0,AvengerAbilities2[[#This Row],[takes]]/SUM(AvengerAbilities2[takes]),0)</f>
        <v>0.34296028880866425</v>
      </c>
      <c r="E9" s="3">
        <f>IF(AvengerAbilities2[[#This Row],[takes]]&gt;0,AvengerAbilities2[[#This Row],[wins]]/AvengerAbilities2[[#This Row],[takes]],0)</f>
        <v>0.8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30</v>
      </c>
      <c r="N9" s="2">
        <f>COUNTIF(Scenario0[winner1-ability2],AvengerAbilities2Scenario0[[#This Row],[ability]])+COUNTIF(Scenario0[winner2-ability2],AvengerAbilities2Scenario0[[#This Row],[ability]])</f>
        <v>23</v>
      </c>
      <c r="O9" s="3">
        <f>IF(SUM(AvengerAbilities2Scenario0[[#This Row],[takes]]) &gt; 0,AvengerAbilities2Scenario0[[#This Row],[takes]]/SUM(AvengerAbilities2Scenario0[takes]),0)</f>
        <v>0.68181818181818177</v>
      </c>
      <c r="P9" s="3">
        <f>IF(AvengerAbilities2Scenario0[[#This Row],[takes]]&gt;0,AvengerAbilities2Scenario0[[#This Row],[wins]]/AvengerAbilities2Scenario0[[#This Row],[takes]],0)</f>
        <v>0.76666666666666672</v>
      </c>
      <c r="U9" s="18"/>
      <c r="W9" t="s">
        <v>177</v>
      </c>
      <c r="X9" s="3">
        <f>SUM(AvengerAbilities3[takes])/SUM(AvengerAbilities1[takes])</f>
        <v>0.44675324675324674</v>
      </c>
    </row>
    <row r="10" spans="1:24" x14ac:dyDescent="0.25">
      <c r="A10" s="10" t="s">
        <v>96</v>
      </c>
      <c r="B10" s="2">
        <f t="shared" si="5"/>
        <v>101</v>
      </c>
      <c r="C10" s="2">
        <f t="shared" si="6"/>
        <v>39</v>
      </c>
      <c r="D10" s="13">
        <f>IF(SUM(AvengerAbilities2[[#This Row],[takes]]) &gt; 0,AvengerAbilities2[[#This Row],[takes]]/SUM(AvengerAbilities2[takes]),0)</f>
        <v>0.36462093862815886</v>
      </c>
      <c r="E10" s="13">
        <f>IF(AvengerAbilities2[[#This Row],[takes]]&gt;0,AvengerAbilities2[[#This Row],[wins]]/AvengerAbilities2[[#This Row],[takes]],0)</f>
        <v>0.38613861386138615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9</v>
      </c>
      <c r="N10" s="2">
        <f>COUNTIF(Scenario0[winner1-ability2],AvengerAbilities2Scenario0[[#This Row],[ability]])+COUNTIF(Scenario0[winner2-ability2],AvengerAbilities2Scenario0[[#This Row],[ability]])</f>
        <v>2</v>
      </c>
      <c r="O10" s="13">
        <f>IF(SUM(AvengerAbilities2Scenario0[[#This Row],[takes]]) &gt; 0,AvengerAbilities2Scenario0[[#This Row],[takes]]/SUM(AvengerAbilities2Scenario0[takes]),0)</f>
        <v>0.20454545454545456</v>
      </c>
      <c r="P10" s="13">
        <f>IF(AvengerAbilities2Scenario0[[#This Row],[takes]]&gt;0,AvengerAbilities2Scenario0[[#This Row],[wins]]/AvengerAbilities2Scenario0[[#This Row],[takes]],0)</f>
        <v>0.22222222222222221</v>
      </c>
      <c r="U10" s="18"/>
      <c r="W10" t="s">
        <v>178</v>
      </c>
      <c r="X10" s="16">
        <f>SUM(AvengerAbilities4[takes])/SUM(AvengerAbilities1[takes])</f>
        <v>0.32207792207792207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2.92987012987013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49</v>
      </c>
      <c r="C13" s="1">
        <f>N13+N34+N55+N76+N97+N118</f>
        <v>23</v>
      </c>
      <c r="D13" s="14">
        <f>IF(SUM(AvengerAbilities3[[#This Row],[takes]]) &gt; 0,AvengerAbilities3[[#This Row],[takes]]/SUM(AvengerAbilities3[takes]),0)</f>
        <v>0.28488372093023256</v>
      </c>
      <c r="E13" s="14">
        <f>IF(AvengerAbilities3[[#This Row],[takes]]&gt;0,AvengerAbilities3[[#This Row],[wins]]/AvengerAbilities3[[#This Row],[takes]],0)</f>
        <v>0.46938775510204084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0.375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76</v>
      </c>
      <c r="C14" s="2">
        <f t="shared" ref="C14:C15" si="8">N14+N35+N56+N77+N98+N119</f>
        <v>16</v>
      </c>
      <c r="D14" s="12">
        <f>IF(SUM(AvengerAbilities3[[#This Row],[takes]]) &gt; 0,AvengerAbilities3[[#This Row],[takes]]/SUM(AvengerAbilities3[takes]),0)</f>
        <v>0.44186046511627908</v>
      </c>
      <c r="E14" s="12">
        <f>IF(AvengerAbilities3[[#This Row],[takes]]&gt;0,AvengerAbilities3[[#This Row],[wins]]/AvengerAbilities3[[#This Row],[takes]],0)</f>
        <v>0.21052631578947367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47</v>
      </c>
      <c r="C15" s="1">
        <f t="shared" si="8"/>
        <v>25</v>
      </c>
      <c r="D15" s="15">
        <f>IF(SUM(AvengerAbilities3[[#This Row],[takes]]) &gt; 0,AvengerAbilities3[[#This Row],[takes]]/SUM(AvengerAbilities3[takes]),0)</f>
        <v>0.27325581395348836</v>
      </c>
      <c r="E15" s="15">
        <f>IF(AvengerAbilities3[[#This Row],[takes]]&gt;0,AvengerAbilities3[[#This Row],[wins]]/AvengerAbilities3[[#This Row],[takes]],0)</f>
        <v>0.53191489361702127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5</v>
      </c>
      <c r="N15" s="1">
        <f>COUNTIF(Scenario0[winner1-ability3],AvengerAbilities3Scenario0[[#This Row],[ability]])+COUNTIF(Scenario0[winner2-ability3],AvengerAbilities3Scenario0[[#This Row],[ability]])</f>
        <v>3</v>
      </c>
      <c r="O15" s="15">
        <f>IF(SUM(AvengerAbilities3Scenario0[[#This Row],[takes]]) &gt; 0,AvengerAbilities3Scenario0[[#This Row],[takes]]/SUM(AvengerAbilities3Scenario0[takes]),0)</f>
        <v>0.625</v>
      </c>
      <c r="P15" s="15">
        <f>IF(AvengerAbilities3Scenario0[[#This Row],[takes]]&gt;0,AvengerAbilities3Scenario0[[#This Row],[wins]]/AvengerAbilities3Scenario0[[#This Row],[takes]],0)</f>
        <v>0.6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20</v>
      </c>
      <c r="C18" s="2">
        <f>N18+N39+N60+N81+N102+N123</f>
        <v>7</v>
      </c>
      <c r="D18" s="12">
        <f>IF(SUM(AvengerAbilities4[[#This Row],[takes]]) &gt; 0,AvengerAbilities4[[#This Row],[takes]]/SUM(AvengerAbilities4[takes]),0)</f>
        <v>0.16129032258064516</v>
      </c>
      <c r="E18" s="12">
        <f>IF(AvengerAbilities4[[#This Row],[takes]]&gt;0,AvengerAbilities4[[#This Row],[wins]]/AvengerAbilities4[[#This Row],[takes]],0)</f>
        <v>0.35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54</v>
      </c>
      <c r="C19" s="2">
        <f t="shared" ref="C19:C20" si="10">N19+N40+N61+N82+N103+N124</f>
        <v>12</v>
      </c>
      <c r="D19" s="12">
        <f>IF(SUM(AvengerAbilities4[[#This Row],[takes]]) &gt; 0,AvengerAbilities4[[#This Row],[takes]]/SUM(AvengerAbilities4[takes]),0)</f>
        <v>0.43548387096774194</v>
      </c>
      <c r="E19" s="12">
        <f>IF(AvengerAbilities4[[#This Row],[takes]]&gt;0,AvengerAbilities4[[#This Row],[wins]]/AvengerAbilities4[[#This Row],[takes]],0)</f>
        <v>0.22222222222222221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50</v>
      </c>
      <c r="C20" s="2">
        <f t="shared" si="10"/>
        <v>20</v>
      </c>
      <c r="D20" s="26">
        <f>IF(SUM(AvengerAbilities4[[#This Row],[takes]]) &gt; 0,AvengerAbilities4[[#This Row],[takes]]/SUM(AvengerAbilities4[takes]),0)</f>
        <v>0.40322580645161288</v>
      </c>
      <c r="E20" s="26">
        <f>IF(AvengerAbilities4[[#This Row],[takes]]&gt;0,AvengerAbilities4[[#This Row],[wins]]/AvengerAbilities4[[#This Row],[takes]],0)</f>
        <v>0.4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7</v>
      </c>
      <c r="N20" s="25">
        <f>COUNTIF(Scenario0[winner1-ability4],AvengerAbilities4Scenario0[[#This Row],[ability]])+COUNTIF(Scenario0[winner2-ability4],AvengerAbilities4Scenario0[[#This Row],[ability]])</f>
        <v>3</v>
      </c>
      <c r="O20" s="26">
        <f>IF(SUM(AvengerAbilities4Scenario0[[#This Row],[takes]]) &gt; 0,AvengerAbilities4Scenario0[[#This Row],[takes]]/SUM(AvengerAbilities4Scenario0[takes]),0)</f>
        <v>1</v>
      </c>
      <c r="P20" s="26">
        <f>IF(AvengerAbilities4Scenario0[[#This Row],[takes]]&gt;0,AvengerAbilities4Scenario0[[#This Row],[wins]]/AvengerAbilities4Scenario0[[#This Row],[takes]],0)</f>
        <v>0.42857142857142855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42</v>
      </c>
      <c r="N24">
        <f>COUNTIF(Scenario1[winner1-ability1],AvengerAbilities1Scenario1[[#This Row],[ability]])+COUNTIF(Scenario1[winner2-ability1],AvengerAbilities1Scenario1[[#This Row],[ability]])</f>
        <v>32</v>
      </c>
      <c r="O24" s="3">
        <f>IF(SUM(AvengerAbilities1Scenario1[[#This Row],[takes]]) &gt; 0,AvengerAbilities1Scenario1[[#This Row],[takes]]/SUM(AvengerAbilities1Scenario1[takes]),0)</f>
        <v>0.4</v>
      </c>
      <c r="P24" s="3">
        <f>IF(AvengerAbilities1Scenario1[[#This Row],[takes]]&gt;0,AvengerAbilities1Scenario1[[#This Row],[wins]]/AvengerAbilities1Scenario1[[#This Row],[takes]],0)</f>
        <v>0.76190476190476186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74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98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37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46</v>
      </c>
      <c r="N25">
        <f>COUNTIF(Scenario1[winner1-ability1],AvengerAbilities1Scenario1[[#This Row],[ability]])+COUNTIF(Scenario1[winner2-ability1],AvengerAbilities1Scenario1[[#This Row],[ability]])</f>
        <v>31</v>
      </c>
      <c r="O25" s="3">
        <f>IF(SUM(AvengerAbilities1Scenario1[[#This Row],[takes]]) &gt; 0,AvengerAbilities1Scenario1[[#This Row],[takes]]/SUM(AvengerAbilities1Scenario1[takes]),0)</f>
        <v>0.43809523809523809</v>
      </c>
      <c r="P25" s="3">
        <f>IF(AvengerAbilities1Scenario1[[#This Row],[takes]]&gt;0,AvengerAbilities1Scenario1[[#This Row],[wins]]/AvengerAbilities1Scenario1[[#This Row],[takes]],0)</f>
        <v>0.67391304347826086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24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7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58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17</v>
      </c>
      <c r="N26">
        <f>COUNTIF(Scenario1[winner1-ability1],AvengerAbilities1Scenario1[[#This Row],[ability]])+COUNTIF(Scenario1[winner2-ability1],AvengerAbilities1Scenario1[[#This Row],[ability]])</f>
        <v>15</v>
      </c>
      <c r="O26" s="3">
        <f>IF(SUM(AvengerAbilities1Scenario1[[#This Row],[takes]]) &gt; 0,AvengerAbilities1Scenario1[[#This Row],[takes]]/SUM(AvengerAbilities1Scenario1[takes]),0)</f>
        <v>0.16190476190476191</v>
      </c>
      <c r="P26" s="3">
        <f>IF(AvengerAbilities1Scenario1[[#This Row],[takes]]&gt;0,AvengerAbilities1Scenario1[[#This Row],[wins]]/AvengerAbilities1Scenario1[[#This Row],[takes]],0)</f>
        <v>0.88235294117647056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7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6</v>
      </c>
      <c r="N29" s="2">
        <f>COUNTIF(Scenario1[winner1-ability2],AvengerAbilities2Scenario1[[#This Row],[ability]])+COUNTIF(Scenario1[winner2-ability2],AvengerAbilities2Scenario1[[#This Row],[ability]])</f>
        <v>3</v>
      </c>
      <c r="O29" s="12">
        <f>IF(SUM(AvengerAbilities2Scenario1[[#This Row],[takes]]) &gt; 0,AvengerAbilities2Scenario1[[#This Row],[takes]]/SUM(AvengerAbilities2Scenario1[takes]),0)</f>
        <v>9.2307692307692313E-2</v>
      </c>
      <c r="P29" s="12">
        <f>IF(AvengerAbilities2Scenario1[[#This Row],[takes]]&gt;0,AvengerAbilities2Scenario1[[#This Row],[wins]]/AvengerAbilities2Scenario1[[#This Row],[takes]],0)</f>
        <v>0.5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52</v>
      </c>
      <c r="N30" s="2">
        <f>COUNTIF(Scenario1[winner1-ability2],AvengerAbilities2Scenario1[[#This Row],[ability]])+COUNTIF(Scenario1[winner2-ability2],AvengerAbilities2Scenario1[[#This Row],[ability]])</f>
        <v>44</v>
      </c>
      <c r="O30" s="3">
        <f>IF(SUM(AvengerAbilities2Scenario1[[#This Row],[takes]]) &gt; 0,AvengerAbilities2Scenario1[[#This Row],[takes]]/SUM(AvengerAbilities2Scenario1[takes]),0)</f>
        <v>0.8</v>
      </c>
      <c r="P30" s="3">
        <f>IF(AvengerAbilities2Scenario1[[#This Row],[takes]]&gt;0,AvengerAbilities2Scenario1[[#This Row],[wins]]/AvengerAbilities2Scenario1[[#This Row],[takes]],0)</f>
        <v>0.84615384615384615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7</v>
      </c>
      <c r="N31" s="2">
        <f>COUNTIF(Scenario1[winner1-ability2],AvengerAbilities2Scenario1[[#This Row],[ability]])+COUNTIF(Scenario1[winner2-ability2],AvengerAbilities2Scenario1[[#This Row],[ability]])</f>
        <v>5</v>
      </c>
      <c r="O31" s="13">
        <f>IF(SUM(AvengerAbilities2Scenario1[[#This Row],[takes]]) &gt; 0,AvengerAbilities2Scenario1[[#This Row],[takes]]/SUM(AvengerAbilities2Scenario1[takes]),0)</f>
        <v>0.1076923076923077</v>
      </c>
      <c r="P31" s="13">
        <f>IF(AvengerAbilities2Scenario1[[#This Row],[takes]]&gt;0,AvengerAbilities2Scenario1[[#This Row],[wins]]/AvengerAbilities2Scenario1[[#This Row],[takes]],0)</f>
        <v>0.7142857142857143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13</v>
      </c>
      <c r="N34" s="1">
        <f>COUNTIF(Scenario1[winner1-ability3],AvengerAbilities3Scenario1[[#This Row],[ability]])+COUNTIF(Scenario1[winner2-ability3],AvengerAbilities3Scenario1[[#This Row],[ability]])</f>
        <v>9</v>
      </c>
      <c r="O34" s="14">
        <f>IF(SUM(AvengerAbilities3Scenario1[[#This Row],[takes]]) &gt; 0,AvengerAbilities3Scenario1[[#This Row],[takes]]/SUM(AvengerAbilities3Scenario1[takes]),0)</f>
        <v>0.59090909090909094</v>
      </c>
      <c r="P34" s="14">
        <f>IF(AvengerAbilities3Scenario1[[#This Row],[takes]]&gt;0,AvengerAbilities3Scenario1[[#This Row],[wins]]/AvengerAbilities3Scenario1[[#This Row],[takes]],0)</f>
        <v>0.69230769230769229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8</v>
      </c>
      <c r="N35" s="2">
        <f>COUNTIF(Scenario1[winner1-ability3],AvengerAbilities3Scenario1[[#This Row],[ability]])+COUNTIF(Scenario1[winner2-ability3],AvengerAbilities3Scenario1[[#This Row],[ability]])</f>
        <v>5</v>
      </c>
      <c r="O35" s="12">
        <f>IF(SUM(AvengerAbilities3Scenario1[[#This Row],[takes]]) &gt; 0,AvengerAbilities3Scenario1[[#This Row],[takes]]/SUM(AvengerAbilities3Scenario1[takes]),0)</f>
        <v>0.36363636363636365</v>
      </c>
      <c r="P35" s="12">
        <f>IF(AvengerAbilities3Scenario1[[#This Row],[takes]]&gt;0,AvengerAbilities3Scenario1[[#This Row],[wins]]/AvengerAbilities3Scenario1[[#This Row],[takes]],0)</f>
        <v>0.625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</v>
      </c>
      <c r="N36" s="1">
        <f>COUNTIF(Scenario1[winner1-ability3],AvengerAbilities3Scenario1[[#This Row],[ability]])+COUNTIF(Scenario1[winner2-ability3],AvengerAbilities3Scenario1[[#This Row],[ability]])</f>
        <v>1</v>
      </c>
      <c r="O36" s="15">
        <f>IF(SUM(AvengerAbilities3Scenario1[[#This Row],[takes]]) &gt; 0,AvengerAbilities3Scenario1[[#This Row],[takes]]/SUM(AvengerAbilities3Scenario1[takes]),0)</f>
        <v>4.5454545454545456E-2</v>
      </c>
      <c r="P36" s="15">
        <f>IF(AvengerAbilities3Scenario1[[#This Row],[takes]]&gt;0,AvengerAbilities3Scenario1[[#This Row],[wins]]/AvengerAbilities3Scenario1[[#This Row],[takes]],0)</f>
        <v>1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39" s="2">
        <f>COUNTIF(Scenario1[winner1-ability4],AvengerAbilities4Scenario1[[#This Row],[ability]])+COUNTIF(Scenario1[winner2-ability4],AvengerAbilities4Scenario1[[#This Row],[ability]])</f>
        <v>3</v>
      </c>
      <c r="O39" s="12">
        <f>IF(SUM(AvengerAbilities4Scenario1[[#This Row],[takes]]) &gt; 0,AvengerAbilities4Scenario1[[#This Row],[takes]]/SUM(AvengerAbilities4Scenario1[takes]),0)</f>
        <v>0.42857142857142855</v>
      </c>
      <c r="P39" s="12">
        <f>IF(AvengerAbilities4Scenario1[[#This Row],[takes]]&gt;0,AvengerAbilities4Scenario1[[#This Row],[wins]]/AvengerAbilities4Scenario1[[#This Row],[takes]],0)</f>
        <v>1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4</v>
      </c>
      <c r="N41" s="2">
        <f>COUNTIF(Scenario1[winner1-ability4],AvengerAbilities4Scenario1[[#This Row],[ability]])+COUNTIF(Scenario1[winner2-ability4],AvengerAbilities4Scenario1[[#This Row],[ability]])</f>
        <v>2</v>
      </c>
      <c r="O41" s="26">
        <f>IF(SUM(AvengerAbilities4Scenario1[[#This Row],[takes]]) &gt; 0,AvengerAbilities4Scenario1[[#This Row],[takes]]/SUM(AvengerAbilities4Scenario1[takes]),0)</f>
        <v>0.5714285714285714</v>
      </c>
      <c r="P41" s="26">
        <f>IF(AvengerAbilities4Scenario1[[#This Row],[takes]]&gt;0,AvengerAbilities4Scenario1[[#This Row],[wins]]/AvengerAbilities4Scenario1[[#This Row],[takes]],0)</f>
        <v>0.5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9</v>
      </c>
      <c r="T45">
        <f>COUNTIFS(Scenario2[winner1],"avenger",Scenario2[winner1-sw],AvengerEquipScenario2[[#This Row],[level]])+COUNTIFS(Scenario2[loser1],"avenger",Scenario2[loser1-sw],AvengerEquipScenario2[[#This Row],[level]])</f>
        <v>9</v>
      </c>
      <c r="U45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2</v>
      </c>
      <c r="T46">
        <f>COUNTIFS(Scenario2[winner1],"avenger",Scenario2[winner1-sw],AvengerEquipScenario2[[#This Row],[level]])+COUNTIFS(Scenario2[loser1],"avenger",Scenario2[loser1-sw],AvengerEquipScenario2[[#This Row],[level]])</f>
        <v>3</v>
      </c>
      <c r="U46" s="18">
        <f>COUNTIFS(Scenario2[winner1],"avenger",Scenario2[winner1-cp],AvengerEquipScenario2[[#This Row],[level]])+COUNTIFS(Scenario2[loser1],"avenger",Scenario2[loser1-cp],AvengerEquipScenario2[[#This Row],[level]])</f>
        <v>9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6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0.5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3</v>
      </c>
      <c r="T47">
        <f>COUNTIFS(Scenario2[winner1],"avenger",Scenario2[winner1-sw],AvengerEquipScenario2[[#This Row],[level]])+COUNTIFS(Scenario2[loser1],"avenger",Scenario2[loser1-sw],AvengerEquipScenario2[[#This Row],[level]])</f>
        <v>2</v>
      </c>
      <c r="U47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5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0.35714285714285715</v>
      </c>
      <c r="P50" s="12">
        <f>IF(AvengerAbilities2Scenario2[[#This Row],[takes]]&gt;0,AvengerAbilities2Scenario2[[#This Row],[wins]]/AvengerAbilities2Scenario2[[#This Row],[takes]],0)</f>
        <v>0.2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0.14285714285714285</v>
      </c>
      <c r="P51" s="3">
        <f>IF(AvengerAbilities2Scenario2[[#This Row],[takes]]&gt;0,AvengerAbilities2Scenario2[[#This Row],[wins]]/AvengerAbilities2Scenario2[[#This Row],[takes]],0)</f>
        <v>0.5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4</v>
      </c>
      <c r="O52" s="13">
        <f>IF(SUM(AvengerAbilities2Scenario2[[#This Row],[takes]]) &gt; 0,AvengerAbilities2Scenario2[[#This Row],[takes]]/SUM(AvengerAbilities2Scenario2[takes]),0)</f>
        <v>0.5</v>
      </c>
      <c r="P52" s="13">
        <f>IF(AvengerAbilities2Scenario2[[#This Row],[takes]]&gt;0,AvengerAbilities2Scenario2[[#This Row],[wins]]/AvengerAbilities2Scenario2[[#This Row],[takes]],0)</f>
        <v>0.5714285714285714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3</v>
      </c>
      <c r="N55" s="1">
        <f>COUNTIF(Scenario2[winner1-ability3],AvengerAbilities3Scenario2[[#This Row],[ability]])</f>
        <v>1</v>
      </c>
      <c r="O55" s="14">
        <f>IF(SUM(AvengerAbilities3Scenario2[[#This Row],[takes]]) &gt; 0,AvengerAbilities3Scenario2[[#This Row],[takes]]/SUM(AvengerAbilities3Scenario2[takes]),0)</f>
        <v>0.25</v>
      </c>
      <c r="P55" s="14">
        <f>IF(AvengerAbilities3Scenario2[[#This Row],[takes]]&gt;0,AvengerAbilities3Scenario2[[#This Row],[wins]]/AvengerAbilities3Scenario2[[#This Row],[takes]],0)</f>
        <v>0.33333333333333331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5</v>
      </c>
      <c r="N56" s="2">
        <f>COUNTIF(Scenario2[winner1-ability3],AvengerAbilities3Scenario2[[#This Row],[ability]])</f>
        <v>2</v>
      </c>
      <c r="O56" s="12">
        <f>IF(SUM(AvengerAbilities3Scenario2[[#This Row],[takes]]) &gt; 0,AvengerAbilities3Scenario2[[#This Row],[takes]]/SUM(AvengerAbilities3Scenario2[takes]),0)</f>
        <v>0.41666666666666669</v>
      </c>
      <c r="P56" s="12">
        <f>IF(AvengerAbilities3Scenario2[[#This Row],[takes]]&gt;0,AvengerAbilities3Scenario2[[#This Row],[wins]]/AvengerAbilities3Scenario2[[#This Row],[takes]],0)</f>
        <v>0.4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2</v>
      </c>
      <c r="O57" s="15">
        <f>IF(SUM(AvengerAbilities3Scenario2[[#This Row],[takes]]) &gt; 0,AvengerAbilities3Scenario2[[#This Row],[takes]]/SUM(AvengerAbilities3Scenario2[takes]),0)</f>
        <v>0.33333333333333331</v>
      </c>
      <c r="P57" s="15">
        <f>IF(AvengerAbilities3Scenario2[[#This Row],[takes]]&gt;0,AvengerAbilities3Scenario2[[#This Row],[wins]]/AvengerAbilities3Scenario2[[#This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0.33333333333333331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1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0.16666666666666666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3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0.5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8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6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7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5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0.23809523809523808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13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13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13</v>
      </c>
      <c r="N71" s="2">
        <f>COUNTIF(Scenario3[winner1-ability2],AvengerAbilities2Scenario3[[#This Row],[ability]])</f>
        <v>3</v>
      </c>
      <c r="O71" s="12">
        <f>IF(SUM(AvengerAbilities2Scenario3[[#This Row],[takes]]) &gt; 0,AvengerAbilities2Scenario3[[#This Row],[takes]]/SUM(AvengerAbilities2Scenario3[takes]),0)</f>
        <v>0.61904761904761907</v>
      </c>
      <c r="P71" s="12">
        <f>IF(AvengerAbilities2Scenario3[[#This Row],[takes]]&gt;0,AvengerAbilities2Scenario3[[#This Row],[wins]]/AvengerAbilities2Scenario3[[#This Row],[takes]],0)</f>
        <v>0.23076923076923078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3</v>
      </c>
      <c r="N72" s="2">
        <f>COUNTIF(Scenario3[winner1-ability2],AvengerAbilities2Scenario3[[#This Row],[ability]])</f>
        <v>1</v>
      </c>
      <c r="O72" s="3">
        <f>IF(SUM(AvengerAbilities2Scenario3[[#This Row],[takes]]) &gt; 0,AvengerAbilities2Scenario3[[#This Row],[takes]]/SUM(AvengerAbilities2Scenario3[takes]),0)</f>
        <v>0.14285714285714285</v>
      </c>
      <c r="P72" s="3">
        <f>IF(AvengerAbilities2Scenario3[[#This Row],[takes]]&gt;0,AvengerAbilities2Scenario3[[#This Row],[wins]]/AvengerAbilities2Scenario3[[#This Row],[takes]],0)</f>
        <v>0.33333333333333331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5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0.23809523809523808</v>
      </c>
      <c r="P73" s="13">
        <f>IF(AvengerAbilities2Scenario3[[#This Row],[takes]]&gt;0,AvengerAbilities2Scenario3[[#This Row],[wins]]/AvengerAbilities2Scenario3[[#This Row],[takes]],0)</f>
        <v>0.2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5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0.23809523809523808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12</v>
      </c>
      <c r="N77" s="2">
        <f>COUNTIF(Scenario3[winner1-ability3],AvengerAbilities3Scenario3[[#This Row],[ability]])</f>
        <v>3</v>
      </c>
      <c r="O77" s="12">
        <f>IF(SUM(AvengerAbilities3Scenario3[[#This Row],[takes]]) &gt; 0,AvengerAbilities3Scenario3[[#This Row],[takes]]/SUM(AvengerAbilities3Scenario3[takes]),0)</f>
        <v>0.5714285714285714</v>
      </c>
      <c r="P77" s="12">
        <f>IF(AvengerAbilities3Scenario3[[#This Row],[takes]]&gt;0,AvengerAbilities3Scenario3[[#This Row],[wins]]/AvengerAbilities3Scenario3[[#This Row],[takes]],0)</f>
        <v>0.25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8" s="1">
        <f>COUNTIF(Scenario3[winner1-ability3],AvengerAbilities3Scenario3[[#This Row],[ability]])</f>
        <v>2</v>
      </c>
      <c r="O78" s="15">
        <f>IF(SUM(AvengerAbilities3Scenario3[[#This Row],[takes]]) &gt; 0,AvengerAbilities3Scenario3[[#This Row],[takes]]/SUM(AvengerAbilities3Scenario3[takes]),0)</f>
        <v>0.19047619047619047</v>
      </c>
      <c r="P78" s="15">
        <f>IF(AvengerAbilities3Scenario3[[#This Row],[takes]]&gt;0,AvengerAbilities3Scenario3[[#This Row],[wins]]/AvengerAbilities3Scenario3[[#This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2</v>
      </c>
      <c r="N81" s="2">
        <f>COUNTIF(Scenario3[winner1-ability4],AvengerAbilities4Scenario3[[#This Row],[ability]])</f>
        <v>1</v>
      </c>
      <c r="O81" s="12">
        <f>IF(SUM(AvengerAbilities4Scenario3[[#This Row],[takes]]) &gt; 0,AvengerAbilities4Scenario3[[#This Row],[takes]]/SUM(AvengerAbilities4Scenario3[takes]),0)</f>
        <v>0.1111111111111111</v>
      </c>
      <c r="P81" s="12">
        <f>IF(AvengerAbilities4Scenario3[[#This Row],[takes]]&gt;0,AvengerAbilities4Scenario3[[#This Row],[wins]]/AvengerAbilities4Scenario3[[#This Row],[takes]],0)</f>
        <v>0.5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14</v>
      </c>
      <c r="N82" s="2">
        <f>COUNTIF(Scenario3[winner1-ability4],AvengerAbilities4Scenario3[[#This Row],[ability]])</f>
        <v>4</v>
      </c>
      <c r="O82" s="12">
        <f>IF(SUM(AvengerAbilities4Scenario3[[#This Row],[takes]]) &gt; 0,AvengerAbilities4Scenario3[[#This Row],[takes]]/SUM(AvengerAbilities4Scenario3[takes]),0)</f>
        <v>0.77777777777777779</v>
      </c>
      <c r="P82" s="12">
        <f>IF(AvengerAbilities4Scenario3[[#This Row],[takes]]&gt;0,AvengerAbilities4Scenario3[[#This Row],[wins]]/AvengerAbilities4Scenario3[[#This Row],[takes]],0)</f>
        <v>0.2857142857142857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2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0.1111111111111111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8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6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6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4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0.11428571428571428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19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25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27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22</v>
      </c>
      <c r="N92" s="2">
        <f>COUNTIF(Scenario4[winner1-ability2],AvengerAbilities2Scenario4[[#This Row],[ability]])</f>
        <v>3</v>
      </c>
      <c r="O92" s="12">
        <f>IF(SUM(AvengerAbilities2Scenario4[[#This Row],[takes]]) &gt; 0,AvengerAbilities2Scenario4[[#This Row],[takes]]/SUM(AvengerAbilities2Scenario4[takes]),0)</f>
        <v>0.66666666666666663</v>
      </c>
      <c r="P92" s="12">
        <f>IF(AvengerAbilities2Scenario4[[#This Row],[takes]]&gt;0,AvengerAbilities2Scenario4[[#This Row],[wins]]/AvengerAbilities2Scenario4[[#This Row],[takes]],0)</f>
        <v>0.13636363636363635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11</v>
      </c>
      <c r="N94" s="2">
        <f>COUNTIF(Scenario4[winner1-ability2],AvengerAbilities2Scenario4[[#This Row],[ability]])</f>
        <v>1</v>
      </c>
      <c r="O94" s="13">
        <f>IF(SUM(AvengerAbilities2Scenario4[[#This Row],[takes]]) &gt; 0,AvengerAbilities2Scenario4[[#This Row],[takes]]/SUM(AvengerAbilities2Scenario4[takes]),0)</f>
        <v>0.33333333333333331</v>
      </c>
      <c r="P94" s="13">
        <f>IF(AvengerAbilities2Scenario4[[#This Row],[takes]]&gt;0,AvengerAbilities2Scenario4[[#This Row],[wins]]/AvengerAbilities2Scenario4[[#This Row],[takes]],0)</f>
        <v>9.0909090909090912E-2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9</v>
      </c>
      <c r="N97" s="1">
        <f>COUNTIF(Scenario4[winner1-ability3],AvengerAbilities3Scenario4[[#This Row],[ability]])</f>
        <v>2</v>
      </c>
      <c r="O97" s="14">
        <f>IF(SUM(AvengerAbilities3Scenario4[[#This Row],[takes]]) &gt; 0,AvengerAbilities3Scenario4[[#This Row],[takes]]/SUM(AvengerAbilities3Scenario4[takes]),0)</f>
        <v>0.3</v>
      </c>
      <c r="P97" s="14">
        <f>IF(AvengerAbilities3Scenario4[[#This Row],[takes]]&gt;0,AvengerAbilities3Scenario4[[#This Row],[wins]]/AvengerAbilities3Scenario4[[#This Row],[takes]],0)</f>
        <v>0.22222222222222221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19</v>
      </c>
      <c r="N98" s="2">
        <f>COUNTIF(Scenario4[winner1-ability3],AvengerAbilities3Scenario4[[#This Row],[ability]])</f>
        <v>2</v>
      </c>
      <c r="O98" s="12">
        <f>IF(SUM(AvengerAbilities3Scenario4[[#This Row],[takes]]) &gt; 0,AvengerAbilities3Scenario4[[#This Row],[takes]]/SUM(AvengerAbilities3Scenario4[takes]),0)</f>
        <v>0.6333333333333333</v>
      </c>
      <c r="P98" s="12">
        <f>IF(AvengerAbilities3Scenario4[[#This Row],[takes]]&gt;0,AvengerAbilities3Scenario4[[#This Row],[wins]]/AvengerAbilities3Scenario4[[#This Row],[takes]],0)</f>
        <v>0.10526315789473684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2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6.6666666666666666E-2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7.6923076923076927E-2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21</v>
      </c>
      <c r="N103" s="2">
        <f>COUNTIF(Scenario4[winner1-ability4],AvengerAbilities4Scenario4[[#This Row],[ability]])</f>
        <v>4</v>
      </c>
      <c r="O103" s="12">
        <f>IF(SUM(AvengerAbilities4Scenario4[[#This Row],[takes]]) &gt; 0,AvengerAbilities4Scenario4[[#This Row],[takes]]/SUM(AvengerAbilities4Scenario4[takes]),0)</f>
        <v>0.80769230769230771</v>
      </c>
      <c r="P103" s="12">
        <f>IF(AvengerAbilities4Scenario4[[#This Row],[takes]]&gt;0,AvengerAbilities4Scenario4[[#This Row],[wins]]/AvengerAbilities4Scenario4[[#This Row],[takes]],0)</f>
        <v>0.19047619047619047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0.11538461538461539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25</v>
      </c>
      <c r="N108">
        <f>COUNTIF(Scenario5[winner1-ability1],AvengerAbilities1Scenario5[[#This Row],[ability]])+COUNTIF(Scenario5[winner2-ability1],AvengerAbilities1Scenario5[[#This Row],[ability]])</f>
        <v>20</v>
      </c>
      <c r="O108" s="3">
        <f>IF(SUM(AvengerAbilities1Scenario5[[#This Row],[takes]]) &gt; 0,AvengerAbilities1Scenario5[[#This Row],[takes]]/SUM(AvengerAbilities1Scenario5[takes]),0)</f>
        <v>0.23809523809523808</v>
      </c>
      <c r="P108" s="3">
        <f>IF(AvengerAbilities1Scenario5[[#This Row],[takes]]&gt;0,AvengerAbilities1Scenario5[[#This Row],[wins]]/AvengerAbilities1Scenario5[[#This Row],[takes]],0)</f>
        <v>0.8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47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60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12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7</v>
      </c>
      <c r="N109">
        <f>COUNTIF(Scenario5[winner1-ability1],AvengerAbilities1Scenario5[[#This Row],[ability]])+COUNTIF(Scenario5[winner2-ability1],AvengerAbilities1Scenario5[[#This Row],[ability]])</f>
        <v>1</v>
      </c>
      <c r="O109" s="3">
        <f>IF(SUM(AvengerAbilities1Scenario5[[#This Row],[takes]]) &gt; 0,AvengerAbilities1Scenario5[[#This Row],[takes]]/SUM(AvengerAbilities1Scenario5[takes]),0)</f>
        <v>6.6666666666666666E-2</v>
      </c>
      <c r="P109" s="3">
        <f>IF(AvengerAbilities1Scenario5[[#This Row],[takes]]&gt;0,AvengerAbilities1Scenario5[[#This Row],[wins]]/AvengerAbilities1Scenario5[[#This Row],[takes]],0)</f>
        <v>0.14285714285714285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21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19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51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73</v>
      </c>
      <c r="N110">
        <f>COUNTIF(Scenario5[winner1-ability1],AvengerAbilities1Scenario5[[#This Row],[ability]])+COUNTIF(Scenario5[winner2-ability1],AvengerAbilities1Scenario5[[#This Row],[ability]])</f>
        <v>17</v>
      </c>
      <c r="O110" s="3">
        <f>IF(SUM(AvengerAbilities1Scenario5[[#This Row],[takes]]) &gt; 0,AvengerAbilities1Scenario5[[#This Row],[takes]]/SUM(AvengerAbilities1Scenario5[takes]),0)</f>
        <v>0.69523809523809521</v>
      </c>
      <c r="P110" s="3">
        <f>IF(AvengerAbilities1Scenario5[[#This Row],[takes]]&gt;0,AvengerAbilities1Scenario5[[#This Row],[wins]]/AvengerAbilities1Scenario5[[#This Row],[takes]],0)</f>
        <v>0.23287671232876711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37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26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42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30</v>
      </c>
      <c r="N113" s="2">
        <f>COUNTIF(Scenario5[winner1-ability2],AvengerAbilities2Scenario5[[#This Row],[ability]])+COUNTIF(Scenario5[winner2-ability2],AvengerAbilities2Scenario5[[#This Row],[ability]])</f>
        <v>5</v>
      </c>
      <c r="O113" s="12">
        <f>IF(SUM(AvengerAbilities2Scenario5[[#This Row],[takes]]) &gt; 0,AvengerAbilities2Scenario5[[#This Row],[takes]]/SUM(AvengerAbilities2Scenario5[takes]),0)</f>
        <v>0.3</v>
      </c>
      <c r="P113" s="12">
        <f>IF(AvengerAbilities2Scenario5[[#This Row],[takes]]&gt;0,AvengerAbilities2Scenario5[[#This Row],[wins]]/AvengerAbilities2Scenario5[[#This Row],[takes]],0)</f>
        <v>0.16666666666666666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8</v>
      </c>
      <c r="N114" s="2">
        <f>COUNTIF(Scenario5[winner1-ability2],AvengerAbilities2Scenario5[[#This Row],[ability]])+COUNTIF(Scenario5[winner2-ability2],AvengerAbilities2Scenario5[[#This Row],[ability]])</f>
        <v>7</v>
      </c>
      <c r="O114" s="3">
        <f>IF(SUM(AvengerAbilities2Scenario5[[#This Row],[takes]]) &gt; 0,AvengerAbilities2Scenario5[[#This Row],[takes]]/SUM(AvengerAbilities2Scenario5[takes]),0)</f>
        <v>0.08</v>
      </c>
      <c r="P114" s="3">
        <f>IF(AvengerAbilities2Scenario5[[#This Row],[takes]]&gt;0,AvengerAbilities2Scenario5[[#This Row],[wins]]/AvengerAbilities2Scenario5[[#This Row],[takes]],0)</f>
        <v>0.875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62</v>
      </c>
      <c r="N115" s="2">
        <f>COUNTIF(Scenario5[winner1-ability2],AvengerAbilities2Scenario5[[#This Row],[ability]])+COUNTIF(Scenario5[winner2-ability2],AvengerAbilities2Scenario5[[#This Row],[ability]])</f>
        <v>26</v>
      </c>
      <c r="O115" s="13">
        <f>IF(SUM(AvengerAbilities2Scenario5[[#This Row],[takes]]) &gt; 0,AvengerAbilities2Scenario5[[#This Row],[takes]]/SUM(AvengerAbilities2Scenario5[takes]),0)</f>
        <v>0.62</v>
      </c>
      <c r="P115" s="13">
        <f>IF(AvengerAbilities2Scenario5[[#This Row],[takes]]&gt;0,AvengerAbilities2Scenario5[[#This Row],[wins]]/AvengerAbilities2Scenario5[[#This Row],[takes]],0)</f>
        <v>0.41935483870967744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16</v>
      </c>
      <c r="N118" s="1">
        <f>COUNTIF(Scenario5[winner1-ability3],AvengerAbilities3Scenario5[[#This Row],[ability]])+COUNTIF(Scenario5[winner2-ability3],AvengerAbilities3Scenario5[[#This Row],[ability]])</f>
        <v>11</v>
      </c>
      <c r="O118" s="14">
        <f>IF(SUM(AvengerAbilities3Scenario5[[#This Row],[takes]]) &gt; 0,AvengerAbilities3Scenario5[[#This Row],[takes]]/SUM(AvengerAbilities3Scenario5[takes]),0)</f>
        <v>0.20253164556962025</v>
      </c>
      <c r="P118" s="14">
        <f>IF(AvengerAbilities3Scenario5[[#This Row],[takes]]&gt;0,AvengerAbilities3Scenario5[[#This Row],[wins]]/AvengerAbilities3Scenario5[[#This Row],[takes]],0)</f>
        <v>0.6875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32</v>
      </c>
      <c r="N119" s="2">
        <f>COUNTIF(Scenario5[winner1-ability3],AvengerAbilities3Scenario5[[#This Row],[ability]])+COUNTIF(Scenario5[winner2-ability3],AvengerAbilities3Scenario5[[#This Row],[ability]])</f>
        <v>4</v>
      </c>
      <c r="O119" s="12">
        <f>IF(SUM(AvengerAbilities3Scenario5[[#This Row],[takes]]) &gt; 0,AvengerAbilities3Scenario5[[#This Row],[takes]]/SUM(AvengerAbilities3Scenario5[takes]),0)</f>
        <v>0.4050632911392405</v>
      </c>
      <c r="P119" s="12">
        <f>IF(AvengerAbilities3Scenario5[[#This Row],[takes]]&gt;0,AvengerAbilities3Scenario5[[#This Row],[wins]]/AvengerAbilities3Scenario5[[#This Row],[takes]],0)</f>
        <v>0.125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31</v>
      </c>
      <c r="N120" s="1">
        <f>COUNTIF(Scenario5[winner1-ability3],AvengerAbilities3Scenario5[[#This Row],[ability]])+COUNTIF(Scenario5[winner2-ability3],AvengerAbilities3Scenario5[[#This Row],[ability]])</f>
        <v>17</v>
      </c>
      <c r="O120" s="15">
        <f>IF(SUM(AvengerAbilities3Scenario5[[#This Row],[takes]]) &gt; 0,AvengerAbilities3Scenario5[[#This Row],[takes]]/SUM(AvengerAbilities3Scenario5[takes]),0)</f>
        <v>0.39240506329113922</v>
      </c>
      <c r="P120" s="15">
        <f>IF(AvengerAbilities3Scenario5[[#This Row],[takes]]&gt;0,AvengerAbilities3Scenario5[[#This Row],[wins]]/AvengerAbilities3Scenario5[[#This Row],[takes]],0)</f>
        <v>0.54838709677419351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11</v>
      </c>
      <c r="N123" s="2">
        <f>COUNTIF(Scenario5[winner1-ability4],AvengerAbilities4Scenario5[[#This Row],[ability]])+COUNTIF(Scenario5[winner2-ability4],AvengerAbilities4Scenario5[[#This Row],[ability]])</f>
        <v>1</v>
      </c>
      <c r="O123" s="12">
        <f>IF(SUM(AvengerAbilities4Scenario5[[#This Row],[takes]]) &gt; 0,AvengerAbilities4Scenario5[[#This Row],[takes]]/SUM(AvengerAbilities4Scenario5[takes]),0)</f>
        <v>0.18333333333333332</v>
      </c>
      <c r="P123" s="12">
        <f>IF(AvengerAbilities4Scenario5[[#This Row],[takes]]&gt;0,AvengerAbilities4Scenario5[[#This Row],[wins]]/AvengerAbilities4Scenario5[[#This Row],[takes]],0)</f>
        <v>9.0909090909090912E-2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18</v>
      </c>
      <c r="N124" s="2">
        <f>COUNTIF(Scenario5[winner1-ability4],AvengerAbilities4Scenario5[[#This Row],[ability]])+COUNTIF(Scenario5[winner2-ability4],AvengerAbilities4Scenario5[[#This Row],[ability]])</f>
        <v>3</v>
      </c>
      <c r="O124" s="12">
        <f>IF(SUM(AvengerAbilities4Scenario5[[#This Row],[takes]]) &gt; 0,AvengerAbilities4Scenario5[[#This Row],[takes]]/SUM(AvengerAbilities4Scenario5[takes]),0)</f>
        <v>0.3</v>
      </c>
      <c r="P124" s="12">
        <f>IF(AvengerAbilities4Scenario5[[#This Row],[takes]]&gt;0,AvengerAbilities4Scenario5[[#This Row],[wins]]/AvengerAbilities4Scenario5[[#This Row],[takes]],0)</f>
        <v>0.16666666666666666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31</v>
      </c>
      <c r="N125" s="2">
        <f>COUNTIF(Scenario5[winner1-ability4],AvengerAbilities4Scenario5[[#This Row],[ability]])+COUNTIF(Scenario5[winner2-ability4],AvengerAbilities4Scenario5[[#This Row],[ability]])</f>
        <v>15</v>
      </c>
      <c r="O125" s="26">
        <f>IF(SUM(AvengerAbilities4Scenario5[[#This Row],[takes]]) &gt; 0,AvengerAbilities4Scenario5[[#This Row],[takes]]/SUM(AvengerAbilities4Scenario5[takes]),0)</f>
        <v>0.51666666666666672</v>
      </c>
      <c r="P125" s="26">
        <f>IF(AvengerAbilities4Scenario5[[#This Row],[takes]]&gt;0,AvengerAbilities4Scenario5[[#This Row],[wins]]/AvengerAbilities4Scenario5[[#This Row],[takes]],0)</f>
        <v>0.4838709677419355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workbookViewId="0">
      <selection activeCell="AL7" sqref="AL7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437</v>
      </c>
      <c r="B2">
        <v>0</v>
      </c>
      <c r="C2" t="s">
        <v>48</v>
      </c>
      <c r="D2">
        <v>3</v>
      </c>
      <c r="F2">
        <v>2</v>
      </c>
      <c r="G2" t="s">
        <v>49</v>
      </c>
      <c r="H2" t="s">
        <v>84</v>
      </c>
      <c r="I2" t="s">
        <v>127</v>
      </c>
      <c r="K2" t="s">
        <v>33</v>
      </c>
      <c r="L2">
        <v>1</v>
      </c>
      <c r="N2">
        <v>2</v>
      </c>
      <c r="O2" t="s">
        <v>34</v>
      </c>
      <c r="S2" t="s">
        <v>53</v>
      </c>
      <c r="T2">
        <v>2</v>
      </c>
      <c r="U2">
        <v>1</v>
      </c>
      <c r="V2">
        <v>1</v>
      </c>
      <c r="W2" t="s">
        <v>111</v>
      </c>
      <c r="X2" t="s">
        <v>83</v>
      </c>
      <c r="AA2" t="s">
        <v>56</v>
      </c>
      <c r="AB2">
        <v>3</v>
      </c>
      <c r="AD2">
        <v>1</v>
      </c>
      <c r="AE2" t="s">
        <v>68</v>
      </c>
      <c r="AI2">
        <v>10</v>
      </c>
      <c r="AJ2">
        <v>25</v>
      </c>
    </row>
    <row r="3" spans="1:36" x14ac:dyDescent="0.25">
      <c r="A3" t="s">
        <v>438</v>
      </c>
      <c r="B3">
        <v>1</v>
      </c>
      <c r="C3" t="s">
        <v>48</v>
      </c>
      <c r="D3">
        <v>2</v>
      </c>
      <c r="F3">
        <v>1</v>
      </c>
      <c r="G3" t="s">
        <v>49</v>
      </c>
      <c r="K3" t="s">
        <v>43</v>
      </c>
      <c r="L3">
        <v>1</v>
      </c>
      <c r="N3">
        <v>1</v>
      </c>
      <c r="O3" t="s">
        <v>73</v>
      </c>
      <c r="P3" t="s">
        <v>99</v>
      </c>
      <c r="Q3" t="s">
        <v>100</v>
      </c>
      <c r="R3" t="s">
        <v>101</v>
      </c>
      <c r="S3" t="s">
        <v>53</v>
      </c>
      <c r="T3">
        <v>2</v>
      </c>
      <c r="U3">
        <v>3</v>
      </c>
      <c r="V3">
        <v>1</v>
      </c>
      <c r="W3" t="s">
        <v>111</v>
      </c>
      <c r="AA3" t="s">
        <v>56</v>
      </c>
      <c r="AB3">
        <v>3</v>
      </c>
      <c r="AD3">
        <v>2</v>
      </c>
      <c r="AE3" t="s">
        <v>68</v>
      </c>
      <c r="AI3">
        <v>10</v>
      </c>
      <c r="AJ3">
        <v>27</v>
      </c>
    </row>
    <row r="4" spans="1:36" x14ac:dyDescent="0.25">
      <c r="A4" t="s">
        <v>439</v>
      </c>
      <c r="B4">
        <v>2</v>
      </c>
      <c r="C4" t="s">
        <v>48</v>
      </c>
      <c r="D4">
        <v>3</v>
      </c>
      <c r="F4">
        <v>3</v>
      </c>
      <c r="G4" t="s">
        <v>49</v>
      </c>
      <c r="H4" t="s">
        <v>84</v>
      </c>
      <c r="K4" t="s">
        <v>45</v>
      </c>
      <c r="L4">
        <v>2</v>
      </c>
      <c r="N4">
        <v>1</v>
      </c>
      <c r="O4" t="s">
        <v>47</v>
      </c>
      <c r="S4" t="s">
        <v>53</v>
      </c>
      <c r="T4">
        <v>3</v>
      </c>
      <c r="U4">
        <v>1</v>
      </c>
      <c r="V4">
        <v>1</v>
      </c>
      <c r="W4" t="s">
        <v>111</v>
      </c>
      <c r="X4" t="s">
        <v>83</v>
      </c>
      <c r="Y4" t="s">
        <v>105</v>
      </c>
      <c r="AA4" t="s">
        <v>56</v>
      </c>
      <c r="AB4">
        <v>3</v>
      </c>
      <c r="AD4">
        <v>2</v>
      </c>
      <c r="AE4" t="s">
        <v>68</v>
      </c>
      <c r="AI4">
        <v>13</v>
      </c>
      <c r="AJ4">
        <v>34</v>
      </c>
    </row>
    <row r="5" spans="1:36" x14ac:dyDescent="0.25">
      <c r="A5" t="s">
        <v>440</v>
      </c>
      <c r="B5">
        <v>3</v>
      </c>
      <c r="C5" t="s">
        <v>48</v>
      </c>
      <c r="D5">
        <v>3</v>
      </c>
      <c r="F5">
        <v>2</v>
      </c>
      <c r="G5" t="s">
        <v>49</v>
      </c>
      <c r="H5" t="s">
        <v>84</v>
      </c>
      <c r="I5" t="s">
        <v>127</v>
      </c>
      <c r="K5" t="s">
        <v>63</v>
      </c>
      <c r="L5">
        <v>2</v>
      </c>
      <c r="N5">
        <v>1</v>
      </c>
      <c r="O5" t="s">
        <v>72</v>
      </c>
      <c r="P5" t="s">
        <v>146</v>
      </c>
      <c r="Q5" t="s">
        <v>147</v>
      </c>
      <c r="S5" t="s">
        <v>53</v>
      </c>
      <c r="T5">
        <v>3</v>
      </c>
      <c r="U5">
        <v>1</v>
      </c>
      <c r="V5">
        <v>2</v>
      </c>
      <c r="W5" t="s">
        <v>111</v>
      </c>
      <c r="AA5" t="s">
        <v>56</v>
      </c>
      <c r="AB5">
        <v>3</v>
      </c>
      <c r="AD5">
        <v>1</v>
      </c>
      <c r="AE5" t="s">
        <v>57</v>
      </c>
      <c r="AF5" t="s">
        <v>69</v>
      </c>
      <c r="AI5">
        <v>14</v>
      </c>
      <c r="AJ5">
        <v>42</v>
      </c>
    </row>
    <row r="6" spans="1:36" x14ac:dyDescent="0.25">
      <c r="A6" t="s">
        <v>441</v>
      </c>
      <c r="B6">
        <v>4</v>
      </c>
      <c r="C6" t="s">
        <v>53</v>
      </c>
      <c r="D6">
        <v>1</v>
      </c>
      <c r="E6">
        <v>1</v>
      </c>
      <c r="F6">
        <v>1</v>
      </c>
      <c r="G6" t="s">
        <v>111</v>
      </c>
      <c r="K6" t="s">
        <v>56</v>
      </c>
      <c r="L6">
        <v>2</v>
      </c>
      <c r="N6">
        <v>1</v>
      </c>
      <c r="O6" t="s">
        <v>57</v>
      </c>
      <c r="P6" t="s">
        <v>122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2</v>
      </c>
      <c r="AE6" t="s">
        <v>152</v>
      </c>
      <c r="AI6">
        <v>5</v>
      </c>
      <c r="AJ6">
        <v>18</v>
      </c>
    </row>
    <row r="7" spans="1:36" x14ac:dyDescent="0.25">
      <c r="A7" t="s">
        <v>442</v>
      </c>
      <c r="B7">
        <v>6</v>
      </c>
      <c r="C7" t="s">
        <v>33</v>
      </c>
      <c r="D7">
        <v>1</v>
      </c>
      <c r="F7">
        <v>3</v>
      </c>
      <c r="G7" t="s">
        <v>34</v>
      </c>
      <c r="H7" t="s">
        <v>130</v>
      </c>
      <c r="K7" t="s">
        <v>43</v>
      </c>
      <c r="L7">
        <v>3</v>
      </c>
      <c r="N7">
        <v>1</v>
      </c>
      <c r="O7" t="s">
        <v>135</v>
      </c>
      <c r="P7" t="s">
        <v>99</v>
      </c>
      <c r="Q7" t="s">
        <v>137</v>
      </c>
      <c r="S7" t="s">
        <v>53</v>
      </c>
      <c r="T7">
        <v>1</v>
      </c>
      <c r="U7">
        <v>3</v>
      </c>
      <c r="V7">
        <v>3</v>
      </c>
      <c r="W7" t="s">
        <v>111</v>
      </c>
      <c r="AA7" t="s">
        <v>56</v>
      </c>
      <c r="AB7">
        <v>2</v>
      </c>
      <c r="AD7">
        <v>1</v>
      </c>
      <c r="AE7" t="s">
        <v>68</v>
      </c>
      <c r="AI7">
        <v>12</v>
      </c>
      <c r="AJ7">
        <v>33</v>
      </c>
    </row>
    <row r="8" spans="1:36" x14ac:dyDescent="0.25">
      <c r="A8" t="s">
        <v>443</v>
      </c>
      <c r="B8">
        <v>7</v>
      </c>
      <c r="C8" t="s">
        <v>33</v>
      </c>
      <c r="D8">
        <v>2</v>
      </c>
      <c r="F8">
        <v>2</v>
      </c>
      <c r="G8" t="s">
        <v>34</v>
      </c>
      <c r="H8" t="s">
        <v>35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2</v>
      </c>
      <c r="U8">
        <v>3</v>
      </c>
      <c r="V8">
        <v>3</v>
      </c>
      <c r="W8" t="s">
        <v>111</v>
      </c>
      <c r="AA8" t="s">
        <v>56</v>
      </c>
      <c r="AB8">
        <v>1</v>
      </c>
      <c r="AD8">
        <v>1</v>
      </c>
      <c r="AE8" t="s">
        <v>68</v>
      </c>
      <c r="AI8">
        <v>11</v>
      </c>
      <c r="AJ8">
        <v>26</v>
      </c>
    </row>
    <row r="9" spans="1:36" x14ac:dyDescent="0.25">
      <c r="A9" t="s">
        <v>444</v>
      </c>
      <c r="B9">
        <v>8</v>
      </c>
      <c r="C9" t="s">
        <v>33</v>
      </c>
      <c r="D9">
        <v>1</v>
      </c>
      <c r="F9">
        <v>2</v>
      </c>
      <c r="G9" t="s">
        <v>34</v>
      </c>
      <c r="K9" t="s">
        <v>63</v>
      </c>
      <c r="L9">
        <v>2</v>
      </c>
      <c r="N9">
        <v>1</v>
      </c>
      <c r="O9" t="s">
        <v>103</v>
      </c>
      <c r="P9" t="s">
        <v>91</v>
      </c>
      <c r="Q9" t="s">
        <v>147</v>
      </c>
      <c r="S9" t="s">
        <v>53</v>
      </c>
      <c r="T9">
        <v>1</v>
      </c>
      <c r="U9">
        <v>3</v>
      </c>
      <c r="V9">
        <v>1</v>
      </c>
      <c r="W9" t="s">
        <v>111</v>
      </c>
      <c r="X9" t="s">
        <v>83</v>
      </c>
      <c r="Y9" t="s">
        <v>105</v>
      </c>
      <c r="AA9" t="s">
        <v>56</v>
      </c>
      <c r="AB9">
        <v>3</v>
      </c>
      <c r="AD9">
        <v>1</v>
      </c>
      <c r="AE9" t="s">
        <v>68</v>
      </c>
      <c r="AF9" t="s">
        <v>122</v>
      </c>
      <c r="AI9">
        <v>11</v>
      </c>
      <c r="AJ9">
        <v>39</v>
      </c>
    </row>
    <row r="10" spans="1:36" x14ac:dyDescent="0.25">
      <c r="A10" t="s">
        <v>445</v>
      </c>
      <c r="B10">
        <v>9</v>
      </c>
      <c r="C10" t="s">
        <v>53</v>
      </c>
      <c r="D10">
        <v>1</v>
      </c>
      <c r="E10">
        <v>1</v>
      </c>
      <c r="F10">
        <v>1</v>
      </c>
      <c r="G10" t="s">
        <v>111</v>
      </c>
      <c r="H10" t="s">
        <v>113</v>
      </c>
      <c r="K10" t="s">
        <v>56</v>
      </c>
      <c r="L10">
        <v>3</v>
      </c>
      <c r="N10">
        <v>1</v>
      </c>
      <c r="O10" t="s">
        <v>68</v>
      </c>
      <c r="P10" t="s">
        <v>121</v>
      </c>
      <c r="S10" t="s">
        <v>33</v>
      </c>
      <c r="T10">
        <v>1</v>
      </c>
      <c r="V10">
        <v>3</v>
      </c>
      <c r="W10" t="s">
        <v>34</v>
      </c>
      <c r="AA10" t="s">
        <v>38</v>
      </c>
      <c r="AB10">
        <v>2</v>
      </c>
      <c r="AC10">
        <v>1</v>
      </c>
      <c r="AD10">
        <v>1</v>
      </c>
      <c r="AE10" t="s">
        <v>152</v>
      </c>
      <c r="AF10" t="s">
        <v>70</v>
      </c>
      <c r="AI10">
        <v>8</v>
      </c>
      <c r="AJ10">
        <v>30</v>
      </c>
    </row>
    <row r="11" spans="1:36" x14ac:dyDescent="0.25">
      <c r="A11" t="s">
        <v>446</v>
      </c>
      <c r="B11">
        <v>11</v>
      </c>
      <c r="C11" t="s">
        <v>43</v>
      </c>
      <c r="D11">
        <v>1</v>
      </c>
      <c r="F11">
        <v>1</v>
      </c>
      <c r="G11" t="s">
        <v>73</v>
      </c>
      <c r="H11" t="s">
        <v>99</v>
      </c>
      <c r="I11" t="s">
        <v>75</v>
      </c>
      <c r="J11" t="s">
        <v>101</v>
      </c>
      <c r="K11" t="s">
        <v>45</v>
      </c>
      <c r="L11">
        <v>3</v>
      </c>
      <c r="N11">
        <v>1</v>
      </c>
      <c r="O11" t="s">
        <v>47</v>
      </c>
      <c r="S11" t="s">
        <v>53</v>
      </c>
      <c r="T11">
        <v>1</v>
      </c>
      <c r="U11">
        <v>1</v>
      </c>
      <c r="V11">
        <v>1</v>
      </c>
      <c r="W11" t="s">
        <v>111</v>
      </c>
      <c r="X11" t="s">
        <v>83</v>
      </c>
      <c r="Y11" t="s">
        <v>105</v>
      </c>
      <c r="AA11" t="s">
        <v>56</v>
      </c>
      <c r="AB11">
        <v>1</v>
      </c>
      <c r="AD11">
        <v>1</v>
      </c>
      <c r="AE11" t="s">
        <v>68</v>
      </c>
      <c r="AI11">
        <v>7</v>
      </c>
      <c r="AJ11">
        <v>25</v>
      </c>
    </row>
    <row r="12" spans="1:36" x14ac:dyDescent="0.25">
      <c r="A12" t="s">
        <v>447</v>
      </c>
      <c r="B12">
        <v>12</v>
      </c>
      <c r="C12" t="s">
        <v>43</v>
      </c>
      <c r="D12">
        <v>2</v>
      </c>
      <c r="F12">
        <v>1</v>
      </c>
      <c r="G12" t="s">
        <v>73</v>
      </c>
      <c r="H12" t="s">
        <v>99</v>
      </c>
      <c r="I12" t="s">
        <v>100</v>
      </c>
      <c r="J12" t="s">
        <v>139</v>
      </c>
      <c r="K12" t="s">
        <v>63</v>
      </c>
      <c r="L12">
        <v>1</v>
      </c>
      <c r="N12">
        <v>1</v>
      </c>
      <c r="O12" t="s">
        <v>103</v>
      </c>
      <c r="P12" t="s">
        <v>95</v>
      </c>
      <c r="Q12" t="s">
        <v>104</v>
      </c>
      <c r="S12" t="s">
        <v>53</v>
      </c>
      <c r="T12">
        <v>1</v>
      </c>
      <c r="U12">
        <v>1</v>
      </c>
      <c r="V12">
        <v>2</v>
      </c>
      <c r="W12" t="s">
        <v>111</v>
      </c>
      <c r="X12" t="s">
        <v>83</v>
      </c>
      <c r="Y12" t="s">
        <v>105</v>
      </c>
      <c r="AA12" t="s">
        <v>56</v>
      </c>
      <c r="AB12">
        <v>2</v>
      </c>
      <c r="AD12">
        <v>1</v>
      </c>
      <c r="AE12" t="s">
        <v>68</v>
      </c>
      <c r="AI12">
        <v>10</v>
      </c>
      <c r="AJ12">
        <v>31</v>
      </c>
    </row>
    <row r="13" spans="1:36" x14ac:dyDescent="0.25">
      <c r="A13" t="s">
        <v>448</v>
      </c>
      <c r="B13">
        <v>13</v>
      </c>
      <c r="C13" t="s">
        <v>53</v>
      </c>
      <c r="D13">
        <v>1</v>
      </c>
      <c r="E13">
        <v>1</v>
      </c>
      <c r="F13">
        <v>1</v>
      </c>
      <c r="G13" t="s">
        <v>111</v>
      </c>
      <c r="K13" t="s">
        <v>56</v>
      </c>
      <c r="L13">
        <v>3</v>
      </c>
      <c r="N13">
        <v>3</v>
      </c>
      <c r="O13" t="s">
        <v>68</v>
      </c>
      <c r="P13" t="s">
        <v>122</v>
      </c>
      <c r="Q13" t="s">
        <v>85</v>
      </c>
      <c r="S13" t="s">
        <v>43</v>
      </c>
      <c r="T13">
        <v>2</v>
      </c>
      <c r="V13">
        <v>1</v>
      </c>
      <c r="W13" t="s">
        <v>73</v>
      </c>
      <c r="X13" t="s">
        <v>74</v>
      </c>
      <c r="Y13" t="s">
        <v>75</v>
      </c>
      <c r="AA13" t="s">
        <v>38</v>
      </c>
      <c r="AB13">
        <v>3</v>
      </c>
      <c r="AC13">
        <v>1</v>
      </c>
      <c r="AD13">
        <v>3</v>
      </c>
      <c r="AE13" t="s">
        <v>152</v>
      </c>
      <c r="AF13" t="s">
        <v>96</v>
      </c>
      <c r="AI13">
        <v>14</v>
      </c>
      <c r="AJ13">
        <v>35</v>
      </c>
    </row>
    <row r="14" spans="1:36" x14ac:dyDescent="0.25">
      <c r="A14" t="s">
        <v>449</v>
      </c>
      <c r="B14">
        <v>15</v>
      </c>
      <c r="C14" t="s">
        <v>45</v>
      </c>
      <c r="D14">
        <v>3</v>
      </c>
      <c r="F14">
        <v>2</v>
      </c>
      <c r="G14" t="s">
        <v>86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1</v>
      </c>
      <c r="U14">
        <v>1</v>
      </c>
      <c r="V14">
        <v>1</v>
      </c>
      <c r="W14" t="s">
        <v>111</v>
      </c>
      <c r="X14" t="s">
        <v>113</v>
      </c>
      <c r="AA14" t="s">
        <v>56</v>
      </c>
      <c r="AB14">
        <v>3</v>
      </c>
      <c r="AD14">
        <v>1</v>
      </c>
      <c r="AE14" t="s">
        <v>57</v>
      </c>
      <c r="AF14" t="s">
        <v>122</v>
      </c>
      <c r="AG14" t="s">
        <v>87</v>
      </c>
      <c r="AH14" t="s">
        <v>124</v>
      </c>
      <c r="AI14">
        <v>11</v>
      </c>
      <c r="AJ14">
        <v>27</v>
      </c>
    </row>
    <row r="15" spans="1:36" x14ac:dyDescent="0.25">
      <c r="A15" t="s">
        <v>450</v>
      </c>
      <c r="B15">
        <v>16</v>
      </c>
      <c r="C15" t="s">
        <v>45</v>
      </c>
      <c r="D15">
        <v>3</v>
      </c>
      <c r="F15">
        <v>1</v>
      </c>
      <c r="G15" t="s">
        <v>86</v>
      </c>
      <c r="H15" t="s">
        <v>76</v>
      </c>
      <c r="K15" t="s">
        <v>38</v>
      </c>
      <c r="L15">
        <v>1</v>
      </c>
      <c r="M15">
        <v>2</v>
      </c>
      <c r="N15">
        <v>1</v>
      </c>
      <c r="O15" t="s">
        <v>152</v>
      </c>
      <c r="P15" t="s">
        <v>70</v>
      </c>
      <c r="S15" t="s">
        <v>53</v>
      </c>
      <c r="T15">
        <v>1</v>
      </c>
      <c r="U15">
        <v>1</v>
      </c>
      <c r="V15">
        <v>1</v>
      </c>
      <c r="W15" t="s">
        <v>111</v>
      </c>
      <c r="AA15" t="s">
        <v>56</v>
      </c>
      <c r="AB15">
        <v>1</v>
      </c>
      <c r="AD15">
        <v>3</v>
      </c>
      <c r="AE15" t="s">
        <v>68</v>
      </c>
      <c r="AF15" t="s">
        <v>121</v>
      </c>
      <c r="AG15" t="s">
        <v>123</v>
      </c>
      <c r="AI15">
        <v>9</v>
      </c>
      <c r="AJ15">
        <v>29</v>
      </c>
    </row>
    <row r="16" spans="1:36" x14ac:dyDescent="0.25">
      <c r="A16" t="s">
        <v>451</v>
      </c>
      <c r="B16">
        <v>18</v>
      </c>
      <c r="C16" t="s">
        <v>53</v>
      </c>
      <c r="D16">
        <v>2</v>
      </c>
      <c r="E16">
        <v>1</v>
      </c>
      <c r="F16">
        <v>1</v>
      </c>
      <c r="G16" t="s">
        <v>111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S16" t="s">
        <v>63</v>
      </c>
      <c r="T16">
        <v>2</v>
      </c>
      <c r="V16">
        <v>1</v>
      </c>
      <c r="W16" t="s">
        <v>103</v>
      </c>
      <c r="X16" t="s">
        <v>95</v>
      </c>
      <c r="AA16" t="s">
        <v>38</v>
      </c>
      <c r="AB16">
        <v>2</v>
      </c>
      <c r="AC16">
        <v>1</v>
      </c>
      <c r="AD16">
        <v>1</v>
      </c>
      <c r="AE16" t="s">
        <v>152</v>
      </c>
      <c r="AI16">
        <v>6</v>
      </c>
      <c r="AJ16">
        <v>19</v>
      </c>
    </row>
    <row r="17" spans="1:36" x14ac:dyDescent="0.25">
      <c r="A17" t="s">
        <v>452</v>
      </c>
      <c r="B17">
        <v>21</v>
      </c>
      <c r="C17" t="s">
        <v>53</v>
      </c>
      <c r="D17">
        <v>2</v>
      </c>
      <c r="E17">
        <v>1</v>
      </c>
      <c r="F17">
        <v>2</v>
      </c>
      <c r="G17" t="s">
        <v>111</v>
      </c>
      <c r="H17" t="s">
        <v>83</v>
      </c>
      <c r="K17" t="s">
        <v>48</v>
      </c>
      <c r="L17">
        <v>3</v>
      </c>
      <c r="N17">
        <v>2</v>
      </c>
      <c r="O17" t="s">
        <v>89</v>
      </c>
      <c r="S17" t="s">
        <v>56</v>
      </c>
      <c r="T17">
        <v>3</v>
      </c>
      <c r="V17">
        <v>1</v>
      </c>
      <c r="W17" t="s">
        <v>57</v>
      </c>
      <c r="AA17" t="s">
        <v>33</v>
      </c>
      <c r="AB17">
        <v>3</v>
      </c>
      <c r="AD17">
        <v>3</v>
      </c>
      <c r="AE17" t="s">
        <v>46</v>
      </c>
      <c r="AI17">
        <v>12</v>
      </c>
      <c r="AJ17">
        <v>32</v>
      </c>
    </row>
    <row r="18" spans="1:36" x14ac:dyDescent="0.25">
      <c r="A18" t="s">
        <v>453</v>
      </c>
      <c r="B18">
        <v>22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K18" t="s">
        <v>43</v>
      </c>
      <c r="L18">
        <v>3</v>
      </c>
      <c r="N18">
        <v>1</v>
      </c>
      <c r="O18" t="s">
        <v>73</v>
      </c>
      <c r="P18" t="s">
        <v>74</v>
      </c>
      <c r="Q18" t="s">
        <v>100</v>
      </c>
      <c r="S18" t="s">
        <v>53</v>
      </c>
      <c r="T18">
        <v>2</v>
      </c>
      <c r="U18">
        <v>1</v>
      </c>
      <c r="V18">
        <v>2</v>
      </c>
      <c r="W18" t="s">
        <v>111</v>
      </c>
      <c r="X18" t="s">
        <v>83</v>
      </c>
      <c r="AA18" t="s">
        <v>48</v>
      </c>
      <c r="AB18">
        <v>3</v>
      </c>
      <c r="AD18">
        <v>2</v>
      </c>
      <c r="AE18" t="s">
        <v>89</v>
      </c>
      <c r="AI18">
        <v>11</v>
      </c>
      <c r="AJ18">
        <v>31</v>
      </c>
    </row>
    <row r="19" spans="1:36" x14ac:dyDescent="0.25">
      <c r="A19" t="s">
        <v>454</v>
      </c>
      <c r="B19">
        <v>23</v>
      </c>
      <c r="C19" t="s">
        <v>56</v>
      </c>
      <c r="D19">
        <v>2</v>
      </c>
      <c r="F19">
        <v>1</v>
      </c>
      <c r="G19" t="s">
        <v>57</v>
      </c>
      <c r="K19" t="s">
        <v>45</v>
      </c>
      <c r="L19">
        <v>3</v>
      </c>
      <c r="N19">
        <v>1</v>
      </c>
      <c r="O19" t="s">
        <v>86</v>
      </c>
      <c r="S19" t="s">
        <v>53</v>
      </c>
      <c r="T19">
        <v>2</v>
      </c>
      <c r="U19">
        <v>3</v>
      </c>
      <c r="V19">
        <v>1</v>
      </c>
      <c r="W19" t="s">
        <v>54</v>
      </c>
      <c r="AA19" t="s">
        <v>48</v>
      </c>
      <c r="AB19">
        <v>2</v>
      </c>
      <c r="AD19">
        <v>1</v>
      </c>
      <c r="AE19" t="s">
        <v>89</v>
      </c>
      <c r="AI19">
        <v>7</v>
      </c>
      <c r="AJ19">
        <v>22</v>
      </c>
    </row>
    <row r="20" spans="1:36" x14ac:dyDescent="0.25">
      <c r="A20" t="s">
        <v>455</v>
      </c>
      <c r="B20">
        <v>24</v>
      </c>
      <c r="C20" t="s">
        <v>56</v>
      </c>
      <c r="D20">
        <v>3</v>
      </c>
      <c r="F20">
        <v>1</v>
      </c>
      <c r="G20" t="s">
        <v>57</v>
      </c>
      <c r="K20" t="s">
        <v>63</v>
      </c>
      <c r="L20">
        <v>2</v>
      </c>
      <c r="N20">
        <v>1</v>
      </c>
      <c r="O20" t="s">
        <v>103</v>
      </c>
      <c r="P20" t="s">
        <v>91</v>
      </c>
      <c r="Q20" t="s">
        <v>147</v>
      </c>
      <c r="R20" t="s">
        <v>149</v>
      </c>
      <c r="S20" t="s">
        <v>53</v>
      </c>
      <c r="T20">
        <v>3</v>
      </c>
      <c r="U20">
        <v>1</v>
      </c>
      <c r="V20">
        <v>1</v>
      </c>
      <c r="W20" t="s">
        <v>54</v>
      </c>
      <c r="AA20" t="s">
        <v>48</v>
      </c>
      <c r="AB20">
        <v>3</v>
      </c>
      <c r="AD20">
        <v>2</v>
      </c>
      <c r="AE20" t="s">
        <v>49</v>
      </c>
      <c r="AF20" t="s">
        <v>71</v>
      </c>
      <c r="AG20" t="s">
        <v>51</v>
      </c>
      <c r="AH20" t="s">
        <v>52</v>
      </c>
      <c r="AI20">
        <v>14</v>
      </c>
      <c r="AJ20">
        <v>34</v>
      </c>
    </row>
    <row r="21" spans="1:36" x14ac:dyDescent="0.25">
      <c r="A21" t="s">
        <v>456</v>
      </c>
      <c r="B21">
        <v>25</v>
      </c>
      <c r="C21" t="s">
        <v>56</v>
      </c>
      <c r="D21">
        <v>2</v>
      </c>
      <c r="F21">
        <v>1</v>
      </c>
      <c r="G21" t="s">
        <v>57</v>
      </c>
      <c r="K21" t="s">
        <v>38</v>
      </c>
      <c r="L21">
        <v>1</v>
      </c>
      <c r="M21">
        <v>1</v>
      </c>
      <c r="N21">
        <v>2</v>
      </c>
      <c r="O21" t="s">
        <v>152</v>
      </c>
      <c r="P21" t="s">
        <v>70</v>
      </c>
      <c r="Q21" t="s">
        <v>153</v>
      </c>
      <c r="R21" t="s">
        <v>42</v>
      </c>
      <c r="S21" t="s">
        <v>53</v>
      </c>
      <c r="T21">
        <v>2</v>
      </c>
      <c r="U21">
        <v>1</v>
      </c>
      <c r="V21">
        <v>1</v>
      </c>
      <c r="W21" t="s">
        <v>111</v>
      </c>
      <c r="X21" t="s">
        <v>83</v>
      </c>
      <c r="AA21" t="s">
        <v>48</v>
      </c>
      <c r="AB21">
        <v>3</v>
      </c>
      <c r="AD21">
        <v>1</v>
      </c>
      <c r="AE21" t="s">
        <v>49</v>
      </c>
      <c r="AI21">
        <v>9</v>
      </c>
      <c r="AJ21">
        <v>30</v>
      </c>
    </row>
    <row r="22" spans="1:36" x14ac:dyDescent="0.25">
      <c r="A22" t="s">
        <v>457</v>
      </c>
      <c r="B22">
        <v>27</v>
      </c>
      <c r="C22" t="s">
        <v>33</v>
      </c>
      <c r="D22">
        <v>1</v>
      </c>
      <c r="F22">
        <v>2</v>
      </c>
      <c r="G22" t="s">
        <v>34</v>
      </c>
      <c r="H22" t="s">
        <v>66</v>
      </c>
      <c r="K22" t="s">
        <v>43</v>
      </c>
      <c r="L22">
        <v>1</v>
      </c>
      <c r="N22">
        <v>1</v>
      </c>
      <c r="O22" t="s">
        <v>73</v>
      </c>
      <c r="P22" t="s">
        <v>99</v>
      </c>
      <c r="Q22" t="s">
        <v>137</v>
      </c>
      <c r="R22" t="s">
        <v>101</v>
      </c>
      <c r="S22" t="s">
        <v>53</v>
      </c>
      <c r="T22">
        <v>2</v>
      </c>
      <c r="U22">
        <v>1</v>
      </c>
      <c r="V22">
        <v>1</v>
      </c>
      <c r="W22" t="s">
        <v>111</v>
      </c>
      <c r="X22" t="s">
        <v>83</v>
      </c>
      <c r="AA22" t="s">
        <v>48</v>
      </c>
      <c r="AB22">
        <v>3</v>
      </c>
      <c r="AD22">
        <v>1</v>
      </c>
      <c r="AE22" t="s">
        <v>89</v>
      </c>
      <c r="AI22">
        <v>9</v>
      </c>
      <c r="AJ22">
        <v>23</v>
      </c>
    </row>
    <row r="23" spans="1:36" x14ac:dyDescent="0.25">
      <c r="A23" t="s">
        <v>458</v>
      </c>
      <c r="B23">
        <v>28</v>
      </c>
      <c r="C23" t="s">
        <v>33</v>
      </c>
      <c r="D23">
        <v>2</v>
      </c>
      <c r="F23">
        <v>3</v>
      </c>
      <c r="G23" t="s">
        <v>46</v>
      </c>
      <c r="K23" t="s">
        <v>45</v>
      </c>
      <c r="L23">
        <v>3</v>
      </c>
      <c r="N23">
        <v>1</v>
      </c>
      <c r="O23" t="s">
        <v>47</v>
      </c>
      <c r="P23" t="s">
        <v>76</v>
      </c>
      <c r="Q23" t="s">
        <v>93</v>
      </c>
      <c r="S23" t="s">
        <v>53</v>
      </c>
      <c r="T23">
        <v>2</v>
      </c>
      <c r="U23">
        <v>3</v>
      </c>
      <c r="V23">
        <v>2</v>
      </c>
      <c r="W23" t="s">
        <v>111</v>
      </c>
      <c r="AA23" t="s">
        <v>48</v>
      </c>
      <c r="AB23">
        <v>1</v>
      </c>
      <c r="AD23">
        <v>1</v>
      </c>
      <c r="AE23" t="s">
        <v>89</v>
      </c>
      <c r="AF23" t="s">
        <v>50</v>
      </c>
      <c r="AI23">
        <v>12</v>
      </c>
      <c r="AJ23">
        <v>29</v>
      </c>
    </row>
    <row r="24" spans="1:36" x14ac:dyDescent="0.25">
      <c r="A24" t="s">
        <v>459</v>
      </c>
      <c r="B24">
        <v>29</v>
      </c>
      <c r="C24" t="s">
        <v>33</v>
      </c>
      <c r="D24">
        <v>1</v>
      </c>
      <c r="F24">
        <v>2</v>
      </c>
      <c r="G24" t="s">
        <v>34</v>
      </c>
      <c r="K24" t="s">
        <v>63</v>
      </c>
      <c r="L24">
        <v>2</v>
      </c>
      <c r="N24">
        <v>1</v>
      </c>
      <c r="O24" t="s">
        <v>103</v>
      </c>
      <c r="P24" t="s">
        <v>91</v>
      </c>
      <c r="Q24" t="s">
        <v>147</v>
      </c>
      <c r="S24" t="s">
        <v>53</v>
      </c>
      <c r="T24">
        <v>2</v>
      </c>
      <c r="U24">
        <v>3</v>
      </c>
      <c r="V24">
        <v>2</v>
      </c>
      <c r="W24" t="s">
        <v>111</v>
      </c>
      <c r="AA24" t="s">
        <v>48</v>
      </c>
      <c r="AB24">
        <v>3</v>
      </c>
      <c r="AD24">
        <v>1</v>
      </c>
      <c r="AE24" t="s">
        <v>89</v>
      </c>
      <c r="AI24">
        <v>10</v>
      </c>
      <c r="AJ24">
        <v>38</v>
      </c>
    </row>
    <row r="25" spans="1:36" x14ac:dyDescent="0.25">
      <c r="A25" t="s">
        <v>460</v>
      </c>
      <c r="B25">
        <v>30</v>
      </c>
      <c r="C25" t="s">
        <v>33</v>
      </c>
      <c r="D25">
        <v>3</v>
      </c>
      <c r="F25">
        <v>3</v>
      </c>
      <c r="G25" t="s">
        <v>46</v>
      </c>
      <c r="H25" t="s">
        <v>35</v>
      </c>
      <c r="I25" t="s">
        <v>131</v>
      </c>
      <c r="K25" t="s">
        <v>38</v>
      </c>
      <c r="L25">
        <v>1</v>
      </c>
      <c r="M25">
        <v>1</v>
      </c>
      <c r="N25">
        <v>1</v>
      </c>
      <c r="O25" t="s">
        <v>152</v>
      </c>
      <c r="S25" t="s">
        <v>53</v>
      </c>
      <c r="T25">
        <v>1</v>
      </c>
      <c r="U25">
        <v>1</v>
      </c>
      <c r="V25">
        <v>1</v>
      </c>
      <c r="W25" t="s">
        <v>111</v>
      </c>
      <c r="AA25" t="s">
        <v>48</v>
      </c>
      <c r="AB25">
        <v>3</v>
      </c>
      <c r="AD25">
        <v>3</v>
      </c>
      <c r="AE25" t="s">
        <v>89</v>
      </c>
      <c r="AF25" t="s">
        <v>84</v>
      </c>
      <c r="AI25">
        <v>11</v>
      </c>
      <c r="AJ25">
        <v>28</v>
      </c>
    </row>
    <row r="26" spans="1:36" x14ac:dyDescent="0.25">
      <c r="A26" t="s">
        <v>461</v>
      </c>
      <c r="B26">
        <v>32</v>
      </c>
      <c r="C26" t="s">
        <v>53</v>
      </c>
      <c r="D26">
        <v>1</v>
      </c>
      <c r="E26">
        <v>1</v>
      </c>
      <c r="F26">
        <v>1</v>
      </c>
      <c r="G26" t="s">
        <v>111</v>
      </c>
      <c r="H26" t="s">
        <v>83</v>
      </c>
      <c r="I26" t="s">
        <v>105</v>
      </c>
      <c r="K26" t="s">
        <v>48</v>
      </c>
      <c r="L26">
        <v>3</v>
      </c>
      <c r="N26">
        <v>3</v>
      </c>
      <c r="O26" t="s">
        <v>89</v>
      </c>
      <c r="P26" t="s">
        <v>84</v>
      </c>
      <c r="Q26" t="s">
        <v>90</v>
      </c>
      <c r="S26" t="s">
        <v>43</v>
      </c>
      <c r="T26">
        <v>3</v>
      </c>
      <c r="V26">
        <v>2</v>
      </c>
      <c r="W26" t="s">
        <v>73</v>
      </c>
      <c r="X26" t="s">
        <v>99</v>
      </c>
      <c r="Y26" t="s">
        <v>100</v>
      </c>
      <c r="Z26" t="s">
        <v>101</v>
      </c>
      <c r="AA26" t="s">
        <v>45</v>
      </c>
      <c r="AB26">
        <v>2</v>
      </c>
      <c r="AD26">
        <v>1</v>
      </c>
      <c r="AE26" t="s">
        <v>47</v>
      </c>
      <c r="AI26">
        <v>15</v>
      </c>
      <c r="AJ26">
        <v>49</v>
      </c>
    </row>
    <row r="27" spans="1:36" x14ac:dyDescent="0.25">
      <c r="A27" t="s">
        <v>462</v>
      </c>
      <c r="B27">
        <v>33</v>
      </c>
      <c r="C27" t="s">
        <v>43</v>
      </c>
      <c r="D27">
        <v>3</v>
      </c>
      <c r="F27">
        <v>3</v>
      </c>
      <c r="G27" t="s">
        <v>73</v>
      </c>
      <c r="H27" t="s">
        <v>74</v>
      </c>
      <c r="I27" t="s">
        <v>100</v>
      </c>
      <c r="J27" t="s">
        <v>138</v>
      </c>
      <c r="K27" t="s">
        <v>63</v>
      </c>
      <c r="L27">
        <v>1</v>
      </c>
      <c r="N27">
        <v>1</v>
      </c>
      <c r="O27" t="s">
        <v>103</v>
      </c>
      <c r="S27" t="s">
        <v>53</v>
      </c>
      <c r="T27">
        <v>3</v>
      </c>
      <c r="U27">
        <v>1</v>
      </c>
      <c r="V27">
        <v>2</v>
      </c>
      <c r="W27" t="s">
        <v>54</v>
      </c>
      <c r="X27" t="s">
        <v>55</v>
      </c>
      <c r="AA27" t="s">
        <v>48</v>
      </c>
      <c r="AB27">
        <v>3</v>
      </c>
      <c r="AD27">
        <v>3</v>
      </c>
      <c r="AE27" t="s">
        <v>89</v>
      </c>
      <c r="AF27" t="s">
        <v>71</v>
      </c>
      <c r="AG27" t="s">
        <v>127</v>
      </c>
      <c r="AI27">
        <v>18</v>
      </c>
      <c r="AJ27">
        <v>63</v>
      </c>
    </row>
    <row r="28" spans="1:36" x14ac:dyDescent="0.25">
      <c r="A28" t="s">
        <v>463</v>
      </c>
      <c r="B28">
        <v>34</v>
      </c>
      <c r="C28" t="s">
        <v>43</v>
      </c>
      <c r="D28">
        <v>2</v>
      </c>
      <c r="F28">
        <v>2</v>
      </c>
      <c r="G28" t="s">
        <v>73</v>
      </c>
      <c r="H28" t="s">
        <v>74</v>
      </c>
      <c r="I28" t="s">
        <v>75</v>
      </c>
      <c r="K28" t="s">
        <v>38</v>
      </c>
      <c r="L28">
        <v>3</v>
      </c>
      <c r="M28">
        <v>1</v>
      </c>
      <c r="N28">
        <v>1</v>
      </c>
      <c r="O28" t="s">
        <v>152</v>
      </c>
      <c r="P28" t="s">
        <v>96</v>
      </c>
      <c r="S28" t="s">
        <v>53</v>
      </c>
      <c r="T28">
        <v>2</v>
      </c>
      <c r="U28">
        <v>1</v>
      </c>
      <c r="V28">
        <v>1</v>
      </c>
      <c r="W28" t="s">
        <v>111</v>
      </c>
      <c r="X28" t="s">
        <v>83</v>
      </c>
      <c r="Y28" t="s">
        <v>97</v>
      </c>
      <c r="AA28" t="s">
        <v>48</v>
      </c>
      <c r="AB28">
        <v>3</v>
      </c>
      <c r="AD28">
        <v>1</v>
      </c>
      <c r="AE28" t="s">
        <v>89</v>
      </c>
      <c r="AI28">
        <v>12</v>
      </c>
      <c r="AJ28">
        <v>31</v>
      </c>
    </row>
    <row r="29" spans="1:36" x14ac:dyDescent="0.25">
      <c r="A29" t="s">
        <v>464</v>
      </c>
      <c r="B29">
        <v>36</v>
      </c>
      <c r="C29" t="s">
        <v>53</v>
      </c>
      <c r="D29">
        <v>3</v>
      </c>
      <c r="E29">
        <v>3</v>
      </c>
      <c r="F29">
        <v>3</v>
      </c>
      <c r="G29" t="s">
        <v>111</v>
      </c>
      <c r="H29" t="s">
        <v>83</v>
      </c>
      <c r="I29" t="s">
        <v>97</v>
      </c>
      <c r="K29" t="s">
        <v>48</v>
      </c>
      <c r="L29">
        <v>2</v>
      </c>
      <c r="N29">
        <v>1</v>
      </c>
      <c r="O29" t="s">
        <v>49</v>
      </c>
      <c r="S29" t="s">
        <v>45</v>
      </c>
      <c r="T29">
        <v>3</v>
      </c>
      <c r="V29">
        <v>1</v>
      </c>
      <c r="W29" t="s">
        <v>86</v>
      </c>
      <c r="AA29" t="s">
        <v>63</v>
      </c>
      <c r="AB29">
        <v>3</v>
      </c>
      <c r="AD29">
        <v>2</v>
      </c>
      <c r="AE29" t="s">
        <v>72</v>
      </c>
      <c r="AF29" t="s">
        <v>95</v>
      </c>
      <c r="AG29" t="s">
        <v>147</v>
      </c>
      <c r="AH29" t="s">
        <v>149</v>
      </c>
      <c r="AI29">
        <v>17</v>
      </c>
      <c r="AJ29">
        <v>41</v>
      </c>
    </row>
    <row r="30" spans="1:36" x14ac:dyDescent="0.25">
      <c r="A30" t="s">
        <v>465</v>
      </c>
      <c r="B30">
        <v>37</v>
      </c>
      <c r="C30" t="s">
        <v>53</v>
      </c>
      <c r="D30">
        <v>1</v>
      </c>
      <c r="E30">
        <v>1</v>
      </c>
      <c r="F30">
        <v>1</v>
      </c>
      <c r="G30" t="s">
        <v>111</v>
      </c>
      <c r="H30" t="s">
        <v>113</v>
      </c>
      <c r="K30" t="s">
        <v>48</v>
      </c>
      <c r="L30">
        <v>3</v>
      </c>
      <c r="N30">
        <v>2</v>
      </c>
      <c r="O30" t="s">
        <v>89</v>
      </c>
      <c r="P30" t="s">
        <v>84</v>
      </c>
      <c r="Q30" t="s">
        <v>127</v>
      </c>
      <c r="R30" t="s">
        <v>128</v>
      </c>
      <c r="S30" t="s">
        <v>45</v>
      </c>
      <c r="T30">
        <v>3</v>
      </c>
      <c r="V30">
        <v>1</v>
      </c>
      <c r="W30" t="s">
        <v>47</v>
      </c>
      <c r="AA30" t="s">
        <v>38</v>
      </c>
      <c r="AB30">
        <v>3</v>
      </c>
      <c r="AC30">
        <v>1</v>
      </c>
      <c r="AD30">
        <v>2</v>
      </c>
      <c r="AE30" t="s">
        <v>152</v>
      </c>
      <c r="AF30" t="s">
        <v>40</v>
      </c>
      <c r="AG30" t="s">
        <v>41</v>
      </c>
      <c r="AI30">
        <v>14</v>
      </c>
      <c r="AJ30">
        <v>39</v>
      </c>
    </row>
    <row r="31" spans="1:36" x14ac:dyDescent="0.25">
      <c r="A31" t="s">
        <v>466</v>
      </c>
      <c r="B31">
        <v>39</v>
      </c>
      <c r="C31" t="s">
        <v>53</v>
      </c>
      <c r="D31">
        <v>3</v>
      </c>
      <c r="E31">
        <v>1</v>
      </c>
      <c r="F31">
        <v>2</v>
      </c>
      <c r="G31" t="s">
        <v>54</v>
      </c>
      <c r="H31" t="s">
        <v>83</v>
      </c>
      <c r="K31" t="s">
        <v>48</v>
      </c>
      <c r="L31">
        <v>3</v>
      </c>
      <c r="N31">
        <v>2</v>
      </c>
      <c r="O31" t="s">
        <v>49</v>
      </c>
      <c r="P31" t="s">
        <v>71</v>
      </c>
      <c r="S31" t="s">
        <v>63</v>
      </c>
      <c r="T31">
        <v>3</v>
      </c>
      <c r="V31">
        <v>1</v>
      </c>
      <c r="W31" t="s">
        <v>103</v>
      </c>
      <c r="X31" t="s">
        <v>91</v>
      </c>
      <c r="Y31" t="s">
        <v>147</v>
      </c>
      <c r="Z31" t="s">
        <v>149</v>
      </c>
      <c r="AA31" t="s">
        <v>38</v>
      </c>
      <c r="AB31">
        <v>2</v>
      </c>
      <c r="AC31">
        <v>1</v>
      </c>
      <c r="AD31">
        <v>1</v>
      </c>
      <c r="AE31" t="s">
        <v>152</v>
      </c>
      <c r="AF31" t="s">
        <v>40</v>
      </c>
      <c r="AI31">
        <v>15</v>
      </c>
      <c r="AJ31">
        <v>40</v>
      </c>
    </row>
    <row r="32" spans="1:36" x14ac:dyDescent="0.25">
      <c r="A32" t="s">
        <v>467</v>
      </c>
      <c r="B32">
        <v>42</v>
      </c>
      <c r="C32" t="s">
        <v>56</v>
      </c>
      <c r="D32">
        <v>1</v>
      </c>
      <c r="F32">
        <v>1</v>
      </c>
      <c r="G32" t="s">
        <v>57</v>
      </c>
      <c r="H32" t="s">
        <v>122</v>
      </c>
      <c r="K32" t="s">
        <v>48</v>
      </c>
      <c r="L32">
        <v>3</v>
      </c>
      <c r="N32">
        <v>2</v>
      </c>
      <c r="O32" t="s">
        <v>89</v>
      </c>
      <c r="P32" t="s">
        <v>84</v>
      </c>
      <c r="Q32" t="s">
        <v>127</v>
      </c>
      <c r="S32" t="s">
        <v>53</v>
      </c>
      <c r="T32">
        <v>3</v>
      </c>
      <c r="U32">
        <v>1</v>
      </c>
      <c r="V32">
        <v>1</v>
      </c>
      <c r="W32" t="s">
        <v>111</v>
      </c>
      <c r="X32" t="s">
        <v>83</v>
      </c>
      <c r="Y32" t="s">
        <v>105</v>
      </c>
      <c r="AA32" t="s">
        <v>33</v>
      </c>
      <c r="AB32">
        <v>1</v>
      </c>
      <c r="AD32">
        <v>2</v>
      </c>
      <c r="AE32" t="s">
        <v>46</v>
      </c>
      <c r="AI32">
        <v>11</v>
      </c>
      <c r="AJ32">
        <v>31</v>
      </c>
    </row>
    <row r="33" spans="1:36" x14ac:dyDescent="0.25">
      <c r="A33" t="s">
        <v>468</v>
      </c>
      <c r="B33">
        <v>43</v>
      </c>
      <c r="C33" t="s">
        <v>53</v>
      </c>
      <c r="D33">
        <v>2</v>
      </c>
      <c r="E33">
        <v>1</v>
      </c>
      <c r="F33">
        <v>1</v>
      </c>
      <c r="G33" t="s">
        <v>111</v>
      </c>
      <c r="K33" t="s">
        <v>33</v>
      </c>
      <c r="L33">
        <v>2</v>
      </c>
      <c r="N33">
        <v>2</v>
      </c>
      <c r="O33" t="s">
        <v>34</v>
      </c>
      <c r="P33" t="s">
        <v>35</v>
      </c>
      <c r="Q33" t="s">
        <v>132</v>
      </c>
      <c r="R33" t="s">
        <v>37</v>
      </c>
      <c r="S33" t="s">
        <v>56</v>
      </c>
      <c r="T33">
        <v>3</v>
      </c>
      <c r="V33">
        <v>1</v>
      </c>
      <c r="W33" t="s">
        <v>68</v>
      </c>
      <c r="AA33" t="s">
        <v>43</v>
      </c>
      <c r="AB33">
        <v>1</v>
      </c>
      <c r="AD33">
        <v>1</v>
      </c>
      <c r="AE33" t="s">
        <v>73</v>
      </c>
      <c r="AF33" t="s">
        <v>136</v>
      </c>
      <c r="AG33" t="s">
        <v>75</v>
      </c>
      <c r="AH33" t="s">
        <v>101</v>
      </c>
      <c r="AI33">
        <v>11</v>
      </c>
      <c r="AJ33">
        <v>27</v>
      </c>
    </row>
    <row r="34" spans="1:36" x14ac:dyDescent="0.25">
      <c r="A34" t="s">
        <v>469</v>
      </c>
      <c r="B34">
        <v>44</v>
      </c>
      <c r="C34" t="s">
        <v>53</v>
      </c>
      <c r="D34">
        <v>2</v>
      </c>
      <c r="E34">
        <v>3</v>
      </c>
      <c r="F34">
        <v>1</v>
      </c>
      <c r="G34" t="s">
        <v>111</v>
      </c>
      <c r="K34" t="s">
        <v>33</v>
      </c>
      <c r="L34">
        <v>1</v>
      </c>
      <c r="N34">
        <v>2</v>
      </c>
      <c r="O34" t="s">
        <v>34</v>
      </c>
      <c r="S34" t="s">
        <v>56</v>
      </c>
      <c r="T34">
        <v>3</v>
      </c>
      <c r="V34">
        <v>1</v>
      </c>
      <c r="W34" t="s">
        <v>57</v>
      </c>
      <c r="AA34" t="s">
        <v>45</v>
      </c>
      <c r="AB34">
        <v>3</v>
      </c>
      <c r="AD34">
        <v>2</v>
      </c>
      <c r="AE34" t="s">
        <v>140</v>
      </c>
      <c r="AI34">
        <v>9</v>
      </c>
      <c r="AJ34">
        <v>27</v>
      </c>
    </row>
    <row r="35" spans="1:36" x14ac:dyDescent="0.25">
      <c r="A35" t="s">
        <v>470</v>
      </c>
      <c r="B35">
        <v>45</v>
      </c>
      <c r="C35" t="s">
        <v>56</v>
      </c>
      <c r="D35">
        <v>2</v>
      </c>
      <c r="F35">
        <v>1</v>
      </c>
      <c r="G35" t="s">
        <v>57</v>
      </c>
      <c r="K35" t="s">
        <v>63</v>
      </c>
      <c r="L35">
        <v>2</v>
      </c>
      <c r="N35">
        <v>1</v>
      </c>
      <c r="O35" t="s">
        <v>72</v>
      </c>
      <c r="P35" t="s">
        <v>91</v>
      </c>
      <c r="S35" t="s">
        <v>53</v>
      </c>
      <c r="T35">
        <v>2</v>
      </c>
      <c r="U35">
        <v>2</v>
      </c>
      <c r="V35">
        <v>1</v>
      </c>
      <c r="W35" t="s">
        <v>111</v>
      </c>
      <c r="AA35" t="s">
        <v>33</v>
      </c>
      <c r="AB35">
        <v>1</v>
      </c>
      <c r="AD35">
        <v>2</v>
      </c>
      <c r="AE35" t="s">
        <v>46</v>
      </c>
      <c r="AI35">
        <v>6</v>
      </c>
      <c r="AJ35">
        <v>19</v>
      </c>
    </row>
    <row r="36" spans="1:36" x14ac:dyDescent="0.25">
      <c r="A36" t="s">
        <v>471</v>
      </c>
      <c r="B36">
        <v>46</v>
      </c>
      <c r="C36" t="s">
        <v>53</v>
      </c>
      <c r="D36">
        <v>3</v>
      </c>
      <c r="E36">
        <v>1</v>
      </c>
      <c r="F36">
        <v>1</v>
      </c>
      <c r="G36" t="s">
        <v>111</v>
      </c>
      <c r="K36" t="s">
        <v>33</v>
      </c>
      <c r="L36">
        <v>1</v>
      </c>
      <c r="N36">
        <v>3</v>
      </c>
      <c r="O36" t="s">
        <v>46</v>
      </c>
      <c r="S36" t="s">
        <v>56</v>
      </c>
      <c r="T36">
        <v>3</v>
      </c>
      <c r="V36">
        <v>1</v>
      </c>
      <c r="W36" t="s">
        <v>68</v>
      </c>
      <c r="X36" t="s">
        <v>121</v>
      </c>
      <c r="Y36" t="s">
        <v>123</v>
      </c>
      <c r="AA36" t="s">
        <v>38</v>
      </c>
      <c r="AB36">
        <v>2</v>
      </c>
      <c r="AC36">
        <v>1</v>
      </c>
      <c r="AD36">
        <v>2</v>
      </c>
      <c r="AE36" t="s">
        <v>152</v>
      </c>
      <c r="AI36">
        <v>10</v>
      </c>
      <c r="AJ36">
        <v>34</v>
      </c>
    </row>
    <row r="37" spans="1:36" x14ac:dyDescent="0.25">
      <c r="A37" t="s">
        <v>472</v>
      </c>
      <c r="B37">
        <v>48</v>
      </c>
      <c r="C37" t="s">
        <v>53</v>
      </c>
      <c r="D37">
        <v>1</v>
      </c>
      <c r="E37">
        <v>1</v>
      </c>
      <c r="F37">
        <v>1</v>
      </c>
      <c r="G37" t="s">
        <v>111</v>
      </c>
      <c r="H37" t="s">
        <v>113</v>
      </c>
      <c r="I37" t="s">
        <v>114</v>
      </c>
      <c r="K37" t="s">
        <v>33</v>
      </c>
      <c r="L37">
        <v>3</v>
      </c>
      <c r="N37">
        <v>3</v>
      </c>
      <c r="O37" t="s">
        <v>34</v>
      </c>
      <c r="S37" t="s">
        <v>48</v>
      </c>
      <c r="T37">
        <v>3</v>
      </c>
      <c r="V37">
        <v>1</v>
      </c>
      <c r="W37" t="s">
        <v>89</v>
      </c>
      <c r="X37" t="s">
        <v>50</v>
      </c>
      <c r="Y37" t="s">
        <v>127</v>
      </c>
      <c r="Z37" t="s">
        <v>129</v>
      </c>
      <c r="AA37" t="s">
        <v>43</v>
      </c>
      <c r="AB37">
        <v>2</v>
      </c>
      <c r="AD37">
        <v>1</v>
      </c>
      <c r="AE37" t="s">
        <v>73</v>
      </c>
      <c r="AF37" t="s">
        <v>136</v>
      </c>
      <c r="AI37">
        <v>13</v>
      </c>
      <c r="AJ37">
        <v>32</v>
      </c>
    </row>
    <row r="38" spans="1:36" x14ac:dyDescent="0.25">
      <c r="A38" t="s">
        <v>473</v>
      </c>
      <c r="B38">
        <v>49</v>
      </c>
      <c r="C38" t="s">
        <v>48</v>
      </c>
      <c r="D38">
        <v>2</v>
      </c>
      <c r="F38">
        <v>2</v>
      </c>
      <c r="G38" t="s">
        <v>49</v>
      </c>
      <c r="H38" t="s">
        <v>84</v>
      </c>
      <c r="I38" t="s">
        <v>127</v>
      </c>
      <c r="J38" t="s">
        <v>129</v>
      </c>
      <c r="K38" t="s">
        <v>45</v>
      </c>
      <c r="L38">
        <v>3</v>
      </c>
      <c r="N38">
        <v>3</v>
      </c>
      <c r="O38" t="s">
        <v>47</v>
      </c>
      <c r="P38" t="s">
        <v>76</v>
      </c>
      <c r="S38" t="s">
        <v>53</v>
      </c>
      <c r="T38">
        <v>3</v>
      </c>
      <c r="U38">
        <v>3</v>
      </c>
      <c r="V38">
        <v>3</v>
      </c>
      <c r="W38" t="s">
        <v>111</v>
      </c>
      <c r="X38" t="s">
        <v>83</v>
      </c>
      <c r="Y38" t="s">
        <v>105</v>
      </c>
      <c r="AA38" t="s">
        <v>33</v>
      </c>
      <c r="AB38">
        <v>1</v>
      </c>
      <c r="AD38">
        <v>3</v>
      </c>
      <c r="AE38" t="s">
        <v>46</v>
      </c>
      <c r="AI38">
        <v>20</v>
      </c>
      <c r="AJ38">
        <v>40</v>
      </c>
    </row>
    <row r="39" spans="1:36" x14ac:dyDescent="0.25">
      <c r="A39" t="s">
        <v>474</v>
      </c>
      <c r="B39">
        <v>50</v>
      </c>
      <c r="C39" t="s">
        <v>53</v>
      </c>
      <c r="D39">
        <v>3</v>
      </c>
      <c r="E39">
        <v>1</v>
      </c>
      <c r="F39">
        <v>1</v>
      </c>
      <c r="G39" t="s">
        <v>111</v>
      </c>
      <c r="H39" t="s">
        <v>83</v>
      </c>
      <c r="K39" t="s">
        <v>33</v>
      </c>
      <c r="L39">
        <v>1</v>
      </c>
      <c r="N39">
        <v>2</v>
      </c>
      <c r="O39" t="s">
        <v>46</v>
      </c>
      <c r="S39" t="s">
        <v>48</v>
      </c>
      <c r="T39">
        <v>2</v>
      </c>
      <c r="V39">
        <v>1</v>
      </c>
      <c r="W39" t="s">
        <v>89</v>
      </c>
      <c r="AA39" t="s">
        <v>63</v>
      </c>
      <c r="AB39">
        <v>3</v>
      </c>
      <c r="AD39">
        <v>1</v>
      </c>
      <c r="AE39" t="s">
        <v>72</v>
      </c>
      <c r="AF39" t="s">
        <v>91</v>
      </c>
      <c r="AI39">
        <v>8</v>
      </c>
      <c r="AJ39">
        <v>25</v>
      </c>
    </row>
    <row r="40" spans="1:36" x14ac:dyDescent="0.25">
      <c r="A40" t="s">
        <v>475</v>
      </c>
      <c r="B40">
        <v>51</v>
      </c>
      <c r="C40" t="s">
        <v>48</v>
      </c>
      <c r="D40">
        <v>3</v>
      </c>
      <c r="F40">
        <v>3</v>
      </c>
      <c r="G40" t="s">
        <v>89</v>
      </c>
      <c r="H40" t="s">
        <v>84</v>
      </c>
      <c r="I40" t="s">
        <v>127</v>
      </c>
      <c r="J40" t="s">
        <v>128</v>
      </c>
      <c r="K40" t="s">
        <v>38</v>
      </c>
      <c r="L40">
        <v>1</v>
      </c>
      <c r="M40">
        <v>1</v>
      </c>
      <c r="N40">
        <v>2</v>
      </c>
      <c r="O40" t="s">
        <v>152</v>
      </c>
      <c r="P40" t="s">
        <v>40</v>
      </c>
      <c r="S40" t="s">
        <v>53</v>
      </c>
      <c r="T40">
        <v>3</v>
      </c>
      <c r="U40">
        <v>1</v>
      </c>
      <c r="V40">
        <v>2</v>
      </c>
      <c r="W40" t="s">
        <v>111</v>
      </c>
      <c r="X40" t="s">
        <v>83</v>
      </c>
      <c r="Y40" t="s">
        <v>105</v>
      </c>
      <c r="AA40" t="s">
        <v>33</v>
      </c>
      <c r="AB40">
        <v>1</v>
      </c>
      <c r="AD40">
        <v>3</v>
      </c>
      <c r="AE40" t="s">
        <v>46</v>
      </c>
      <c r="AI40">
        <v>16</v>
      </c>
      <c r="AJ40">
        <v>39</v>
      </c>
    </row>
    <row r="41" spans="1:36" x14ac:dyDescent="0.25">
      <c r="A41" t="s">
        <v>476</v>
      </c>
      <c r="B41">
        <v>53</v>
      </c>
      <c r="C41" t="s">
        <v>43</v>
      </c>
      <c r="D41">
        <v>1</v>
      </c>
      <c r="F41">
        <v>1</v>
      </c>
      <c r="G41" t="s">
        <v>73</v>
      </c>
      <c r="H41" t="s">
        <v>99</v>
      </c>
      <c r="K41" t="s">
        <v>45</v>
      </c>
      <c r="L41">
        <v>3</v>
      </c>
      <c r="N41">
        <v>2</v>
      </c>
      <c r="O41" t="s">
        <v>140</v>
      </c>
      <c r="S41" t="s">
        <v>53</v>
      </c>
      <c r="T41">
        <v>2</v>
      </c>
      <c r="U41">
        <v>1</v>
      </c>
      <c r="V41">
        <v>1</v>
      </c>
      <c r="W41" t="s">
        <v>111</v>
      </c>
      <c r="AA41" t="s">
        <v>33</v>
      </c>
      <c r="AB41">
        <v>1</v>
      </c>
      <c r="AD41">
        <v>3</v>
      </c>
      <c r="AE41" t="s">
        <v>34</v>
      </c>
      <c r="AI41">
        <v>7</v>
      </c>
      <c r="AJ41">
        <v>21</v>
      </c>
    </row>
    <row r="42" spans="1:36" x14ac:dyDescent="0.25">
      <c r="A42" t="s">
        <v>477</v>
      </c>
      <c r="B42">
        <v>54</v>
      </c>
      <c r="C42" t="s">
        <v>53</v>
      </c>
      <c r="D42">
        <v>1</v>
      </c>
      <c r="E42">
        <v>1</v>
      </c>
      <c r="F42">
        <v>1</v>
      </c>
      <c r="G42" t="s">
        <v>111</v>
      </c>
      <c r="H42" t="s">
        <v>113</v>
      </c>
      <c r="K42" t="s">
        <v>33</v>
      </c>
      <c r="L42">
        <v>2</v>
      </c>
      <c r="N42">
        <v>3</v>
      </c>
      <c r="O42" t="s">
        <v>34</v>
      </c>
      <c r="S42" t="s">
        <v>43</v>
      </c>
      <c r="T42">
        <v>2</v>
      </c>
      <c r="V42">
        <v>1</v>
      </c>
      <c r="W42" t="s">
        <v>73</v>
      </c>
      <c r="AA42" t="s">
        <v>63</v>
      </c>
      <c r="AB42">
        <v>2</v>
      </c>
      <c r="AD42">
        <v>1</v>
      </c>
      <c r="AE42" t="s">
        <v>72</v>
      </c>
      <c r="AF42" t="s">
        <v>95</v>
      </c>
      <c r="AG42" t="s">
        <v>104</v>
      </c>
      <c r="AI42">
        <v>8</v>
      </c>
      <c r="AJ42">
        <v>29</v>
      </c>
    </row>
    <row r="43" spans="1:36" x14ac:dyDescent="0.25">
      <c r="A43" t="s">
        <v>478</v>
      </c>
      <c r="B43">
        <v>55</v>
      </c>
      <c r="C43" t="s">
        <v>43</v>
      </c>
      <c r="D43">
        <v>2</v>
      </c>
      <c r="F43">
        <v>1</v>
      </c>
      <c r="G43" t="s">
        <v>135</v>
      </c>
      <c r="H43" t="s">
        <v>74</v>
      </c>
      <c r="K43" t="s">
        <v>38</v>
      </c>
      <c r="L43">
        <v>2</v>
      </c>
      <c r="M43">
        <v>1</v>
      </c>
      <c r="N43">
        <v>1</v>
      </c>
      <c r="O43" t="s">
        <v>152</v>
      </c>
      <c r="P43" t="s">
        <v>70</v>
      </c>
      <c r="S43" t="s">
        <v>53</v>
      </c>
      <c r="T43">
        <v>2</v>
      </c>
      <c r="U43">
        <v>1</v>
      </c>
      <c r="V43">
        <v>1</v>
      </c>
      <c r="W43" t="s">
        <v>111</v>
      </c>
      <c r="AA43" t="s">
        <v>33</v>
      </c>
      <c r="AB43">
        <v>2</v>
      </c>
      <c r="AD43">
        <v>1</v>
      </c>
      <c r="AE43" t="s">
        <v>34</v>
      </c>
      <c r="AI43">
        <v>6</v>
      </c>
      <c r="AJ43">
        <v>21</v>
      </c>
    </row>
    <row r="44" spans="1:36" x14ac:dyDescent="0.25">
      <c r="A44" t="s">
        <v>479</v>
      </c>
      <c r="B44">
        <v>57</v>
      </c>
      <c r="C44" t="s">
        <v>53</v>
      </c>
      <c r="D44">
        <v>2</v>
      </c>
      <c r="E44">
        <v>1</v>
      </c>
      <c r="F44">
        <v>1</v>
      </c>
      <c r="G44" t="s">
        <v>111</v>
      </c>
      <c r="H44" t="s">
        <v>113</v>
      </c>
      <c r="K44" t="s">
        <v>33</v>
      </c>
      <c r="L44">
        <v>1</v>
      </c>
      <c r="N44">
        <v>3</v>
      </c>
      <c r="O44" t="s">
        <v>34</v>
      </c>
      <c r="S44" t="s">
        <v>45</v>
      </c>
      <c r="T44">
        <v>2</v>
      </c>
      <c r="V44">
        <v>1</v>
      </c>
      <c r="W44" t="s">
        <v>86</v>
      </c>
      <c r="AA44" t="s">
        <v>63</v>
      </c>
      <c r="AB44">
        <v>1</v>
      </c>
      <c r="AD44">
        <v>1</v>
      </c>
      <c r="AE44" t="s">
        <v>72</v>
      </c>
      <c r="AF44" t="s">
        <v>95</v>
      </c>
      <c r="AI44">
        <v>6</v>
      </c>
      <c r="AJ44">
        <v>21</v>
      </c>
    </row>
    <row r="45" spans="1:36" x14ac:dyDescent="0.25">
      <c r="A45" s="39" t="s">
        <v>480</v>
      </c>
      <c r="B45">
        <v>58</v>
      </c>
      <c r="C45" t="s">
        <v>45</v>
      </c>
      <c r="D45">
        <v>3</v>
      </c>
      <c r="F45">
        <v>1</v>
      </c>
      <c r="G45" t="s">
        <v>140</v>
      </c>
      <c r="K45" t="s">
        <v>38</v>
      </c>
      <c r="L45">
        <v>1</v>
      </c>
      <c r="M45">
        <v>2</v>
      </c>
      <c r="N45">
        <v>1</v>
      </c>
      <c r="O45" t="s">
        <v>152</v>
      </c>
      <c r="P45" t="s">
        <v>70</v>
      </c>
      <c r="S45" t="s">
        <v>53</v>
      </c>
      <c r="T45">
        <v>1</v>
      </c>
      <c r="U45">
        <v>3</v>
      </c>
      <c r="V45">
        <v>1</v>
      </c>
      <c r="W45" t="s">
        <v>111</v>
      </c>
      <c r="AA45" t="s">
        <v>33</v>
      </c>
      <c r="AB45">
        <v>1</v>
      </c>
      <c r="AD45">
        <v>1</v>
      </c>
      <c r="AE45" t="s">
        <v>34</v>
      </c>
      <c r="AI45">
        <v>6</v>
      </c>
      <c r="AJ45">
        <v>23</v>
      </c>
    </row>
    <row r="46" spans="1:36" x14ac:dyDescent="0.25">
      <c r="A46" t="s">
        <v>481</v>
      </c>
      <c r="B46">
        <v>60</v>
      </c>
      <c r="C46" t="s">
        <v>53</v>
      </c>
      <c r="D46">
        <v>2</v>
      </c>
      <c r="E46">
        <v>1</v>
      </c>
      <c r="F46">
        <v>1</v>
      </c>
      <c r="G46" t="s">
        <v>111</v>
      </c>
      <c r="K46" t="s">
        <v>33</v>
      </c>
      <c r="L46">
        <v>3</v>
      </c>
      <c r="N46">
        <v>2</v>
      </c>
      <c r="O46" t="s">
        <v>46</v>
      </c>
      <c r="S46" t="s">
        <v>63</v>
      </c>
      <c r="T46">
        <v>2</v>
      </c>
      <c r="V46">
        <v>1</v>
      </c>
      <c r="W46" t="s">
        <v>72</v>
      </c>
      <c r="X46" t="s">
        <v>95</v>
      </c>
      <c r="Y46" t="s">
        <v>104</v>
      </c>
      <c r="Z46" t="s">
        <v>151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9</v>
      </c>
      <c r="AJ46">
        <v>26</v>
      </c>
    </row>
    <row r="47" spans="1:36" x14ac:dyDescent="0.25">
      <c r="A47" t="s">
        <v>482</v>
      </c>
      <c r="B47">
        <v>63</v>
      </c>
      <c r="C47" t="s">
        <v>53</v>
      </c>
      <c r="D47">
        <v>2</v>
      </c>
      <c r="E47">
        <v>1</v>
      </c>
      <c r="F47">
        <v>1</v>
      </c>
      <c r="G47" t="s">
        <v>111</v>
      </c>
      <c r="H47" t="s">
        <v>83</v>
      </c>
      <c r="K47" t="s">
        <v>43</v>
      </c>
      <c r="L47">
        <v>2</v>
      </c>
      <c r="N47">
        <v>1</v>
      </c>
      <c r="O47" t="s">
        <v>73</v>
      </c>
      <c r="P47" t="s">
        <v>99</v>
      </c>
      <c r="Q47" t="s">
        <v>75</v>
      </c>
      <c r="S47" t="s">
        <v>56</v>
      </c>
      <c r="T47">
        <v>1</v>
      </c>
      <c r="V47">
        <v>1</v>
      </c>
      <c r="W47" t="s">
        <v>57</v>
      </c>
      <c r="X47" t="s">
        <v>121</v>
      </c>
      <c r="AA47" t="s">
        <v>48</v>
      </c>
      <c r="AB47">
        <v>3</v>
      </c>
      <c r="AD47">
        <v>3</v>
      </c>
      <c r="AE47" t="s">
        <v>89</v>
      </c>
      <c r="AF47" t="s">
        <v>71</v>
      </c>
      <c r="AI47">
        <v>11</v>
      </c>
      <c r="AJ47">
        <v>28</v>
      </c>
    </row>
    <row r="48" spans="1:36" x14ac:dyDescent="0.25">
      <c r="A48" t="s">
        <v>483</v>
      </c>
      <c r="B48">
        <v>64</v>
      </c>
      <c r="C48" t="s">
        <v>53</v>
      </c>
      <c r="D48">
        <v>3</v>
      </c>
      <c r="E48">
        <v>2</v>
      </c>
      <c r="F48">
        <v>1</v>
      </c>
      <c r="G48" t="s">
        <v>111</v>
      </c>
      <c r="H48" t="s">
        <v>83</v>
      </c>
      <c r="I48" t="s">
        <v>114</v>
      </c>
      <c r="J48" t="s">
        <v>98</v>
      </c>
      <c r="K48" t="s">
        <v>43</v>
      </c>
      <c r="L48">
        <v>3</v>
      </c>
      <c r="N48">
        <v>1</v>
      </c>
      <c r="O48" t="s">
        <v>73</v>
      </c>
      <c r="P48" t="s">
        <v>136</v>
      </c>
      <c r="Q48" t="s">
        <v>137</v>
      </c>
      <c r="S48" t="s">
        <v>56</v>
      </c>
      <c r="T48">
        <v>3</v>
      </c>
      <c r="V48">
        <v>3</v>
      </c>
      <c r="W48" t="s">
        <v>68</v>
      </c>
      <c r="X48" t="s">
        <v>121</v>
      </c>
      <c r="Y48" t="s">
        <v>87</v>
      </c>
      <c r="Z48" t="s">
        <v>88</v>
      </c>
      <c r="AA48" t="s">
        <v>33</v>
      </c>
      <c r="AB48">
        <v>1</v>
      </c>
      <c r="AD48">
        <v>3</v>
      </c>
      <c r="AE48" t="s">
        <v>34</v>
      </c>
      <c r="AI48">
        <v>19</v>
      </c>
      <c r="AJ48">
        <v>45</v>
      </c>
    </row>
    <row r="49" spans="1:36" x14ac:dyDescent="0.25">
      <c r="A49" t="s">
        <v>484</v>
      </c>
      <c r="B49">
        <v>65</v>
      </c>
      <c r="C49" t="s">
        <v>53</v>
      </c>
      <c r="D49">
        <v>2</v>
      </c>
      <c r="E49">
        <v>1</v>
      </c>
      <c r="F49">
        <v>1</v>
      </c>
      <c r="G49" t="s">
        <v>111</v>
      </c>
      <c r="H49" t="s">
        <v>113</v>
      </c>
      <c r="I49" t="s">
        <v>105</v>
      </c>
      <c r="K49" t="s">
        <v>43</v>
      </c>
      <c r="L49">
        <v>3</v>
      </c>
      <c r="N49">
        <v>1</v>
      </c>
      <c r="O49" t="s">
        <v>73</v>
      </c>
      <c r="P49" t="s">
        <v>99</v>
      </c>
      <c r="Q49" t="s">
        <v>100</v>
      </c>
      <c r="R49" t="s">
        <v>139</v>
      </c>
      <c r="S49" t="s">
        <v>56</v>
      </c>
      <c r="T49">
        <v>3</v>
      </c>
      <c r="V49">
        <v>1</v>
      </c>
      <c r="W49" t="s">
        <v>57</v>
      </c>
      <c r="AA49" t="s">
        <v>45</v>
      </c>
      <c r="AB49">
        <v>3</v>
      </c>
      <c r="AD49">
        <v>1</v>
      </c>
      <c r="AE49" t="s">
        <v>86</v>
      </c>
      <c r="AI49">
        <v>12</v>
      </c>
      <c r="AJ49">
        <v>28</v>
      </c>
    </row>
    <row r="50" spans="1:36" x14ac:dyDescent="0.25">
      <c r="A50" t="s">
        <v>485</v>
      </c>
      <c r="B50">
        <v>66</v>
      </c>
      <c r="C50" t="s">
        <v>53</v>
      </c>
      <c r="D50">
        <v>3</v>
      </c>
      <c r="E50">
        <v>1</v>
      </c>
      <c r="F50">
        <v>1</v>
      </c>
      <c r="G50" t="s">
        <v>111</v>
      </c>
      <c r="H50" t="s">
        <v>83</v>
      </c>
      <c r="K50" t="s">
        <v>43</v>
      </c>
      <c r="L50">
        <v>1</v>
      </c>
      <c r="N50">
        <v>1</v>
      </c>
      <c r="O50" t="s">
        <v>73</v>
      </c>
      <c r="P50" t="s">
        <v>99</v>
      </c>
      <c r="Q50" t="s">
        <v>100</v>
      </c>
      <c r="R50" t="s">
        <v>101</v>
      </c>
      <c r="S50" t="s">
        <v>56</v>
      </c>
      <c r="T50">
        <v>2</v>
      </c>
      <c r="V50">
        <v>1</v>
      </c>
      <c r="W50" t="s">
        <v>57</v>
      </c>
      <c r="AA50" t="s">
        <v>63</v>
      </c>
      <c r="AB50">
        <v>3</v>
      </c>
      <c r="AD50">
        <v>1</v>
      </c>
      <c r="AE50" t="s">
        <v>72</v>
      </c>
      <c r="AF50" t="s">
        <v>91</v>
      </c>
      <c r="AG50" t="s">
        <v>147</v>
      </c>
      <c r="AI50">
        <v>11</v>
      </c>
      <c r="AJ50">
        <v>28</v>
      </c>
    </row>
    <row r="51" spans="1:36" x14ac:dyDescent="0.25">
      <c r="A51" t="s">
        <v>486</v>
      </c>
      <c r="B51">
        <v>67</v>
      </c>
      <c r="C51" t="s">
        <v>56</v>
      </c>
      <c r="D51">
        <v>3</v>
      </c>
      <c r="F51">
        <v>2</v>
      </c>
      <c r="G51" t="s">
        <v>68</v>
      </c>
      <c r="H51" t="s">
        <v>69</v>
      </c>
      <c r="K51" t="s">
        <v>38</v>
      </c>
      <c r="L51">
        <v>2</v>
      </c>
      <c r="M51">
        <v>1</v>
      </c>
      <c r="N51">
        <v>3</v>
      </c>
      <c r="O51" t="s">
        <v>152</v>
      </c>
      <c r="P51" t="s">
        <v>70</v>
      </c>
      <c r="Q51" t="s">
        <v>41</v>
      </c>
      <c r="R51" t="s">
        <v>155</v>
      </c>
      <c r="S51" t="s">
        <v>53</v>
      </c>
      <c r="T51">
        <v>3</v>
      </c>
      <c r="U51">
        <v>1</v>
      </c>
      <c r="V51">
        <v>1</v>
      </c>
      <c r="W51" t="s">
        <v>111</v>
      </c>
      <c r="X51" t="s">
        <v>55</v>
      </c>
      <c r="AA51" t="s">
        <v>43</v>
      </c>
      <c r="AB51">
        <v>1</v>
      </c>
      <c r="AD51">
        <v>1</v>
      </c>
      <c r="AE51" t="s">
        <v>73</v>
      </c>
      <c r="AF51" t="s">
        <v>99</v>
      </c>
      <c r="AG51" t="s">
        <v>100</v>
      </c>
      <c r="AH51" t="s">
        <v>101</v>
      </c>
      <c r="AI51">
        <v>16</v>
      </c>
      <c r="AJ51">
        <v>52</v>
      </c>
    </row>
    <row r="52" spans="1:36" x14ac:dyDescent="0.25">
      <c r="A52" t="s">
        <v>487</v>
      </c>
      <c r="B52">
        <v>69</v>
      </c>
      <c r="C52" t="s">
        <v>53</v>
      </c>
      <c r="D52">
        <v>3</v>
      </c>
      <c r="E52">
        <v>1</v>
      </c>
      <c r="F52">
        <v>1</v>
      </c>
      <c r="G52" t="s">
        <v>111</v>
      </c>
      <c r="K52" t="s">
        <v>43</v>
      </c>
      <c r="L52">
        <v>2</v>
      </c>
      <c r="N52">
        <v>1</v>
      </c>
      <c r="O52" t="s">
        <v>73</v>
      </c>
      <c r="P52" t="s">
        <v>136</v>
      </c>
      <c r="Q52" t="s">
        <v>137</v>
      </c>
      <c r="R52" t="s">
        <v>101</v>
      </c>
      <c r="S52" t="s">
        <v>48</v>
      </c>
      <c r="T52">
        <v>1</v>
      </c>
      <c r="V52">
        <v>1</v>
      </c>
      <c r="W52" t="s">
        <v>89</v>
      </c>
      <c r="X52" t="s">
        <v>84</v>
      </c>
      <c r="Y52" t="s">
        <v>127</v>
      </c>
      <c r="AA52" t="s">
        <v>33</v>
      </c>
      <c r="AB52">
        <v>3</v>
      </c>
      <c r="AD52">
        <v>2</v>
      </c>
      <c r="AE52" t="s">
        <v>34</v>
      </c>
      <c r="AI52">
        <v>11</v>
      </c>
      <c r="AJ52">
        <v>28</v>
      </c>
    </row>
    <row r="53" spans="1:36" x14ac:dyDescent="0.25">
      <c r="A53" t="s">
        <v>488</v>
      </c>
      <c r="B53">
        <v>70</v>
      </c>
      <c r="C53" t="s">
        <v>48</v>
      </c>
      <c r="D53">
        <v>3</v>
      </c>
      <c r="F53">
        <v>1</v>
      </c>
      <c r="G53" t="s">
        <v>89</v>
      </c>
      <c r="H53" t="s">
        <v>71</v>
      </c>
      <c r="K53" t="s">
        <v>45</v>
      </c>
      <c r="L53">
        <v>2</v>
      </c>
      <c r="N53">
        <v>1</v>
      </c>
      <c r="O53" t="s">
        <v>86</v>
      </c>
      <c r="S53" t="s">
        <v>53</v>
      </c>
      <c r="T53">
        <v>2</v>
      </c>
      <c r="U53">
        <v>1</v>
      </c>
      <c r="V53">
        <v>1</v>
      </c>
      <c r="W53" t="s">
        <v>111</v>
      </c>
      <c r="X53" t="s">
        <v>83</v>
      </c>
      <c r="Y53" t="s">
        <v>105</v>
      </c>
      <c r="AA53" t="s">
        <v>43</v>
      </c>
      <c r="AB53">
        <v>1</v>
      </c>
      <c r="AD53">
        <v>1</v>
      </c>
      <c r="AE53" t="s">
        <v>73</v>
      </c>
      <c r="AI53">
        <v>7</v>
      </c>
      <c r="AJ53">
        <v>22</v>
      </c>
    </row>
    <row r="54" spans="1:36" x14ac:dyDescent="0.25">
      <c r="A54" t="s">
        <v>489</v>
      </c>
      <c r="B54">
        <v>71</v>
      </c>
      <c r="C54" t="s">
        <v>48</v>
      </c>
      <c r="D54">
        <v>3</v>
      </c>
      <c r="F54">
        <v>3</v>
      </c>
      <c r="G54" t="s">
        <v>89</v>
      </c>
      <c r="H54" t="s">
        <v>84</v>
      </c>
      <c r="I54" t="s">
        <v>90</v>
      </c>
      <c r="J54" t="s">
        <v>129</v>
      </c>
      <c r="K54" t="s">
        <v>63</v>
      </c>
      <c r="L54">
        <v>2</v>
      </c>
      <c r="N54">
        <v>1</v>
      </c>
      <c r="O54" t="s">
        <v>72</v>
      </c>
      <c r="P54" t="s">
        <v>95</v>
      </c>
      <c r="S54" t="s">
        <v>53</v>
      </c>
      <c r="T54">
        <v>1</v>
      </c>
      <c r="U54">
        <v>1</v>
      </c>
      <c r="V54">
        <v>1</v>
      </c>
      <c r="W54" t="s">
        <v>111</v>
      </c>
      <c r="X54" t="s">
        <v>113</v>
      </c>
      <c r="AA54" t="s">
        <v>43</v>
      </c>
      <c r="AB54">
        <v>3</v>
      </c>
      <c r="AD54">
        <v>3</v>
      </c>
      <c r="AE54" t="s">
        <v>73</v>
      </c>
      <c r="AF54" t="s">
        <v>74</v>
      </c>
      <c r="AG54" t="s">
        <v>100</v>
      </c>
      <c r="AH54" t="s">
        <v>139</v>
      </c>
      <c r="AI54">
        <v>17</v>
      </c>
      <c r="AJ54">
        <v>37</v>
      </c>
    </row>
    <row r="55" spans="1:36" x14ac:dyDescent="0.25">
      <c r="A55" t="s">
        <v>490</v>
      </c>
      <c r="B55">
        <v>72</v>
      </c>
      <c r="C55" t="s">
        <v>48</v>
      </c>
      <c r="D55">
        <v>3</v>
      </c>
      <c r="F55">
        <v>1</v>
      </c>
      <c r="G55" t="s">
        <v>89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S55" t="s">
        <v>53</v>
      </c>
      <c r="T55">
        <v>3</v>
      </c>
      <c r="U55">
        <v>1</v>
      </c>
      <c r="V55">
        <v>1</v>
      </c>
      <c r="W55" t="s">
        <v>111</v>
      </c>
      <c r="AA55" t="s">
        <v>43</v>
      </c>
      <c r="AB55">
        <v>1</v>
      </c>
      <c r="AD55">
        <v>1</v>
      </c>
      <c r="AE55" t="s">
        <v>73</v>
      </c>
      <c r="AF55" t="s">
        <v>136</v>
      </c>
      <c r="AG55" t="s">
        <v>137</v>
      </c>
      <c r="AI55">
        <v>7</v>
      </c>
      <c r="AJ55">
        <v>29</v>
      </c>
    </row>
    <row r="56" spans="1:36" x14ac:dyDescent="0.25">
      <c r="A56" t="s">
        <v>491</v>
      </c>
      <c r="B56">
        <v>74</v>
      </c>
      <c r="C56" t="s">
        <v>33</v>
      </c>
      <c r="D56">
        <v>3</v>
      </c>
      <c r="F56">
        <v>3</v>
      </c>
      <c r="G56" t="s">
        <v>34</v>
      </c>
      <c r="K56" t="s">
        <v>45</v>
      </c>
      <c r="L56">
        <v>3</v>
      </c>
      <c r="N56">
        <v>1</v>
      </c>
      <c r="O56" t="s">
        <v>140</v>
      </c>
      <c r="S56" t="s">
        <v>53</v>
      </c>
      <c r="T56">
        <v>2</v>
      </c>
      <c r="U56">
        <v>1</v>
      </c>
      <c r="V56">
        <v>1</v>
      </c>
      <c r="W56" t="s">
        <v>111</v>
      </c>
      <c r="AA56" t="s">
        <v>43</v>
      </c>
      <c r="AB56">
        <v>3</v>
      </c>
      <c r="AD56">
        <v>1</v>
      </c>
      <c r="AE56" t="s">
        <v>73</v>
      </c>
      <c r="AF56" t="s">
        <v>136</v>
      </c>
      <c r="AG56" t="s">
        <v>100</v>
      </c>
      <c r="AH56" t="s">
        <v>101</v>
      </c>
      <c r="AI56">
        <v>12</v>
      </c>
      <c r="AJ56">
        <v>31</v>
      </c>
    </row>
    <row r="57" spans="1:36" x14ac:dyDescent="0.25">
      <c r="A57" t="s">
        <v>492</v>
      </c>
      <c r="B57">
        <v>75</v>
      </c>
      <c r="C57" t="s">
        <v>53</v>
      </c>
      <c r="D57">
        <v>2</v>
      </c>
      <c r="E57">
        <v>1</v>
      </c>
      <c r="F57">
        <v>1</v>
      </c>
      <c r="G57" t="s">
        <v>111</v>
      </c>
      <c r="H57" t="s">
        <v>83</v>
      </c>
      <c r="I57" t="s">
        <v>97</v>
      </c>
      <c r="K57" t="s">
        <v>43</v>
      </c>
      <c r="L57">
        <v>2</v>
      </c>
      <c r="N57">
        <v>1</v>
      </c>
      <c r="O57" t="s">
        <v>73</v>
      </c>
      <c r="P57" t="s">
        <v>136</v>
      </c>
      <c r="Q57" t="s">
        <v>75</v>
      </c>
      <c r="R57" t="s">
        <v>101</v>
      </c>
      <c r="S57" t="s">
        <v>33</v>
      </c>
      <c r="T57">
        <v>2</v>
      </c>
      <c r="V57">
        <v>2</v>
      </c>
      <c r="W57" t="s">
        <v>34</v>
      </c>
      <c r="AA57" t="s">
        <v>63</v>
      </c>
      <c r="AB57">
        <v>2</v>
      </c>
      <c r="AD57">
        <v>1</v>
      </c>
      <c r="AE57" t="s">
        <v>72</v>
      </c>
      <c r="AF57" t="s">
        <v>95</v>
      </c>
      <c r="AG57" t="s">
        <v>104</v>
      </c>
      <c r="AI57">
        <v>12</v>
      </c>
      <c r="AJ57">
        <v>32</v>
      </c>
    </row>
    <row r="58" spans="1:36" x14ac:dyDescent="0.25">
      <c r="A58" t="s">
        <v>493</v>
      </c>
      <c r="B58">
        <v>76</v>
      </c>
      <c r="C58" t="s">
        <v>33</v>
      </c>
      <c r="D58">
        <v>3</v>
      </c>
      <c r="F58">
        <v>3</v>
      </c>
      <c r="G58" t="s">
        <v>34</v>
      </c>
      <c r="K58" t="s">
        <v>38</v>
      </c>
      <c r="L58">
        <v>1</v>
      </c>
      <c r="M58">
        <v>1</v>
      </c>
      <c r="N58">
        <v>1</v>
      </c>
      <c r="O58" t="s">
        <v>67</v>
      </c>
      <c r="S58" t="s">
        <v>53</v>
      </c>
      <c r="T58">
        <v>1</v>
      </c>
      <c r="U58">
        <v>1</v>
      </c>
      <c r="V58">
        <v>1</v>
      </c>
      <c r="W58" t="s">
        <v>111</v>
      </c>
      <c r="AA58" t="s">
        <v>43</v>
      </c>
      <c r="AB58">
        <v>1</v>
      </c>
      <c r="AD58">
        <v>1</v>
      </c>
      <c r="AE58" t="s">
        <v>73</v>
      </c>
      <c r="AF58" t="s">
        <v>136</v>
      </c>
      <c r="AG58" t="s">
        <v>137</v>
      </c>
      <c r="AH58" t="s">
        <v>101</v>
      </c>
      <c r="AI58">
        <v>7</v>
      </c>
      <c r="AJ58">
        <v>20</v>
      </c>
    </row>
    <row r="59" spans="1:36" x14ac:dyDescent="0.25">
      <c r="A59" t="s">
        <v>494</v>
      </c>
      <c r="B59">
        <v>78</v>
      </c>
      <c r="C59" t="s">
        <v>53</v>
      </c>
      <c r="D59">
        <v>3</v>
      </c>
      <c r="E59">
        <v>1</v>
      </c>
      <c r="F59">
        <v>1</v>
      </c>
      <c r="G59" t="s">
        <v>111</v>
      </c>
      <c r="K59" t="s">
        <v>43</v>
      </c>
      <c r="L59">
        <v>2</v>
      </c>
      <c r="N59">
        <v>1</v>
      </c>
      <c r="O59" t="s">
        <v>73</v>
      </c>
      <c r="P59" t="s">
        <v>74</v>
      </c>
      <c r="Q59" t="s">
        <v>100</v>
      </c>
      <c r="R59" t="s">
        <v>101</v>
      </c>
      <c r="S59" t="s">
        <v>45</v>
      </c>
      <c r="T59">
        <v>3</v>
      </c>
      <c r="V59">
        <v>1</v>
      </c>
      <c r="W59" t="s">
        <v>86</v>
      </c>
      <c r="AA59" t="s">
        <v>63</v>
      </c>
      <c r="AB59">
        <v>2</v>
      </c>
      <c r="AD59">
        <v>1</v>
      </c>
      <c r="AE59" t="s">
        <v>72</v>
      </c>
      <c r="AF59" t="s">
        <v>95</v>
      </c>
      <c r="AG59" t="s">
        <v>104</v>
      </c>
      <c r="AI59">
        <v>11</v>
      </c>
      <c r="AJ59">
        <v>28</v>
      </c>
    </row>
    <row r="60" spans="1:36" x14ac:dyDescent="0.25">
      <c r="A60" t="s">
        <v>495</v>
      </c>
      <c r="B60">
        <v>79</v>
      </c>
      <c r="C60" t="s">
        <v>45</v>
      </c>
      <c r="D60">
        <v>3</v>
      </c>
      <c r="F60">
        <v>2</v>
      </c>
      <c r="G60" t="s">
        <v>47</v>
      </c>
      <c r="K60" t="s">
        <v>38</v>
      </c>
      <c r="L60">
        <v>1</v>
      </c>
      <c r="M60">
        <v>1</v>
      </c>
      <c r="N60">
        <v>1</v>
      </c>
      <c r="O60" t="s">
        <v>152</v>
      </c>
      <c r="P60" t="s">
        <v>70</v>
      </c>
      <c r="S60" t="s">
        <v>53</v>
      </c>
      <c r="T60">
        <v>1</v>
      </c>
      <c r="U60">
        <v>2</v>
      </c>
      <c r="V60">
        <v>1</v>
      </c>
      <c r="W60" t="s">
        <v>111</v>
      </c>
      <c r="AA60" t="s">
        <v>43</v>
      </c>
      <c r="AB60">
        <v>1</v>
      </c>
      <c r="AD60">
        <v>2</v>
      </c>
      <c r="AE60" t="s">
        <v>73</v>
      </c>
      <c r="AF60" t="s">
        <v>74</v>
      </c>
      <c r="AG60" t="s">
        <v>137</v>
      </c>
      <c r="AI60">
        <v>8</v>
      </c>
      <c r="AJ60">
        <v>32</v>
      </c>
    </row>
    <row r="61" spans="1:36" x14ac:dyDescent="0.25">
      <c r="A61" t="s">
        <v>496</v>
      </c>
      <c r="B61">
        <v>81</v>
      </c>
      <c r="C61" t="s">
        <v>63</v>
      </c>
      <c r="D61">
        <v>3</v>
      </c>
      <c r="F61">
        <v>1</v>
      </c>
      <c r="G61" t="s">
        <v>72</v>
      </c>
      <c r="H61" t="s">
        <v>95</v>
      </c>
      <c r="K61" t="s">
        <v>38</v>
      </c>
      <c r="L61">
        <v>1</v>
      </c>
      <c r="M61">
        <v>1</v>
      </c>
      <c r="N61">
        <v>1</v>
      </c>
      <c r="O61" t="s">
        <v>152</v>
      </c>
      <c r="P61" t="s">
        <v>70</v>
      </c>
      <c r="S61" t="s">
        <v>53</v>
      </c>
      <c r="T61">
        <v>1</v>
      </c>
      <c r="U61">
        <v>1</v>
      </c>
      <c r="V61">
        <v>1</v>
      </c>
      <c r="W61" t="s">
        <v>111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G61" t="s">
        <v>100</v>
      </c>
      <c r="AH61" t="s">
        <v>101</v>
      </c>
      <c r="AI61">
        <v>7</v>
      </c>
      <c r="AJ61">
        <v>27</v>
      </c>
    </row>
    <row r="62" spans="1:36" x14ac:dyDescent="0.25">
      <c r="A62" t="s">
        <v>497</v>
      </c>
      <c r="B62">
        <v>84</v>
      </c>
      <c r="C62" t="s">
        <v>56</v>
      </c>
      <c r="D62">
        <v>1</v>
      </c>
      <c r="F62">
        <v>1</v>
      </c>
      <c r="G62" t="s">
        <v>57</v>
      </c>
      <c r="H62" t="s">
        <v>122</v>
      </c>
      <c r="K62" t="s">
        <v>48</v>
      </c>
      <c r="L62">
        <v>3</v>
      </c>
      <c r="N62">
        <v>2</v>
      </c>
      <c r="O62" t="s">
        <v>49</v>
      </c>
      <c r="P62" t="s">
        <v>84</v>
      </c>
      <c r="Q62" t="s">
        <v>127</v>
      </c>
      <c r="S62" t="s">
        <v>53</v>
      </c>
      <c r="T62">
        <v>3</v>
      </c>
      <c r="U62">
        <v>1</v>
      </c>
      <c r="V62">
        <v>1</v>
      </c>
      <c r="W62" t="s">
        <v>54</v>
      </c>
      <c r="X62" t="s">
        <v>83</v>
      </c>
      <c r="AA62" t="s">
        <v>45</v>
      </c>
      <c r="AB62">
        <v>2</v>
      </c>
      <c r="AD62">
        <v>1</v>
      </c>
      <c r="AE62" t="s">
        <v>47</v>
      </c>
      <c r="AI62">
        <v>10</v>
      </c>
      <c r="AJ62">
        <v>25</v>
      </c>
    </row>
    <row r="63" spans="1:36" x14ac:dyDescent="0.25">
      <c r="A63" t="s">
        <v>498</v>
      </c>
      <c r="B63">
        <v>85</v>
      </c>
      <c r="C63" t="s">
        <v>53</v>
      </c>
      <c r="D63">
        <v>2</v>
      </c>
      <c r="E63">
        <v>1</v>
      </c>
      <c r="F63">
        <v>1</v>
      </c>
      <c r="G63" t="s">
        <v>111</v>
      </c>
      <c r="H63" t="s">
        <v>83</v>
      </c>
      <c r="K63" t="s">
        <v>45</v>
      </c>
      <c r="L63">
        <v>3</v>
      </c>
      <c r="N63">
        <v>1</v>
      </c>
      <c r="O63" t="s">
        <v>86</v>
      </c>
      <c r="S63" t="s">
        <v>56</v>
      </c>
      <c r="T63">
        <v>2</v>
      </c>
      <c r="V63">
        <v>1</v>
      </c>
      <c r="W63" t="s">
        <v>57</v>
      </c>
      <c r="AA63" t="s">
        <v>33</v>
      </c>
      <c r="AB63">
        <v>1</v>
      </c>
      <c r="AD63">
        <v>2</v>
      </c>
      <c r="AE63" t="s">
        <v>34</v>
      </c>
      <c r="AI63">
        <v>6</v>
      </c>
      <c r="AJ63">
        <v>18</v>
      </c>
    </row>
    <row r="64" spans="1:36" x14ac:dyDescent="0.25">
      <c r="A64" t="s">
        <v>499</v>
      </c>
      <c r="B64">
        <v>86</v>
      </c>
      <c r="C64" t="s">
        <v>53</v>
      </c>
      <c r="D64">
        <v>3</v>
      </c>
      <c r="E64">
        <v>1</v>
      </c>
      <c r="F64">
        <v>1</v>
      </c>
      <c r="G64" t="s">
        <v>111</v>
      </c>
      <c r="H64" t="s">
        <v>55</v>
      </c>
      <c r="K64" t="s">
        <v>45</v>
      </c>
      <c r="L64">
        <v>2</v>
      </c>
      <c r="N64">
        <v>1</v>
      </c>
      <c r="O64" t="s">
        <v>86</v>
      </c>
      <c r="S64" t="s">
        <v>56</v>
      </c>
      <c r="T64">
        <v>3</v>
      </c>
      <c r="V64">
        <v>1</v>
      </c>
      <c r="W64" t="s">
        <v>57</v>
      </c>
      <c r="X64" t="s">
        <v>121</v>
      </c>
      <c r="AA64" t="s">
        <v>43</v>
      </c>
      <c r="AB64">
        <v>1</v>
      </c>
      <c r="AD64">
        <v>1</v>
      </c>
      <c r="AE64" t="s">
        <v>73</v>
      </c>
      <c r="AF64" t="s">
        <v>74</v>
      </c>
      <c r="AG64" t="s">
        <v>100</v>
      </c>
      <c r="AH64" t="s">
        <v>101</v>
      </c>
      <c r="AI64">
        <v>10</v>
      </c>
      <c r="AJ64">
        <v>29</v>
      </c>
    </row>
    <row r="65" spans="1:36" x14ac:dyDescent="0.25">
      <c r="A65" t="s">
        <v>500</v>
      </c>
      <c r="B65">
        <v>87</v>
      </c>
      <c r="C65" t="s">
        <v>53</v>
      </c>
      <c r="D65">
        <v>3</v>
      </c>
      <c r="E65">
        <v>1</v>
      </c>
      <c r="F65">
        <v>2</v>
      </c>
      <c r="G65" t="s">
        <v>111</v>
      </c>
      <c r="K65" t="s">
        <v>45</v>
      </c>
      <c r="L65">
        <v>3</v>
      </c>
      <c r="N65">
        <v>1</v>
      </c>
      <c r="O65" t="s">
        <v>86</v>
      </c>
      <c r="S65" t="s">
        <v>56</v>
      </c>
      <c r="T65">
        <v>1</v>
      </c>
      <c r="V65">
        <v>1</v>
      </c>
      <c r="W65" t="s">
        <v>57</v>
      </c>
      <c r="X65" t="s">
        <v>121</v>
      </c>
      <c r="AA65" t="s">
        <v>63</v>
      </c>
      <c r="AB65">
        <v>2</v>
      </c>
      <c r="AD65">
        <v>1</v>
      </c>
      <c r="AE65" t="s">
        <v>72</v>
      </c>
      <c r="AF65" t="s">
        <v>146</v>
      </c>
      <c r="AG65" t="s">
        <v>104</v>
      </c>
      <c r="AI65">
        <v>9</v>
      </c>
      <c r="AJ65">
        <v>26</v>
      </c>
    </row>
    <row r="66" spans="1:36" x14ac:dyDescent="0.25">
      <c r="A66" t="s">
        <v>501</v>
      </c>
      <c r="B66">
        <v>88</v>
      </c>
      <c r="C66" t="s">
        <v>56</v>
      </c>
      <c r="D66">
        <v>2</v>
      </c>
      <c r="F66">
        <v>1</v>
      </c>
      <c r="G66" t="s">
        <v>57</v>
      </c>
      <c r="K66" t="s">
        <v>38</v>
      </c>
      <c r="L66">
        <v>2</v>
      </c>
      <c r="M66">
        <v>1</v>
      </c>
      <c r="N66">
        <v>1</v>
      </c>
      <c r="O66" t="s">
        <v>152</v>
      </c>
      <c r="P66" t="s">
        <v>70</v>
      </c>
      <c r="S66" t="s">
        <v>53</v>
      </c>
      <c r="T66">
        <v>2</v>
      </c>
      <c r="U66">
        <v>1</v>
      </c>
      <c r="V66">
        <v>1</v>
      </c>
      <c r="W66" t="s">
        <v>111</v>
      </c>
      <c r="X66" t="s">
        <v>83</v>
      </c>
      <c r="AA66" t="s">
        <v>45</v>
      </c>
      <c r="AB66">
        <v>2</v>
      </c>
      <c r="AD66">
        <v>1</v>
      </c>
      <c r="AE66" t="s">
        <v>86</v>
      </c>
      <c r="AI66">
        <v>6</v>
      </c>
      <c r="AJ66">
        <v>20</v>
      </c>
    </row>
    <row r="67" spans="1:36" x14ac:dyDescent="0.25">
      <c r="A67" t="s">
        <v>502</v>
      </c>
      <c r="B67">
        <v>90</v>
      </c>
      <c r="C67" t="s">
        <v>53</v>
      </c>
      <c r="D67">
        <v>3</v>
      </c>
      <c r="E67">
        <v>1</v>
      </c>
      <c r="F67">
        <v>2</v>
      </c>
      <c r="G67" t="s">
        <v>111</v>
      </c>
      <c r="H67" t="s">
        <v>83</v>
      </c>
      <c r="K67" t="s">
        <v>45</v>
      </c>
      <c r="L67">
        <v>3</v>
      </c>
      <c r="N67">
        <v>1</v>
      </c>
      <c r="O67" t="s">
        <v>86</v>
      </c>
      <c r="S67" t="s">
        <v>48</v>
      </c>
      <c r="T67">
        <v>1</v>
      </c>
      <c r="V67">
        <v>3</v>
      </c>
      <c r="W67" t="s">
        <v>89</v>
      </c>
      <c r="X67" t="s">
        <v>84</v>
      </c>
      <c r="Y67" t="s">
        <v>127</v>
      </c>
      <c r="AA67" t="s">
        <v>33</v>
      </c>
      <c r="AB67">
        <v>1</v>
      </c>
      <c r="AD67">
        <v>3</v>
      </c>
      <c r="AE67" t="s">
        <v>34</v>
      </c>
      <c r="AI67">
        <v>12</v>
      </c>
      <c r="AJ67">
        <v>27</v>
      </c>
    </row>
    <row r="68" spans="1:36" x14ac:dyDescent="0.25">
      <c r="A68" t="s">
        <v>503</v>
      </c>
      <c r="B68">
        <v>91</v>
      </c>
      <c r="C68" t="s">
        <v>48</v>
      </c>
      <c r="D68">
        <v>3</v>
      </c>
      <c r="F68">
        <v>2</v>
      </c>
      <c r="G68" t="s">
        <v>49</v>
      </c>
      <c r="H68" t="s">
        <v>50</v>
      </c>
      <c r="I68" t="s">
        <v>127</v>
      </c>
      <c r="J68" t="s">
        <v>129</v>
      </c>
      <c r="K68" t="s">
        <v>43</v>
      </c>
      <c r="L68">
        <v>1</v>
      </c>
      <c r="N68">
        <v>1</v>
      </c>
      <c r="O68" t="s">
        <v>73</v>
      </c>
      <c r="P68" t="s">
        <v>99</v>
      </c>
      <c r="S68" t="s">
        <v>53</v>
      </c>
      <c r="T68">
        <v>3</v>
      </c>
      <c r="U68">
        <v>3</v>
      </c>
      <c r="V68">
        <v>2</v>
      </c>
      <c r="W68" t="s">
        <v>111</v>
      </c>
      <c r="X68" t="s">
        <v>83</v>
      </c>
      <c r="AA68" t="s">
        <v>45</v>
      </c>
      <c r="AB68">
        <v>3</v>
      </c>
      <c r="AD68">
        <v>1</v>
      </c>
      <c r="AE68" t="s">
        <v>86</v>
      </c>
      <c r="AI68">
        <v>15</v>
      </c>
      <c r="AJ68">
        <v>38</v>
      </c>
    </row>
    <row r="69" spans="1:36" x14ac:dyDescent="0.25">
      <c r="A69" t="s">
        <v>504</v>
      </c>
      <c r="B69">
        <v>92</v>
      </c>
      <c r="C69" t="s">
        <v>53</v>
      </c>
      <c r="D69">
        <v>3</v>
      </c>
      <c r="E69">
        <v>1</v>
      </c>
      <c r="F69">
        <v>1</v>
      </c>
      <c r="G69" t="s">
        <v>111</v>
      </c>
      <c r="H69" t="s">
        <v>83</v>
      </c>
      <c r="I69" t="s">
        <v>114</v>
      </c>
      <c r="K69" t="s">
        <v>45</v>
      </c>
      <c r="L69">
        <v>3</v>
      </c>
      <c r="N69">
        <v>2</v>
      </c>
      <c r="O69" t="s">
        <v>47</v>
      </c>
      <c r="S69" t="s">
        <v>48</v>
      </c>
      <c r="T69">
        <v>1</v>
      </c>
      <c r="V69">
        <v>1</v>
      </c>
      <c r="W69" t="s">
        <v>49</v>
      </c>
      <c r="AA69" t="s">
        <v>63</v>
      </c>
      <c r="AB69">
        <v>3</v>
      </c>
      <c r="AD69">
        <v>1</v>
      </c>
      <c r="AE69" t="s">
        <v>72</v>
      </c>
      <c r="AF69" t="s">
        <v>146</v>
      </c>
      <c r="AG69" t="s">
        <v>104</v>
      </c>
      <c r="AI69">
        <v>12</v>
      </c>
      <c r="AJ69">
        <v>32</v>
      </c>
    </row>
    <row r="70" spans="1:36" x14ac:dyDescent="0.25">
      <c r="A70" t="s">
        <v>505</v>
      </c>
      <c r="B70">
        <v>93</v>
      </c>
      <c r="C70" t="s">
        <v>48</v>
      </c>
      <c r="D70">
        <v>2</v>
      </c>
      <c r="F70">
        <v>3</v>
      </c>
      <c r="G70" t="s">
        <v>49</v>
      </c>
      <c r="H70" t="s">
        <v>84</v>
      </c>
      <c r="I70" t="s">
        <v>127</v>
      </c>
      <c r="J70" t="s">
        <v>128</v>
      </c>
      <c r="K70" t="s">
        <v>38</v>
      </c>
      <c r="L70">
        <v>1</v>
      </c>
      <c r="M70">
        <v>1</v>
      </c>
      <c r="N70">
        <v>1</v>
      </c>
      <c r="O70" t="s">
        <v>152</v>
      </c>
      <c r="P70" t="s">
        <v>70</v>
      </c>
      <c r="S70" t="s">
        <v>53</v>
      </c>
      <c r="T70">
        <v>1</v>
      </c>
      <c r="U70">
        <v>1</v>
      </c>
      <c r="V70">
        <v>1</v>
      </c>
      <c r="W70" t="s">
        <v>111</v>
      </c>
      <c r="AA70" t="s">
        <v>45</v>
      </c>
      <c r="AB70">
        <v>3</v>
      </c>
      <c r="AD70">
        <v>3</v>
      </c>
      <c r="AE70" t="s">
        <v>86</v>
      </c>
      <c r="AI70">
        <v>11</v>
      </c>
      <c r="AJ70">
        <v>37</v>
      </c>
    </row>
    <row r="71" spans="1:36" x14ac:dyDescent="0.25">
      <c r="A71" t="s">
        <v>506</v>
      </c>
      <c r="B71">
        <v>95</v>
      </c>
      <c r="C71" t="s">
        <v>53</v>
      </c>
      <c r="D71">
        <v>3</v>
      </c>
      <c r="E71">
        <v>1</v>
      </c>
      <c r="F71">
        <v>1</v>
      </c>
      <c r="G71" t="s">
        <v>111</v>
      </c>
      <c r="H71" t="s">
        <v>83</v>
      </c>
      <c r="K71" t="s">
        <v>45</v>
      </c>
      <c r="L71">
        <v>2</v>
      </c>
      <c r="N71">
        <v>1</v>
      </c>
      <c r="O71" t="s">
        <v>140</v>
      </c>
      <c r="S71" t="s">
        <v>33</v>
      </c>
      <c r="T71">
        <v>2</v>
      </c>
      <c r="V71">
        <v>3</v>
      </c>
      <c r="W71" t="s">
        <v>34</v>
      </c>
      <c r="AA71" t="s">
        <v>43</v>
      </c>
      <c r="AB71">
        <v>1</v>
      </c>
      <c r="AD71">
        <v>1</v>
      </c>
      <c r="AE71" t="s">
        <v>135</v>
      </c>
      <c r="AI71">
        <v>7</v>
      </c>
      <c r="AJ71">
        <v>19</v>
      </c>
    </row>
    <row r="72" spans="1:36" x14ac:dyDescent="0.25">
      <c r="A72" t="s">
        <v>507</v>
      </c>
      <c r="B72">
        <v>96</v>
      </c>
      <c r="C72" t="s">
        <v>53</v>
      </c>
      <c r="D72">
        <v>3</v>
      </c>
      <c r="E72">
        <v>1</v>
      </c>
      <c r="F72">
        <v>1</v>
      </c>
      <c r="G72" t="s">
        <v>111</v>
      </c>
      <c r="H72" t="s">
        <v>83</v>
      </c>
      <c r="I72" t="s">
        <v>114</v>
      </c>
      <c r="K72" t="s">
        <v>45</v>
      </c>
      <c r="L72">
        <v>3</v>
      </c>
      <c r="N72">
        <v>1</v>
      </c>
      <c r="O72" t="s">
        <v>86</v>
      </c>
      <c r="S72" t="s">
        <v>33</v>
      </c>
      <c r="T72">
        <v>1</v>
      </c>
      <c r="V72">
        <v>3</v>
      </c>
      <c r="W72" t="s">
        <v>34</v>
      </c>
      <c r="AA72" t="s">
        <v>63</v>
      </c>
      <c r="AB72">
        <v>2</v>
      </c>
      <c r="AD72">
        <v>1</v>
      </c>
      <c r="AE72" t="s">
        <v>72</v>
      </c>
      <c r="AF72" t="s">
        <v>91</v>
      </c>
      <c r="AG72" t="s">
        <v>147</v>
      </c>
      <c r="AI72">
        <v>11</v>
      </c>
      <c r="AJ72">
        <v>29</v>
      </c>
    </row>
    <row r="73" spans="1:36" x14ac:dyDescent="0.25">
      <c r="A73" t="s">
        <v>508</v>
      </c>
      <c r="B73">
        <v>97</v>
      </c>
      <c r="C73" t="s">
        <v>53</v>
      </c>
      <c r="D73">
        <v>2</v>
      </c>
      <c r="E73">
        <v>1</v>
      </c>
      <c r="F73">
        <v>1</v>
      </c>
      <c r="G73" t="s">
        <v>111</v>
      </c>
      <c r="H73" t="s">
        <v>55</v>
      </c>
      <c r="I73" t="s">
        <v>114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S73" t="s">
        <v>33</v>
      </c>
      <c r="T73">
        <v>3</v>
      </c>
      <c r="V73">
        <v>3</v>
      </c>
      <c r="W73" t="s">
        <v>34</v>
      </c>
      <c r="AA73" t="s">
        <v>38</v>
      </c>
      <c r="AB73">
        <v>1</v>
      </c>
      <c r="AC73">
        <v>1</v>
      </c>
      <c r="AD73">
        <v>1</v>
      </c>
      <c r="AE73" t="s">
        <v>152</v>
      </c>
      <c r="AF73" t="s">
        <v>40</v>
      </c>
      <c r="AI73">
        <v>11</v>
      </c>
      <c r="AJ73">
        <v>27</v>
      </c>
    </row>
    <row r="74" spans="1:36" x14ac:dyDescent="0.25">
      <c r="A74" t="s">
        <v>509</v>
      </c>
      <c r="B74">
        <v>99</v>
      </c>
      <c r="C74" t="s">
        <v>43</v>
      </c>
      <c r="D74">
        <v>1</v>
      </c>
      <c r="F74">
        <v>1</v>
      </c>
      <c r="G74" t="s">
        <v>73</v>
      </c>
      <c r="H74" t="s">
        <v>99</v>
      </c>
      <c r="I74" t="s">
        <v>100</v>
      </c>
      <c r="K74" t="s">
        <v>63</v>
      </c>
      <c r="L74">
        <v>3</v>
      </c>
      <c r="N74">
        <v>1</v>
      </c>
      <c r="O74" t="s">
        <v>72</v>
      </c>
      <c r="P74" t="s">
        <v>91</v>
      </c>
      <c r="S74" t="s">
        <v>53</v>
      </c>
      <c r="T74">
        <v>3</v>
      </c>
      <c r="U74">
        <v>1</v>
      </c>
      <c r="V74">
        <v>1</v>
      </c>
      <c r="W74" t="s">
        <v>111</v>
      </c>
      <c r="X74" t="s">
        <v>55</v>
      </c>
      <c r="Y74" t="s">
        <v>105</v>
      </c>
      <c r="AA74" t="s">
        <v>45</v>
      </c>
      <c r="AB74">
        <v>2</v>
      </c>
      <c r="AD74">
        <v>1</v>
      </c>
      <c r="AE74" t="s">
        <v>86</v>
      </c>
      <c r="AI74">
        <v>10</v>
      </c>
      <c r="AJ74">
        <v>32</v>
      </c>
    </row>
    <row r="75" spans="1:36" x14ac:dyDescent="0.25">
      <c r="A75" t="s">
        <v>510</v>
      </c>
      <c r="B75">
        <v>100</v>
      </c>
      <c r="C75" t="s">
        <v>43</v>
      </c>
      <c r="D75">
        <v>3</v>
      </c>
      <c r="F75">
        <v>2</v>
      </c>
      <c r="G75" t="s">
        <v>135</v>
      </c>
      <c r="H75" t="s">
        <v>74</v>
      </c>
      <c r="I75" t="s">
        <v>100</v>
      </c>
      <c r="K75" t="s">
        <v>38</v>
      </c>
      <c r="L75">
        <v>1</v>
      </c>
      <c r="M75">
        <v>1</v>
      </c>
      <c r="N75">
        <v>1</v>
      </c>
      <c r="O75" t="s">
        <v>152</v>
      </c>
      <c r="P75" t="s">
        <v>70</v>
      </c>
      <c r="Q75" t="s">
        <v>41</v>
      </c>
      <c r="S75" t="s">
        <v>53</v>
      </c>
      <c r="T75">
        <v>1</v>
      </c>
      <c r="U75">
        <v>1</v>
      </c>
      <c r="V75">
        <v>1</v>
      </c>
      <c r="W75" t="s">
        <v>111</v>
      </c>
      <c r="AA75" t="s">
        <v>45</v>
      </c>
      <c r="AB75">
        <v>3</v>
      </c>
      <c r="AD75">
        <v>1</v>
      </c>
      <c r="AE75" t="s">
        <v>140</v>
      </c>
      <c r="AI75">
        <v>9</v>
      </c>
      <c r="AJ75">
        <v>27</v>
      </c>
    </row>
    <row r="76" spans="1:36" x14ac:dyDescent="0.25">
      <c r="A76" t="s">
        <v>511</v>
      </c>
      <c r="B76">
        <v>102</v>
      </c>
      <c r="C76" t="s">
        <v>53</v>
      </c>
      <c r="D76">
        <v>1</v>
      </c>
      <c r="E76">
        <v>1</v>
      </c>
      <c r="F76">
        <v>1</v>
      </c>
      <c r="G76" t="s">
        <v>111</v>
      </c>
      <c r="H76" t="s">
        <v>113</v>
      </c>
      <c r="I76" t="s">
        <v>105</v>
      </c>
      <c r="J76" t="s">
        <v>116</v>
      </c>
      <c r="K76" t="s">
        <v>45</v>
      </c>
      <c r="L76">
        <v>3</v>
      </c>
      <c r="N76">
        <v>1</v>
      </c>
      <c r="O76" t="s">
        <v>86</v>
      </c>
      <c r="S76" t="s">
        <v>63</v>
      </c>
      <c r="T76">
        <v>3</v>
      </c>
      <c r="V76">
        <v>2</v>
      </c>
      <c r="W76" t="s">
        <v>72</v>
      </c>
      <c r="X76" t="s">
        <v>146</v>
      </c>
      <c r="AA76" t="s">
        <v>38</v>
      </c>
      <c r="AB76">
        <v>1</v>
      </c>
      <c r="AC76">
        <v>1</v>
      </c>
      <c r="AD76">
        <v>1</v>
      </c>
      <c r="AE76" t="s">
        <v>152</v>
      </c>
      <c r="AF76" t="s">
        <v>70</v>
      </c>
      <c r="AG76" t="s">
        <v>41</v>
      </c>
      <c r="AI76">
        <v>11</v>
      </c>
      <c r="AJ76">
        <v>41</v>
      </c>
    </row>
    <row r="77" spans="1:36" x14ac:dyDescent="0.25">
      <c r="A77" t="s">
        <v>512</v>
      </c>
      <c r="B77">
        <v>105</v>
      </c>
      <c r="C77" t="s">
        <v>53</v>
      </c>
      <c r="D77">
        <v>2</v>
      </c>
      <c r="E77">
        <v>1</v>
      </c>
      <c r="F77">
        <v>1</v>
      </c>
      <c r="G77" t="s">
        <v>111</v>
      </c>
      <c r="H77" t="s">
        <v>55</v>
      </c>
      <c r="K77" t="s">
        <v>63</v>
      </c>
      <c r="L77">
        <v>3</v>
      </c>
      <c r="N77">
        <v>1</v>
      </c>
      <c r="O77" t="s">
        <v>72</v>
      </c>
      <c r="P77" t="s">
        <v>91</v>
      </c>
      <c r="Q77" t="s">
        <v>104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AA77" t="s">
        <v>48</v>
      </c>
      <c r="AB77">
        <v>3</v>
      </c>
      <c r="AD77">
        <v>1</v>
      </c>
      <c r="AE77" t="s">
        <v>49</v>
      </c>
      <c r="AI77">
        <v>10</v>
      </c>
      <c r="AJ77">
        <v>29</v>
      </c>
    </row>
    <row r="78" spans="1:36" x14ac:dyDescent="0.25">
      <c r="A78" t="s">
        <v>513</v>
      </c>
      <c r="B78">
        <v>106</v>
      </c>
      <c r="C78" t="s">
        <v>53</v>
      </c>
      <c r="D78">
        <v>2</v>
      </c>
      <c r="E78">
        <v>3</v>
      </c>
      <c r="F78">
        <v>2</v>
      </c>
      <c r="G78" t="s">
        <v>111</v>
      </c>
      <c r="K78" t="s">
        <v>63</v>
      </c>
      <c r="L78">
        <v>2</v>
      </c>
      <c r="N78">
        <v>1</v>
      </c>
      <c r="O78" t="s">
        <v>72</v>
      </c>
      <c r="S78" t="s">
        <v>56</v>
      </c>
      <c r="T78">
        <v>3</v>
      </c>
      <c r="V78">
        <v>1</v>
      </c>
      <c r="W78" t="s">
        <v>57</v>
      </c>
      <c r="X78" t="s">
        <v>122</v>
      </c>
      <c r="Y78" t="s">
        <v>85</v>
      </c>
      <c r="AA78" t="s">
        <v>33</v>
      </c>
      <c r="AB78">
        <v>1</v>
      </c>
      <c r="AD78">
        <v>3</v>
      </c>
      <c r="AE78" t="s">
        <v>34</v>
      </c>
      <c r="AF78" t="s">
        <v>35</v>
      </c>
      <c r="AI78">
        <v>12</v>
      </c>
      <c r="AJ78">
        <v>30</v>
      </c>
    </row>
    <row r="79" spans="1:36" x14ac:dyDescent="0.25">
      <c r="A79" t="s">
        <v>514</v>
      </c>
      <c r="B79">
        <v>107</v>
      </c>
      <c r="C79" t="s">
        <v>56</v>
      </c>
      <c r="D79">
        <v>2</v>
      </c>
      <c r="F79">
        <v>1</v>
      </c>
      <c r="G79" t="s">
        <v>57</v>
      </c>
      <c r="H79" t="s">
        <v>122</v>
      </c>
      <c r="K79" t="s">
        <v>43</v>
      </c>
      <c r="L79">
        <v>2</v>
      </c>
      <c r="N79">
        <v>1</v>
      </c>
      <c r="O79" t="s">
        <v>73</v>
      </c>
      <c r="P79" t="s">
        <v>74</v>
      </c>
      <c r="Q79" t="s">
        <v>100</v>
      </c>
      <c r="S79" t="s">
        <v>53</v>
      </c>
      <c r="T79">
        <v>1</v>
      </c>
      <c r="U79">
        <v>1</v>
      </c>
      <c r="V79">
        <v>2</v>
      </c>
      <c r="W79" t="s">
        <v>111</v>
      </c>
      <c r="X79" t="s">
        <v>83</v>
      </c>
      <c r="Y79" t="s">
        <v>105</v>
      </c>
      <c r="AA79" t="s">
        <v>63</v>
      </c>
      <c r="AB79">
        <v>2</v>
      </c>
      <c r="AD79">
        <v>1</v>
      </c>
      <c r="AE79" t="s">
        <v>72</v>
      </c>
      <c r="AF79" t="s">
        <v>95</v>
      </c>
      <c r="AI79">
        <v>10</v>
      </c>
      <c r="AJ79">
        <v>26</v>
      </c>
    </row>
    <row r="80" spans="1:36" x14ac:dyDescent="0.25">
      <c r="A80" t="s">
        <v>515</v>
      </c>
      <c r="B80">
        <v>108</v>
      </c>
      <c r="C80" t="s">
        <v>56</v>
      </c>
      <c r="D80">
        <v>3</v>
      </c>
      <c r="F80">
        <v>2</v>
      </c>
      <c r="G80" t="s">
        <v>57</v>
      </c>
      <c r="H80" t="s">
        <v>122</v>
      </c>
      <c r="I80" t="s">
        <v>85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1</v>
      </c>
      <c r="V80">
        <v>1</v>
      </c>
      <c r="W80" t="s">
        <v>111</v>
      </c>
      <c r="AA80" t="s">
        <v>63</v>
      </c>
      <c r="AB80">
        <v>1</v>
      </c>
      <c r="AD80">
        <v>3</v>
      </c>
      <c r="AE80" t="s">
        <v>72</v>
      </c>
      <c r="AF80" t="s">
        <v>95</v>
      </c>
      <c r="AG80" t="s">
        <v>147</v>
      </c>
      <c r="AI80">
        <v>12</v>
      </c>
      <c r="AJ80">
        <v>30</v>
      </c>
    </row>
    <row r="81" spans="1:36" x14ac:dyDescent="0.25">
      <c r="A81" t="s">
        <v>516</v>
      </c>
      <c r="B81">
        <v>109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2</v>
      </c>
      <c r="M81">
        <v>1</v>
      </c>
      <c r="N81">
        <v>1</v>
      </c>
      <c r="O81" t="s">
        <v>152</v>
      </c>
      <c r="P81" t="s">
        <v>70</v>
      </c>
      <c r="Q81" t="s">
        <v>41</v>
      </c>
      <c r="S81" t="s">
        <v>53</v>
      </c>
      <c r="T81">
        <v>2</v>
      </c>
      <c r="U81">
        <v>1</v>
      </c>
      <c r="V81">
        <v>1</v>
      </c>
      <c r="W81" t="s">
        <v>111</v>
      </c>
      <c r="AA81" t="s">
        <v>63</v>
      </c>
      <c r="AB81">
        <v>2</v>
      </c>
      <c r="AD81">
        <v>1</v>
      </c>
      <c r="AE81" t="s">
        <v>72</v>
      </c>
      <c r="AF81" t="s">
        <v>146</v>
      </c>
      <c r="AG81" t="s">
        <v>104</v>
      </c>
      <c r="AI81">
        <v>11</v>
      </c>
      <c r="AJ81">
        <v>29</v>
      </c>
    </row>
    <row r="82" spans="1:36" x14ac:dyDescent="0.25">
      <c r="A82" t="s">
        <v>517</v>
      </c>
      <c r="B82">
        <v>111</v>
      </c>
      <c r="C82" t="s">
        <v>48</v>
      </c>
      <c r="D82">
        <v>2</v>
      </c>
      <c r="F82">
        <v>1</v>
      </c>
      <c r="G82" t="s">
        <v>49</v>
      </c>
      <c r="H82" t="s">
        <v>71</v>
      </c>
      <c r="I82" t="s">
        <v>51</v>
      </c>
      <c r="K82" t="s">
        <v>33</v>
      </c>
      <c r="L82">
        <v>1</v>
      </c>
      <c r="N82">
        <v>3</v>
      </c>
      <c r="O82" t="s">
        <v>34</v>
      </c>
      <c r="P82" t="s">
        <v>66</v>
      </c>
      <c r="S82" t="s">
        <v>53</v>
      </c>
      <c r="T82">
        <v>1</v>
      </c>
      <c r="U82">
        <v>2</v>
      </c>
      <c r="V82">
        <v>1</v>
      </c>
      <c r="W82" t="s">
        <v>111</v>
      </c>
      <c r="X82" t="s">
        <v>113</v>
      </c>
      <c r="Y82" t="s">
        <v>97</v>
      </c>
      <c r="AA82" t="s">
        <v>63</v>
      </c>
      <c r="AB82">
        <v>1</v>
      </c>
      <c r="AD82">
        <v>1</v>
      </c>
      <c r="AE82" t="s">
        <v>72</v>
      </c>
      <c r="AF82" t="s">
        <v>95</v>
      </c>
      <c r="AI82">
        <v>10</v>
      </c>
      <c r="AJ82">
        <v>30</v>
      </c>
    </row>
    <row r="83" spans="1:36" x14ac:dyDescent="0.25">
      <c r="A83" t="s">
        <v>518</v>
      </c>
      <c r="B83">
        <v>112</v>
      </c>
      <c r="C83" t="s">
        <v>48</v>
      </c>
      <c r="D83">
        <v>2</v>
      </c>
      <c r="F83">
        <v>1</v>
      </c>
      <c r="G83" t="s">
        <v>49</v>
      </c>
      <c r="K83" t="s">
        <v>43</v>
      </c>
      <c r="L83">
        <v>3</v>
      </c>
      <c r="N83">
        <v>2</v>
      </c>
      <c r="O83" t="s">
        <v>73</v>
      </c>
      <c r="P83" t="s">
        <v>74</v>
      </c>
      <c r="Q83" t="s">
        <v>100</v>
      </c>
      <c r="R83" t="s">
        <v>101</v>
      </c>
      <c r="S83" t="s">
        <v>53</v>
      </c>
      <c r="T83">
        <v>3</v>
      </c>
      <c r="U83">
        <v>1</v>
      </c>
      <c r="V83">
        <v>1</v>
      </c>
      <c r="W83" t="s">
        <v>111</v>
      </c>
      <c r="X83" t="s">
        <v>83</v>
      </c>
      <c r="AA83" t="s">
        <v>63</v>
      </c>
      <c r="AB83">
        <v>3</v>
      </c>
      <c r="AD83">
        <v>1</v>
      </c>
      <c r="AE83" t="s">
        <v>72</v>
      </c>
      <c r="AF83" t="s">
        <v>95</v>
      </c>
      <c r="AI83">
        <v>13</v>
      </c>
      <c r="AJ83">
        <v>38</v>
      </c>
    </row>
    <row r="84" spans="1:36" x14ac:dyDescent="0.25">
      <c r="A84" t="s">
        <v>519</v>
      </c>
      <c r="B84">
        <v>113</v>
      </c>
      <c r="C84" t="s">
        <v>48</v>
      </c>
      <c r="D84">
        <v>3</v>
      </c>
      <c r="F84">
        <v>1</v>
      </c>
      <c r="G84" t="s">
        <v>49</v>
      </c>
      <c r="H84" t="s">
        <v>50</v>
      </c>
      <c r="K84" t="s">
        <v>45</v>
      </c>
      <c r="L84">
        <v>3</v>
      </c>
      <c r="N84">
        <v>1</v>
      </c>
      <c r="O84" t="s">
        <v>47</v>
      </c>
      <c r="S84" t="s">
        <v>53</v>
      </c>
      <c r="T84">
        <v>3</v>
      </c>
      <c r="U84">
        <v>1</v>
      </c>
      <c r="V84">
        <v>2</v>
      </c>
      <c r="W84" t="s">
        <v>111</v>
      </c>
      <c r="X84" t="s">
        <v>83</v>
      </c>
      <c r="AA84" t="s">
        <v>63</v>
      </c>
      <c r="AB84">
        <v>2</v>
      </c>
      <c r="AD84">
        <v>1</v>
      </c>
      <c r="AE84" t="s">
        <v>72</v>
      </c>
      <c r="AF84" t="s">
        <v>95</v>
      </c>
      <c r="AG84" t="s">
        <v>104</v>
      </c>
      <c r="AI84">
        <v>12</v>
      </c>
      <c r="AJ84">
        <v>31</v>
      </c>
    </row>
    <row r="85" spans="1:36" x14ac:dyDescent="0.25">
      <c r="A85" t="s">
        <v>520</v>
      </c>
      <c r="B85">
        <v>114</v>
      </c>
      <c r="C85" t="s">
        <v>48</v>
      </c>
      <c r="D85">
        <v>3</v>
      </c>
      <c r="F85">
        <v>1</v>
      </c>
      <c r="G85" t="s">
        <v>49</v>
      </c>
      <c r="K85" t="s">
        <v>38</v>
      </c>
      <c r="L85">
        <v>1</v>
      </c>
      <c r="M85">
        <v>1</v>
      </c>
      <c r="N85">
        <v>1</v>
      </c>
      <c r="O85" t="s">
        <v>152</v>
      </c>
      <c r="P85" t="s">
        <v>70</v>
      </c>
      <c r="S85" t="s">
        <v>53</v>
      </c>
      <c r="T85">
        <v>1</v>
      </c>
      <c r="U85">
        <v>1</v>
      </c>
      <c r="V85">
        <v>1</v>
      </c>
      <c r="W85" t="s">
        <v>111</v>
      </c>
      <c r="AA85" t="s">
        <v>63</v>
      </c>
      <c r="AB85">
        <v>1</v>
      </c>
      <c r="AD85">
        <v>1</v>
      </c>
      <c r="AE85" t="s">
        <v>72</v>
      </c>
      <c r="AF85" t="s">
        <v>95</v>
      </c>
      <c r="AI85">
        <v>4</v>
      </c>
      <c r="AJ85">
        <v>25</v>
      </c>
    </row>
    <row r="86" spans="1:36" x14ac:dyDescent="0.25">
      <c r="A86" t="s">
        <v>521</v>
      </c>
      <c r="B86">
        <v>116</v>
      </c>
      <c r="C86" t="s">
        <v>33</v>
      </c>
      <c r="D86">
        <v>1</v>
      </c>
      <c r="F86">
        <v>3</v>
      </c>
      <c r="G86" t="s">
        <v>34</v>
      </c>
      <c r="H86" t="s">
        <v>66</v>
      </c>
      <c r="K86" t="s">
        <v>43</v>
      </c>
      <c r="L86">
        <v>2</v>
      </c>
      <c r="N86">
        <v>2</v>
      </c>
      <c r="O86" t="s">
        <v>135</v>
      </c>
      <c r="P86" t="s">
        <v>74</v>
      </c>
      <c r="Q86" t="s">
        <v>137</v>
      </c>
      <c r="S86" t="s">
        <v>53</v>
      </c>
      <c r="T86">
        <v>1</v>
      </c>
      <c r="U86">
        <v>3</v>
      </c>
      <c r="V86">
        <v>2</v>
      </c>
      <c r="W86" t="s">
        <v>111</v>
      </c>
      <c r="X86" t="s">
        <v>83</v>
      </c>
      <c r="Y86" t="s">
        <v>97</v>
      </c>
      <c r="AA86" t="s">
        <v>63</v>
      </c>
      <c r="AB86">
        <v>1</v>
      </c>
      <c r="AD86">
        <v>1</v>
      </c>
      <c r="AE86" t="s">
        <v>72</v>
      </c>
      <c r="AF86" t="s">
        <v>95</v>
      </c>
      <c r="AI86">
        <v>13</v>
      </c>
      <c r="AJ86">
        <v>38</v>
      </c>
    </row>
    <row r="87" spans="1:36" x14ac:dyDescent="0.25">
      <c r="A87" t="s">
        <v>522</v>
      </c>
      <c r="B87">
        <v>117</v>
      </c>
      <c r="C87" t="s">
        <v>33</v>
      </c>
      <c r="D87">
        <v>1</v>
      </c>
      <c r="F87">
        <v>3</v>
      </c>
      <c r="G87" t="s">
        <v>34</v>
      </c>
      <c r="K87" t="s">
        <v>45</v>
      </c>
      <c r="L87">
        <v>3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111</v>
      </c>
      <c r="X87" t="s">
        <v>83</v>
      </c>
      <c r="AA87" t="s">
        <v>63</v>
      </c>
      <c r="AB87">
        <v>2</v>
      </c>
      <c r="AD87">
        <v>1</v>
      </c>
      <c r="AE87" t="s">
        <v>72</v>
      </c>
      <c r="AF87" t="s">
        <v>91</v>
      </c>
      <c r="AI87">
        <v>8</v>
      </c>
      <c r="AJ87">
        <v>27</v>
      </c>
    </row>
    <row r="88" spans="1:36" x14ac:dyDescent="0.25">
      <c r="A88" t="s">
        <v>523</v>
      </c>
      <c r="B88">
        <v>118</v>
      </c>
      <c r="C88" t="s">
        <v>33</v>
      </c>
      <c r="D88">
        <v>2</v>
      </c>
      <c r="F88">
        <v>3</v>
      </c>
      <c r="G88" t="s">
        <v>34</v>
      </c>
      <c r="K88" t="s">
        <v>38</v>
      </c>
      <c r="L88">
        <v>2</v>
      </c>
      <c r="M88">
        <v>1</v>
      </c>
      <c r="N88">
        <v>1</v>
      </c>
      <c r="O88" t="s">
        <v>152</v>
      </c>
      <c r="P88" t="s">
        <v>70</v>
      </c>
      <c r="S88" t="s">
        <v>53</v>
      </c>
      <c r="T88">
        <v>3</v>
      </c>
      <c r="U88">
        <v>1</v>
      </c>
      <c r="V88">
        <v>1</v>
      </c>
      <c r="W88" t="s">
        <v>111</v>
      </c>
      <c r="X88" t="s">
        <v>83</v>
      </c>
      <c r="Y88" t="s">
        <v>97</v>
      </c>
      <c r="AA88" t="s">
        <v>63</v>
      </c>
      <c r="AB88">
        <v>1</v>
      </c>
      <c r="AD88">
        <v>1</v>
      </c>
      <c r="AE88" t="s">
        <v>72</v>
      </c>
      <c r="AF88" t="s">
        <v>95</v>
      </c>
      <c r="AI88">
        <v>10</v>
      </c>
      <c r="AJ88">
        <v>33</v>
      </c>
    </row>
    <row r="89" spans="1:36" x14ac:dyDescent="0.25">
      <c r="A89" t="s">
        <v>524</v>
      </c>
      <c r="B89">
        <v>120</v>
      </c>
      <c r="C89" t="s">
        <v>43</v>
      </c>
      <c r="D89">
        <v>1</v>
      </c>
      <c r="F89">
        <v>1</v>
      </c>
      <c r="G89" t="s">
        <v>73</v>
      </c>
      <c r="H89" t="s">
        <v>99</v>
      </c>
      <c r="I89" t="s">
        <v>100</v>
      </c>
      <c r="J89" t="s">
        <v>138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2</v>
      </c>
      <c r="U89">
        <v>3</v>
      </c>
      <c r="V89">
        <v>1</v>
      </c>
      <c r="W89" t="s">
        <v>111</v>
      </c>
      <c r="AA89" t="s">
        <v>63</v>
      </c>
      <c r="AB89">
        <v>2</v>
      </c>
      <c r="AD89">
        <v>1</v>
      </c>
      <c r="AE89" t="s">
        <v>72</v>
      </c>
      <c r="AF89" t="s">
        <v>91</v>
      </c>
      <c r="AI89">
        <v>10</v>
      </c>
      <c r="AJ89">
        <v>29</v>
      </c>
    </row>
    <row r="90" spans="1:36" x14ac:dyDescent="0.25">
      <c r="A90" t="s">
        <v>525</v>
      </c>
      <c r="B90">
        <v>121</v>
      </c>
      <c r="C90" t="s">
        <v>43</v>
      </c>
      <c r="D90">
        <v>3</v>
      </c>
      <c r="F90">
        <v>2</v>
      </c>
      <c r="G90" t="s">
        <v>73</v>
      </c>
      <c r="H90" t="s">
        <v>74</v>
      </c>
      <c r="I90" t="s">
        <v>75</v>
      </c>
      <c r="K90" t="s">
        <v>38</v>
      </c>
      <c r="L90">
        <v>1</v>
      </c>
      <c r="M90">
        <v>1</v>
      </c>
      <c r="N90">
        <v>1</v>
      </c>
      <c r="O90" t="s">
        <v>152</v>
      </c>
      <c r="P90" t="s">
        <v>70</v>
      </c>
      <c r="S90" t="s">
        <v>53</v>
      </c>
      <c r="T90">
        <v>1</v>
      </c>
      <c r="U90">
        <v>1</v>
      </c>
      <c r="V90">
        <v>2</v>
      </c>
      <c r="W90" t="s">
        <v>111</v>
      </c>
      <c r="AA90" t="s">
        <v>63</v>
      </c>
      <c r="AB90">
        <v>3</v>
      </c>
      <c r="AD90">
        <v>1</v>
      </c>
      <c r="AE90" t="s">
        <v>72</v>
      </c>
      <c r="AF90" t="s">
        <v>146</v>
      </c>
      <c r="AI90">
        <v>10</v>
      </c>
      <c r="AJ90">
        <v>29</v>
      </c>
    </row>
    <row r="91" spans="1:36" x14ac:dyDescent="0.25">
      <c r="A91" t="s">
        <v>526</v>
      </c>
      <c r="B91">
        <v>123</v>
      </c>
      <c r="C91" t="s">
        <v>45</v>
      </c>
      <c r="D91">
        <v>3</v>
      </c>
      <c r="F91">
        <v>3</v>
      </c>
      <c r="G91" t="s">
        <v>86</v>
      </c>
      <c r="K91" t="s">
        <v>38</v>
      </c>
      <c r="L91">
        <v>1</v>
      </c>
      <c r="M91">
        <v>1</v>
      </c>
      <c r="N91">
        <v>1</v>
      </c>
      <c r="O91" t="s">
        <v>152</v>
      </c>
      <c r="P91" t="s">
        <v>70</v>
      </c>
      <c r="Q91" t="s">
        <v>41</v>
      </c>
      <c r="R91" t="s">
        <v>155</v>
      </c>
      <c r="S91" t="s">
        <v>53</v>
      </c>
      <c r="T91">
        <v>1</v>
      </c>
      <c r="U91">
        <v>1</v>
      </c>
      <c r="V91">
        <v>1</v>
      </c>
      <c r="W91" t="s">
        <v>111</v>
      </c>
      <c r="AA91" t="s">
        <v>63</v>
      </c>
      <c r="AB91">
        <v>3</v>
      </c>
      <c r="AD91">
        <v>1</v>
      </c>
      <c r="AE91" t="s">
        <v>72</v>
      </c>
      <c r="AF91" t="s">
        <v>146</v>
      </c>
      <c r="AG91" t="s">
        <v>148</v>
      </c>
      <c r="AI91">
        <v>11</v>
      </c>
      <c r="AJ91">
        <v>32</v>
      </c>
    </row>
    <row r="92" spans="1:36" x14ac:dyDescent="0.25">
      <c r="A92" t="s">
        <v>527</v>
      </c>
      <c r="B92">
        <v>126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I92" t="s">
        <v>85</v>
      </c>
      <c r="K92" t="s">
        <v>48</v>
      </c>
      <c r="L92">
        <v>3</v>
      </c>
      <c r="N92">
        <v>2</v>
      </c>
      <c r="O92" t="s">
        <v>49</v>
      </c>
      <c r="P92" t="s">
        <v>71</v>
      </c>
      <c r="Q92" t="s">
        <v>127</v>
      </c>
      <c r="S92" t="s">
        <v>53</v>
      </c>
      <c r="T92">
        <v>3</v>
      </c>
      <c r="U92">
        <v>3</v>
      </c>
      <c r="V92">
        <v>2</v>
      </c>
      <c r="W92" t="s">
        <v>111</v>
      </c>
      <c r="X92" t="s">
        <v>83</v>
      </c>
      <c r="AA92" t="s">
        <v>38</v>
      </c>
      <c r="AB92">
        <v>1</v>
      </c>
      <c r="AC92">
        <v>1</v>
      </c>
      <c r="AD92">
        <v>2</v>
      </c>
      <c r="AE92" t="s">
        <v>152</v>
      </c>
      <c r="AI92">
        <v>14</v>
      </c>
      <c r="AJ92">
        <v>31</v>
      </c>
    </row>
    <row r="93" spans="1:36" x14ac:dyDescent="0.25">
      <c r="A93" t="s">
        <v>528</v>
      </c>
      <c r="B93">
        <v>127</v>
      </c>
      <c r="C93" t="s">
        <v>53</v>
      </c>
      <c r="D93">
        <v>2</v>
      </c>
      <c r="E93">
        <v>3</v>
      </c>
      <c r="F93">
        <v>2</v>
      </c>
      <c r="G93" t="s">
        <v>111</v>
      </c>
      <c r="H93" t="s">
        <v>55</v>
      </c>
      <c r="K93" t="s">
        <v>38</v>
      </c>
      <c r="L93">
        <v>1</v>
      </c>
      <c r="M93">
        <v>1</v>
      </c>
      <c r="N93">
        <v>2</v>
      </c>
      <c r="O93" t="s">
        <v>67</v>
      </c>
      <c r="S93" t="s">
        <v>56</v>
      </c>
      <c r="T93">
        <v>2</v>
      </c>
      <c r="V93">
        <v>1</v>
      </c>
      <c r="W93" t="s">
        <v>57</v>
      </c>
      <c r="X93" t="s">
        <v>122</v>
      </c>
      <c r="AA93" t="s">
        <v>33</v>
      </c>
      <c r="AB93">
        <v>1</v>
      </c>
      <c r="AD93">
        <v>2</v>
      </c>
      <c r="AE93" t="s">
        <v>46</v>
      </c>
      <c r="AI93">
        <v>9</v>
      </c>
      <c r="AJ93">
        <v>25</v>
      </c>
    </row>
    <row r="94" spans="1:36" x14ac:dyDescent="0.25">
      <c r="A94" t="s">
        <v>529</v>
      </c>
      <c r="B94">
        <v>128</v>
      </c>
      <c r="C94" t="s">
        <v>53</v>
      </c>
      <c r="D94">
        <v>2</v>
      </c>
      <c r="E94">
        <v>3</v>
      </c>
      <c r="F94">
        <v>1</v>
      </c>
      <c r="G94" t="s">
        <v>111</v>
      </c>
      <c r="K94" t="s">
        <v>38</v>
      </c>
      <c r="L94">
        <v>1</v>
      </c>
      <c r="M94">
        <v>1</v>
      </c>
      <c r="N94">
        <v>2</v>
      </c>
      <c r="O94" t="s">
        <v>67</v>
      </c>
      <c r="P94" t="s">
        <v>70</v>
      </c>
      <c r="Q94" t="s">
        <v>41</v>
      </c>
      <c r="S94" t="s">
        <v>56</v>
      </c>
      <c r="T94">
        <v>1</v>
      </c>
      <c r="V94">
        <v>1</v>
      </c>
      <c r="W94" t="s">
        <v>57</v>
      </c>
      <c r="X94" t="s">
        <v>121</v>
      </c>
      <c r="AA94" t="s">
        <v>43</v>
      </c>
      <c r="AB94">
        <v>2</v>
      </c>
      <c r="AD94">
        <v>1</v>
      </c>
      <c r="AE94" t="s">
        <v>73</v>
      </c>
      <c r="AF94" t="s">
        <v>74</v>
      </c>
      <c r="AI94">
        <v>9</v>
      </c>
      <c r="AJ94">
        <v>25</v>
      </c>
    </row>
    <row r="95" spans="1:36" x14ac:dyDescent="0.25">
      <c r="A95" t="s">
        <v>530</v>
      </c>
      <c r="B95">
        <v>129</v>
      </c>
      <c r="C95" t="s">
        <v>53</v>
      </c>
      <c r="D95">
        <v>2</v>
      </c>
      <c r="E95">
        <v>1</v>
      </c>
      <c r="F95">
        <v>1</v>
      </c>
      <c r="G95" t="s">
        <v>111</v>
      </c>
      <c r="H95" t="s">
        <v>83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56</v>
      </c>
      <c r="T95">
        <v>3</v>
      </c>
      <c r="V95">
        <v>1</v>
      </c>
      <c r="W95" t="s">
        <v>57</v>
      </c>
      <c r="AA95" t="s">
        <v>45</v>
      </c>
      <c r="AB95">
        <v>2</v>
      </c>
      <c r="AD95">
        <v>1</v>
      </c>
      <c r="AE95" t="s">
        <v>47</v>
      </c>
      <c r="AI95">
        <v>6</v>
      </c>
      <c r="AJ95">
        <v>16</v>
      </c>
    </row>
    <row r="96" spans="1:36" x14ac:dyDescent="0.25">
      <c r="A96" t="s">
        <v>531</v>
      </c>
      <c r="B96">
        <v>130</v>
      </c>
      <c r="C96" t="s">
        <v>53</v>
      </c>
      <c r="D96">
        <v>2</v>
      </c>
      <c r="E96">
        <v>3</v>
      </c>
      <c r="F96">
        <v>1</v>
      </c>
      <c r="G96" t="s">
        <v>111</v>
      </c>
      <c r="H96" t="s">
        <v>83</v>
      </c>
      <c r="K96" t="s">
        <v>38</v>
      </c>
      <c r="L96">
        <v>1</v>
      </c>
      <c r="M96">
        <v>1</v>
      </c>
      <c r="N96">
        <v>1</v>
      </c>
      <c r="O96" t="s">
        <v>152</v>
      </c>
      <c r="S96" t="s">
        <v>56</v>
      </c>
      <c r="T96">
        <v>1</v>
      </c>
      <c r="V96">
        <v>1</v>
      </c>
      <c r="W96" t="s">
        <v>57</v>
      </c>
      <c r="AA96" t="s">
        <v>63</v>
      </c>
      <c r="AB96">
        <v>2</v>
      </c>
      <c r="AD96">
        <v>1</v>
      </c>
      <c r="AE96" t="s">
        <v>72</v>
      </c>
      <c r="AF96" t="s">
        <v>95</v>
      </c>
      <c r="AG96" t="s">
        <v>147</v>
      </c>
      <c r="AI96">
        <v>7</v>
      </c>
      <c r="AJ96">
        <v>27</v>
      </c>
    </row>
    <row r="97" spans="1:36" x14ac:dyDescent="0.25">
      <c r="A97" t="s">
        <v>532</v>
      </c>
      <c r="B97">
        <v>132</v>
      </c>
      <c r="C97" t="s">
        <v>53</v>
      </c>
      <c r="D97">
        <v>3</v>
      </c>
      <c r="E97">
        <v>1</v>
      </c>
      <c r="F97">
        <v>1</v>
      </c>
      <c r="G97" t="s">
        <v>111</v>
      </c>
      <c r="H97" t="s">
        <v>83</v>
      </c>
      <c r="K97" t="s">
        <v>38</v>
      </c>
      <c r="L97">
        <v>1</v>
      </c>
      <c r="M97">
        <v>1</v>
      </c>
      <c r="N97">
        <v>2</v>
      </c>
      <c r="O97" t="s">
        <v>39</v>
      </c>
      <c r="P97" t="s">
        <v>70</v>
      </c>
      <c r="S97" t="s">
        <v>48</v>
      </c>
      <c r="T97">
        <v>3</v>
      </c>
      <c r="V97">
        <v>2</v>
      </c>
      <c r="W97" t="s">
        <v>49</v>
      </c>
      <c r="AA97" t="s">
        <v>33</v>
      </c>
      <c r="AB97">
        <v>1</v>
      </c>
      <c r="AD97">
        <v>1</v>
      </c>
      <c r="AE97" t="s">
        <v>46</v>
      </c>
      <c r="AI97">
        <v>8</v>
      </c>
      <c r="AJ97">
        <v>22</v>
      </c>
    </row>
    <row r="98" spans="1:36" x14ac:dyDescent="0.25">
      <c r="A98" t="s">
        <v>533</v>
      </c>
      <c r="B98">
        <v>133</v>
      </c>
      <c r="C98" t="s">
        <v>53</v>
      </c>
      <c r="D98">
        <v>3</v>
      </c>
      <c r="E98">
        <v>1</v>
      </c>
      <c r="F98">
        <v>1</v>
      </c>
      <c r="G98" t="s">
        <v>111</v>
      </c>
      <c r="H98" t="s">
        <v>83</v>
      </c>
      <c r="K98" t="s">
        <v>38</v>
      </c>
      <c r="L98">
        <v>2</v>
      </c>
      <c r="M98">
        <v>1</v>
      </c>
      <c r="N98">
        <v>2</v>
      </c>
      <c r="O98" t="s">
        <v>67</v>
      </c>
      <c r="P98" t="s">
        <v>70</v>
      </c>
      <c r="S98" t="s">
        <v>48</v>
      </c>
      <c r="T98">
        <v>1</v>
      </c>
      <c r="V98">
        <v>2</v>
      </c>
      <c r="W98" t="s">
        <v>49</v>
      </c>
      <c r="X98" t="s">
        <v>84</v>
      </c>
      <c r="Y98" t="s">
        <v>127</v>
      </c>
      <c r="AA98" t="s">
        <v>43</v>
      </c>
      <c r="AB98">
        <v>1</v>
      </c>
      <c r="AD98">
        <v>1</v>
      </c>
      <c r="AE98" t="s">
        <v>73</v>
      </c>
      <c r="AF98" t="s">
        <v>99</v>
      </c>
      <c r="AI98">
        <v>10</v>
      </c>
      <c r="AJ98">
        <v>26</v>
      </c>
    </row>
    <row r="99" spans="1:36" x14ac:dyDescent="0.25">
      <c r="A99" t="s">
        <v>534</v>
      </c>
      <c r="B99">
        <v>134</v>
      </c>
      <c r="C99" t="s">
        <v>53</v>
      </c>
      <c r="D99">
        <v>3</v>
      </c>
      <c r="E99">
        <v>1</v>
      </c>
      <c r="F99">
        <v>1</v>
      </c>
      <c r="G99" t="s">
        <v>111</v>
      </c>
      <c r="H99" t="s">
        <v>83</v>
      </c>
      <c r="K99" t="s">
        <v>38</v>
      </c>
      <c r="L99">
        <v>2</v>
      </c>
      <c r="M99">
        <v>1</v>
      </c>
      <c r="N99">
        <v>2</v>
      </c>
      <c r="O99" t="s">
        <v>67</v>
      </c>
      <c r="S99" t="s">
        <v>48</v>
      </c>
      <c r="T99">
        <v>3</v>
      </c>
      <c r="V99">
        <v>2</v>
      </c>
      <c r="W99" t="s">
        <v>49</v>
      </c>
      <c r="AA99" t="s">
        <v>45</v>
      </c>
      <c r="AB99">
        <v>3</v>
      </c>
      <c r="AD99">
        <v>1</v>
      </c>
      <c r="AE99" t="s">
        <v>47</v>
      </c>
      <c r="AI99">
        <v>10</v>
      </c>
      <c r="AJ99">
        <v>27</v>
      </c>
    </row>
    <row r="100" spans="1:36" x14ac:dyDescent="0.25">
      <c r="A100" t="s">
        <v>535</v>
      </c>
      <c r="B100">
        <v>135</v>
      </c>
      <c r="C100" t="s">
        <v>53</v>
      </c>
      <c r="D100">
        <v>3</v>
      </c>
      <c r="E100">
        <v>1</v>
      </c>
      <c r="F100">
        <v>1</v>
      </c>
      <c r="G100" t="s">
        <v>54</v>
      </c>
      <c r="K100" t="s">
        <v>38</v>
      </c>
      <c r="L100">
        <v>1</v>
      </c>
      <c r="M100">
        <v>2</v>
      </c>
      <c r="N100">
        <v>2</v>
      </c>
      <c r="O100" t="s">
        <v>152</v>
      </c>
      <c r="S100" t="s">
        <v>48</v>
      </c>
      <c r="T100">
        <v>3</v>
      </c>
      <c r="V100">
        <v>1</v>
      </c>
      <c r="W100" t="s">
        <v>49</v>
      </c>
      <c r="AA100" t="s">
        <v>63</v>
      </c>
      <c r="AB100">
        <v>1</v>
      </c>
      <c r="AD100">
        <v>1</v>
      </c>
      <c r="AE100" t="s">
        <v>103</v>
      </c>
      <c r="AF100" t="s">
        <v>91</v>
      </c>
      <c r="AI100">
        <v>7</v>
      </c>
      <c r="AJ100">
        <v>23</v>
      </c>
    </row>
    <row r="101" spans="1:36" x14ac:dyDescent="0.25">
      <c r="A101" t="s">
        <v>536</v>
      </c>
      <c r="B101">
        <v>137</v>
      </c>
      <c r="C101" t="s">
        <v>53</v>
      </c>
      <c r="D101">
        <v>2</v>
      </c>
      <c r="E101">
        <v>1</v>
      </c>
      <c r="F101">
        <v>1</v>
      </c>
      <c r="G101" t="s">
        <v>111</v>
      </c>
      <c r="K101" t="s">
        <v>38</v>
      </c>
      <c r="L101">
        <v>1</v>
      </c>
      <c r="M101">
        <v>1</v>
      </c>
      <c r="N101">
        <v>2</v>
      </c>
      <c r="O101" t="s">
        <v>39</v>
      </c>
      <c r="P101" t="s">
        <v>70</v>
      </c>
      <c r="Q101" t="s">
        <v>41</v>
      </c>
      <c r="S101" t="s">
        <v>33</v>
      </c>
      <c r="T101">
        <v>1</v>
      </c>
      <c r="V101">
        <v>3</v>
      </c>
      <c r="W101" t="s">
        <v>34</v>
      </c>
      <c r="X101" t="s">
        <v>35</v>
      </c>
      <c r="AA101" t="s">
        <v>43</v>
      </c>
      <c r="AB101">
        <v>1</v>
      </c>
      <c r="AD101">
        <v>1</v>
      </c>
      <c r="AE101" t="s">
        <v>73</v>
      </c>
      <c r="AF101" t="s">
        <v>99</v>
      </c>
      <c r="AI101">
        <v>8</v>
      </c>
      <c r="AJ101">
        <v>23</v>
      </c>
    </row>
    <row r="102" spans="1:36" x14ac:dyDescent="0.25">
      <c r="A102" t="s">
        <v>537</v>
      </c>
      <c r="B102">
        <v>138</v>
      </c>
      <c r="C102" t="s">
        <v>53</v>
      </c>
      <c r="D102">
        <v>3</v>
      </c>
      <c r="E102">
        <v>1</v>
      </c>
      <c r="F102">
        <v>1</v>
      </c>
      <c r="G102" t="s">
        <v>111</v>
      </c>
      <c r="H102" t="s">
        <v>83</v>
      </c>
      <c r="K102" t="s">
        <v>38</v>
      </c>
      <c r="L102">
        <v>2</v>
      </c>
      <c r="M102">
        <v>1</v>
      </c>
      <c r="N102">
        <v>2</v>
      </c>
      <c r="O102" t="s">
        <v>39</v>
      </c>
      <c r="P102" t="s">
        <v>70</v>
      </c>
      <c r="S102" t="s">
        <v>33</v>
      </c>
      <c r="T102">
        <v>2</v>
      </c>
      <c r="V102">
        <v>3</v>
      </c>
      <c r="W102" t="s">
        <v>34</v>
      </c>
      <c r="AA102" t="s">
        <v>45</v>
      </c>
      <c r="AB102">
        <v>2</v>
      </c>
      <c r="AD102">
        <v>1</v>
      </c>
      <c r="AE102" t="s">
        <v>86</v>
      </c>
      <c r="AI102">
        <v>10</v>
      </c>
      <c r="AJ102">
        <v>23</v>
      </c>
    </row>
    <row r="103" spans="1:36" x14ac:dyDescent="0.25">
      <c r="A103" t="s">
        <v>538</v>
      </c>
      <c r="B103">
        <v>139</v>
      </c>
      <c r="C103" t="s">
        <v>33</v>
      </c>
      <c r="D103">
        <v>1</v>
      </c>
      <c r="F103">
        <v>3</v>
      </c>
      <c r="G103" t="s">
        <v>65</v>
      </c>
      <c r="K103" t="s">
        <v>63</v>
      </c>
      <c r="L103">
        <v>1</v>
      </c>
      <c r="N103">
        <v>1</v>
      </c>
      <c r="O103" t="s">
        <v>103</v>
      </c>
      <c r="P103" t="s">
        <v>91</v>
      </c>
      <c r="Q103" t="s">
        <v>147</v>
      </c>
      <c r="S103" t="s">
        <v>53</v>
      </c>
      <c r="T103">
        <v>2</v>
      </c>
      <c r="U103">
        <v>1</v>
      </c>
      <c r="V103">
        <v>1</v>
      </c>
      <c r="W103" t="s">
        <v>111</v>
      </c>
      <c r="AA103" t="s">
        <v>38</v>
      </c>
      <c r="AB103">
        <v>3</v>
      </c>
      <c r="AC103">
        <v>1</v>
      </c>
      <c r="AD103">
        <v>2</v>
      </c>
      <c r="AE103" t="s">
        <v>67</v>
      </c>
      <c r="AI103">
        <v>8</v>
      </c>
      <c r="AJ103">
        <v>26</v>
      </c>
    </row>
    <row r="104" spans="1:36" x14ac:dyDescent="0.25">
      <c r="A104" s="39" t="s">
        <v>539</v>
      </c>
      <c r="B104">
        <v>141</v>
      </c>
      <c r="C104" t="s">
        <v>53</v>
      </c>
      <c r="D104">
        <v>1</v>
      </c>
      <c r="E104">
        <v>1</v>
      </c>
      <c r="F104">
        <v>1</v>
      </c>
      <c r="G104" t="s">
        <v>111</v>
      </c>
      <c r="H104" t="s">
        <v>83</v>
      </c>
      <c r="I104" t="s">
        <v>105</v>
      </c>
      <c r="K104" t="s">
        <v>38</v>
      </c>
      <c r="L104">
        <v>1</v>
      </c>
      <c r="M104">
        <v>1</v>
      </c>
      <c r="N104">
        <v>3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73</v>
      </c>
      <c r="X104" t="s">
        <v>99</v>
      </c>
      <c r="Y104" t="s">
        <v>100</v>
      </c>
      <c r="Z104" t="s">
        <v>101</v>
      </c>
      <c r="AA104" t="s">
        <v>45</v>
      </c>
      <c r="AB104">
        <v>2</v>
      </c>
      <c r="AD104">
        <v>1</v>
      </c>
      <c r="AE104" t="s">
        <v>140</v>
      </c>
      <c r="AI104">
        <v>9</v>
      </c>
      <c r="AJ104">
        <v>37</v>
      </c>
    </row>
    <row r="105" spans="1:36" x14ac:dyDescent="0.25">
      <c r="A105" t="s">
        <v>540</v>
      </c>
      <c r="B105">
        <v>142</v>
      </c>
      <c r="C105" t="s">
        <v>43</v>
      </c>
      <c r="D105">
        <v>1</v>
      </c>
      <c r="F105">
        <v>1</v>
      </c>
      <c r="G105" t="s">
        <v>73</v>
      </c>
      <c r="H105" t="s">
        <v>74</v>
      </c>
      <c r="I105" t="s">
        <v>100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2</v>
      </c>
      <c r="U105">
        <v>1</v>
      </c>
      <c r="V105">
        <v>2</v>
      </c>
      <c r="W105" t="s">
        <v>111</v>
      </c>
      <c r="X105" t="s">
        <v>83</v>
      </c>
      <c r="Y105" t="s">
        <v>97</v>
      </c>
      <c r="AA105" t="s">
        <v>38</v>
      </c>
      <c r="AB105">
        <v>1</v>
      </c>
      <c r="AC105">
        <v>1</v>
      </c>
      <c r="AD105">
        <v>2</v>
      </c>
      <c r="AE105" t="s">
        <v>67</v>
      </c>
      <c r="AF105" t="s">
        <v>70</v>
      </c>
      <c r="AG105" t="s">
        <v>41</v>
      </c>
      <c r="AI105">
        <v>11</v>
      </c>
      <c r="AJ105">
        <v>41</v>
      </c>
    </row>
    <row r="106" spans="1:36" x14ac:dyDescent="0.25">
      <c r="A106" s="39" t="s">
        <v>541</v>
      </c>
      <c r="B106">
        <v>144</v>
      </c>
      <c r="C106" t="s">
        <v>53</v>
      </c>
      <c r="D106">
        <v>3</v>
      </c>
      <c r="E106">
        <v>3</v>
      </c>
      <c r="F106">
        <v>1</v>
      </c>
      <c r="G106" t="s">
        <v>111</v>
      </c>
      <c r="H106" t="s">
        <v>55</v>
      </c>
      <c r="K106" t="s">
        <v>38</v>
      </c>
      <c r="L106">
        <v>1</v>
      </c>
      <c r="M106">
        <v>1</v>
      </c>
      <c r="N106">
        <v>2</v>
      </c>
      <c r="O106" t="s">
        <v>67</v>
      </c>
      <c r="S106" t="s">
        <v>45</v>
      </c>
      <c r="T106">
        <v>2</v>
      </c>
      <c r="V106">
        <v>1</v>
      </c>
      <c r="W106" t="s">
        <v>86</v>
      </c>
      <c r="AA106" t="s">
        <v>63</v>
      </c>
      <c r="AB106">
        <v>3</v>
      </c>
      <c r="AD106">
        <v>1</v>
      </c>
      <c r="AE106" t="s">
        <v>72</v>
      </c>
      <c r="AF106" t="s">
        <v>95</v>
      </c>
      <c r="AG106" t="s">
        <v>104</v>
      </c>
      <c r="AI106">
        <v>11</v>
      </c>
      <c r="AJ106">
        <v>27</v>
      </c>
    </row>
    <row r="107" spans="1:36" x14ac:dyDescent="0.25">
      <c r="A107" t="s">
        <v>542</v>
      </c>
      <c r="B107">
        <v>168</v>
      </c>
      <c r="C107" t="s">
        <v>33</v>
      </c>
      <c r="D107">
        <v>1</v>
      </c>
      <c r="F107">
        <v>2</v>
      </c>
      <c r="G107" t="s">
        <v>46</v>
      </c>
      <c r="H107" t="s">
        <v>35</v>
      </c>
      <c r="K107" t="s">
        <v>43</v>
      </c>
      <c r="L107">
        <v>1</v>
      </c>
      <c r="N107">
        <v>1</v>
      </c>
      <c r="O107" t="s">
        <v>73</v>
      </c>
      <c r="P107" t="s">
        <v>99</v>
      </c>
      <c r="S107" t="s">
        <v>56</v>
      </c>
      <c r="T107">
        <v>2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F107" t="s">
        <v>50</v>
      </c>
      <c r="AI107">
        <v>6</v>
      </c>
      <c r="AJ107">
        <v>18</v>
      </c>
    </row>
    <row r="108" spans="1:36" x14ac:dyDescent="0.25">
      <c r="A108" t="s">
        <v>543</v>
      </c>
      <c r="B108">
        <v>169</v>
      </c>
      <c r="C108" t="s">
        <v>33</v>
      </c>
      <c r="D108">
        <v>1</v>
      </c>
      <c r="F108">
        <v>3</v>
      </c>
      <c r="G108" t="s">
        <v>46</v>
      </c>
      <c r="K108" t="s">
        <v>45</v>
      </c>
      <c r="L108">
        <v>3</v>
      </c>
      <c r="N108">
        <v>1</v>
      </c>
      <c r="O108" t="s">
        <v>140</v>
      </c>
      <c r="S108" t="s">
        <v>56</v>
      </c>
      <c r="T108">
        <v>1</v>
      </c>
      <c r="V108">
        <v>2</v>
      </c>
      <c r="W108" t="s">
        <v>68</v>
      </c>
      <c r="AA108" t="s">
        <v>48</v>
      </c>
      <c r="AB108">
        <v>3</v>
      </c>
      <c r="AD108">
        <v>1</v>
      </c>
      <c r="AE108" t="s">
        <v>89</v>
      </c>
      <c r="AI108">
        <v>7</v>
      </c>
      <c r="AJ108">
        <v>19</v>
      </c>
    </row>
    <row r="109" spans="1:36" x14ac:dyDescent="0.25">
      <c r="A109" t="s">
        <v>544</v>
      </c>
      <c r="B109">
        <v>170</v>
      </c>
      <c r="C109" t="s">
        <v>56</v>
      </c>
      <c r="D109">
        <v>3</v>
      </c>
      <c r="F109">
        <v>1</v>
      </c>
      <c r="G109" t="s">
        <v>68</v>
      </c>
      <c r="H109" t="s">
        <v>69</v>
      </c>
      <c r="K109" t="s">
        <v>48</v>
      </c>
      <c r="L109">
        <v>3</v>
      </c>
      <c r="N109">
        <v>3</v>
      </c>
      <c r="O109" t="s">
        <v>89</v>
      </c>
      <c r="S109" t="s">
        <v>33</v>
      </c>
      <c r="T109">
        <v>1</v>
      </c>
      <c r="V109">
        <v>2</v>
      </c>
      <c r="W109" t="s">
        <v>46</v>
      </c>
      <c r="AA109" t="s">
        <v>63</v>
      </c>
      <c r="AB109">
        <v>2</v>
      </c>
      <c r="AD109">
        <v>1</v>
      </c>
      <c r="AE109" t="s">
        <v>103</v>
      </c>
      <c r="AF109" t="s">
        <v>91</v>
      </c>
      <c r="AG109" t="s">
        <v>147</v>
      </c>
      <c r="AI109">
        <v>11</v>
      </c>
      <c r="AJ109">
        <v>26</v>
      </c>
    </row>
    <row r="110" spans="1:36" x14ac:dyDescent="0.25">
      <c r="A110" t="s">
        <v>545</v>
      </c>
      <c r="B110">
        <v>171</v>
      </c>
      <c r="C110" t="s">
        <v>33</v>
      </c>
      <c r="D110">
        <v>1</v>
      </c>
      <c r="F110">
        <v>3</v>
      </c>
      <c r="G110" t="s">
        <v>46</v>
      </c>
      <c r="H110" t="s">
        <v>35</v>
      </c>
      <c r="K110" t="s">
        <v>38</v>
      </c>
      <c r="L110">
        <v>1</v>
      </c>
      <c r="M110">
        <v>1</v>
      </c>
      <c r="N110">
        <v>2</v>
      </c>
      <c r="O110" t="s">
        <v>152</v>
      </c>
      <c r="P110" t="s">
        <v>70</v>
      </c>
      <c r="S110" t="s">
        <v>56</v>
      </c>
      <c r="T110">
        <v>2</v>
      </c>
      <c r="V110">
        <v>2</v>
      </c>
      <c r="W110" t="s">
        <v>68</v>
      </c>
      <c r="AA110" t="s">
        <v>48</v>
      </c>
      <c r="AB110">
        <v>2</v>
      </c>
      <c r="AD110">
        <v>1</v>
      </c>
      <c r="AE110" t="s">
        <v>89</v>
      </c>
      <c r="AI110">
        <v>8</v>
      </c>
      <c r="AJ110">
        <v>27</v>
      </c>
    </row>
    <row r="111" spans="1:36" x14ac:dyDescent="0.25">
      <c r="A111" t="s">
        <v>546</v>
      </c>
      <c r="B111">
        <v>173</v>
      </c>
      <c r="C111" t="s">
        <v>43</v>
      </c>
      <c r="D111">
        <v>1</v>
      </c>
      <c r="F111">
        <v>1</v>
      </c>
      <c r="G111" t="s">
        <v>73</v>
      </c>
      <c r="H111" t="s">
        <v>99</v>
      </c>
      <c r="I111" t="s">
        <v>75</v>
      </c>
      <c r="J111" t="s">
        <v>101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2</v>
      </c>
      <c r="AD111">
        <v>1</v>
      </c>
      <c r="AE111" t="s">
        <v>89</v>
      </c>
      <c r="AF111" t="s">
        <v>50</v>
      </c>
      <c r="AI111">
        <v>6</v>
      </c>
      <c r="AJ111">
        <v>20</v>
      </c>
    </row>
    <row r="112" spans="1:36" x14ac:dyDescent="0.25">
      <c r="A112" t="s">
        <v>547</v>
      </c>
      <c r="B112">
        <v>174</v>
      </c>
      <c r="C112" t="s">
        <v>43</v>
      </c>
      <c r="D112">
        <v>3</v>
      </c>
      <c r="F112">
        <v>1</v>
      </c>
      <c r="G112" t="s">
        <v>73</v>
      </c>
      <c r="H112" t="s">
        <v>99</v>
      </c>
      <c r="I112" t="s">
        <v>100</v>
      </c>
      <c r="J112" t="s">
        <v>139</v>
      </c>
      <c r="K112" t="s">
        <v>63</v>
      </c>
      <c r="L112">
        <v>1</v>
      </c>
      <c r="N112">
        <v>1</v>
      </c>
      <c r="O112" t="s">
        <v>72</v>
      </c>
      <c r="P112" t="s">
        <v>91</v>
      </c>
      <c r="S112" t="s">
        <v>56</v>
      </c>
      <c r="T112">
        <v>3</v>
      </c>
      <c r="V112">
        <v>2</v>
      </c>
      <c r="W112" t="s">
        <v>68</v>
      </c>
      <c r="AA112" t="s">
        <v>48</v>
      </c>
      <c r="AB112">
        <v>1</v>
      </c>
      <c r="AD112">
        <v>1</v>
      </c>
      <c r="AE112" t="s">
        <v>89</v>
      </c>
      <c r="AF112" t="s">
        <v>50</v>
      </c>
      <c r="AG112" t="s">
        <v>90</v>
      </c>
      <c r="AH112" t="s">
        <v>129</v>
      </c>
      <c r="AI112">
        <v>12</v>
      </c>
      <c r="AJ112">
        <v>35</v>
      </c>
    </row>
    <row r="113" spans="1:36" x14ac:dyDescent="0.25">
      <c r="A113" t="s">
        <v>548</v>
      </c>
      <c r="B113">
        <v>175</v>
      </c>
      <c r="C113" t="s">
        <v>43</v>
      </c>
      <c r="D113">
        <v>3</v>
      </c>
      <c r="F113">
        <v>1</v>
      </c>
      <c r="G113" t="s">
        <v>73</v>
      </c>
      <c r="H113" t="s">
        <v>74</v>
      </c>
      <c r="I113" t="s">
        <v>100</v>
      </c>
      <c r="J113" t="s">
        <v>101</v>
      </c>
      <c r="K113" t="s">
        <v>38</v>
      </c>
      <c r="L113">
        <v>1</v>
      </c>
      <c r="M113">
        <v>1</v>
      </c>
      <c r="N113">
        <v>1</v>
      </c>
      <c r="O113" t="s">
        <v>152</v>
      </c>
      <c r="S113" t="s">
        <v>56</v>
      </c>
      <c r="T113">
        <v>3</v>
      </c>
      <c r="V113">
        <v>3</v>
      </c>
      <c r="W113" t="s">
        <v>68</v>
      </c>
      <c r="X113" t="s">
        <v>121</v>
      </c>
      <c r="Y113" t="s">
        <v>87</v>
      </c>
      <c r="Z113" t="s">
        <v>88</v>
      </c>
      <c r="AA113" t="s">
        <v>48</v>
      </c>
      <c r="AB113">
        <v>2</v>
      </c>
      <c r="AD113">
        <v>1</v>
      </c>
      <c r="AE113" t="s">
        <v>89</v>
      </c>
      <c r="AI113">
        <v>13</v>
      </c>
      <c r="AJ113">
        <v>40</v>
      </c>
    </row>
    <row r="114" spans="1:36" x14ac:dyDescent="0.25">
      <c r="A114" t="s">
        <v>549</v>
      </c>
      <c r="B114">
        <v>177</v>
      </c>
      <c r="C114" t="s">
        <v>56</v>
      </c>
      <c r="D114">
        <v>1</v>
      </c>
      <c r="F114">
        <v>1</v>
      </c>
      <c r="G114" t="s">
        <v>57</v>
      </c>
      <c r="K114" t="s">
        <v>48</v>
      </c>
      <c r="L114">
        <v>3</v>
      </c>
      <c r="N114">
        <v>3</v>
      </c>
      <c r="O114" t="s">
        <v>49</v>
      </c>
      <c r="P114" t="s">
        <v>71</v>
      </c>
      <c r="S114" t="s">
        <v>45</v>
      </c>
      <c r="T114">
        <v>3</v>
      </c>
      <c r="V114">
        <v>1</v>
      </c>
      <c r="W114" t="s">
        <v>86</v>
      </c>
      <c r="AA114" t="s">
        <v>63</v>
      </c>
      <c r="AB114">
        <v>2</v>
      </c>
      <c r="AD114">
        <v>1</v>
      </c>
      <c r="AE114" t="s">
        <v>72</v>
      </c>
      <c r="AI114">
        <v>8</v>
      </c>
      <c r="AJ114">
        <v>24</v>
      </c>
    </row>
    <row r="115" spans="1:36" x14ac:dyDescent="0.25">
      <c r="A115" t="s">
        <v>550</v>
      </c>
      <c r="B115">
        <v>178</v>
      </c>
      <c r="C115" t="s">
        <v>56</v>
      </c>
      <c r="D115">
        <v>1</v>
      </c>
      <c r="F115">
        <v>1</v>
      </c>
      <c r="G115" t="s">
        <v>68</v>
      </c>
      <c r="K115" t="s">
        <v>48</v>
      </c>
      <c r="L115">
        <v>3</v>
      </c>
      <c r="N115">
        <v>3</v>
      </c>
      <c r="O115" t="s">
        <v>89</v>
      </c>
      <c r="P115" t="s">
        <v>71</v>
      </c>
      <c r="S115" t="s">
        <v>45</v>
      </c>
      <c r="T115">
        <v>3</v>
      </c>
      <c r="V115">
        <v>2</v>
      </c>
      <c r="W115" t="s">
        <v>86</v>
      </c>
      <c r="X115" t="s">
        <v>141</v>
      </c>
      <c r="Y115" t="s">
        <v>93</v>
      </c>
      <c r="Z115" t="s">
        <v>144</v>
      </c>
      <c r="AA115" t="s">
        <v>38</v>
      </c>
      <c r="AB115">
        <v>1</v>
      </c>
      <c r="AC115">
        <v>1</v>
      </c>
      <c r="AD115">
        <v>1</v>
      </c>
      <c r="AE115" t="s">
        <v>152</v>
      </c>
      <c r="AI115">
        <v>11</v>
      </c>
      <c r="AJ115">
        <v>27</v>
      </c>
    </row>
    <row r="116" spans="1:36" x14ac:dyDescent="0.25">
      <c r="A116" t="s">
        <v>551</v>
      </c>
      <c r="B116">
        <v>180</v>
      </c>
      <c r="C116" t="s">
        <v>56</v>
      </c>
      <c r="D116">
        <v>2</v>
      </c>
      <c r="F116">
        <v>1</v>
      </c>
      <c r="G116" t="s">
        <v>57</v>
      </c>
      <c r="H116" t="s">
        <v>122</v>
      </c>
      <c r="I116" t="s">
        <v>85</v>
      </c>
      <c r="K116" t="s">
        <v>48</v>
      </c>
      <c r="L116">
        <v>3</v>
      </c>
      <c r="N116">
        <v>1</v>
      </c>
      <c r="O116" t="s">
        <v>49</v>
      </c>
      <c r="S116" t="s">
        <v>63</v>
      </c>
      <c r="T116">
        <v>1</v>
      </c>
      <c r="V116">
        <v>1</v>
      </c>
      <c r="W116" t="s">
        <v>72</v>
      </c>
      <c r="X116" t="s">
        <v>95</v>
      </c>
      <c r="Y116" t="s">
        <v>147</v>
      </c>
      <c r="AA116" t="s">
        <v>38</v>
      </c>
      <c r="AB116">
        <v>1</v>
      </c>
      <c r="AC116">
        <v>1</v>
      </c>
      <c r="AD116">
        <v>2</v>
      </c>
      <c r="AE116" t="s">
        <v>152</v>
      </c>
      <c r="AI116">
        <v>8</v>
      </c>
      <c r="AJ116">
        <v>27</v>
      </c>
    </row>
    <row r="117" spans="1:36" x14ac:dyDescent="0.25">
      <c r="A117" t="s">
        <v>552</v>
      </c>
      <c r="B117">
        <v>183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2</v>
      </c>
      <c r="N117">
        <v>3</v>
      </c>
      <c r="O117" t="s">
        <v>34</v>
      </c>
      <c r="P117" t="s">
        <v>66</v>
      </c>
      <c r="S117" t="s">
        <v>48</v>
      </c>
      <c r="T117">
        <v>3</v>
      </c>
      <c r="V117">
        <v>1</v>
      </c>
      <c r="W117" t="s">
        <v>89</v>
      </c>
      <c r="X117" t="s">
        <v>50</v>
      </c>
      <c r="AA117" t="s">
        <v>43</v>
      </c>
      <c r="AB117">
        <v>3</v>
      </c>
      <c r="AD117">
        <v>1</v>
      </c>
      <c r="AE117" t="s">
        <v>73</v>
      </c>
      <c r="AF117" t="s">
        <v>136</v>
      </c>
      <c r="AI117">
        <v>10</v>
      </c>
      <c r="AJ117">
        <v>24</v>
      </c>
    </row>
    <row r="118" spans="1:36" x14ac:dyDescent="0.25">
      <c r="A118" t="s">
        <v>553</v>
      </c>
      <c r="B118">
        <v>184</v>
      </c>
      <c r="C118" t="s">
        <v>48</v>
      </c>
      <c r="D118">
        <v>3</v>
      </c>
      <c r="F118">
        <v>1</v>
      </c>
      <c r="G118" t="s">
        <v>89</v>
      </c>
      <c r="K118" t="s">
        <v>45</v>
      </c>
      <c r="L118">
        <v>2</v>
      </c>
      <c r="N118">
        <v>1</v>
      </c>
      <c r="O118" t="s">
        <v>140</v>
      </c>
      <c r="P118" t="s">
        <v>141</v>
      </c>
      <c r="Q118" t="s">
        <v>102</v>
      </c>
      <c r="R118" t="s">
        <v>94</v>
      </c>
      <c r="S118" t="s">
        <v>56</v>
      </c>
      <c r="T118">
        <v>1</v>
      </c>
      <c r="V118">
        <v>2</v>
      </c>
      <c r="W118" t="s">
        <v>68</v>
      </c>
      <c r="AA118" t="s">
        <v>33</v>
      </c>
      <c r="AB118">
        <v>1</v>
      </c>
      <c r="AD118">
        <v>3</v>
      </c>
      <c r="AE118" t="s">
        <v>46</v>
      </c>
      <c r="AI118">
        <v>9</v>
      </c>
      <c r="AJ118">
        <v>26</v>
      </c>
    </row>
    <row r="119" spans="1:36" x14ac:dyDescent="0.25">
      <c r="A119" t="s">
        <v>554</v>
      </c>
      <c r="B119">
        <v>185</v>
      </c>
      <c r="C119" t="s">
        <v>56</v>
      </c>
      <c r="D119">
        <v>2</v>
      </c>
      <c r="F119">
        <v>1</v>
      </c>
      <c r="G119" t="s">
        <v>57</v>
      </c>
      <c r="H119" t="s">
        <v>122</v>
      </c>
      <c r="I119" t="s">
        <v>85</v>
      </c>
      <c r="K119" t="s">
        <v>33</v>
      </c>
      <c r="L119">
        <v>1</v>
      </c>
      <c r="N119">
        <v>2</v>
      </c>
      <c r="O119" t="s">
        <v>46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3</v>
      </c>
      <c r="AD119">
        <v>1</v>
      </c>
      <c r="AE119" t="s">
        <v>72</v>
      </c>
      <c r="AF119" t="s">
        <v>91</v>
      </c>
      <c r="AI119">
        <v>8</v>
      </c>
      <c r="AJ119">
        <v>21</v>
      </c>
    </row>
    <row r="120" spans="1:36" x14ac:dyDescent="0.25">
      <c r="A120" t="s">
        <v>555</v>
      </c>
      <c r="B120">
        <v>186</v>
      </c>
      <c r="C120" t="s">
        <v>48</v>
      </c>
      <c r="D120">
        <v>3</v>
      </c>
      <c r="F120">
        <v>2</v>
      </c>
      <c r="G120" t="s">
        <v>89</v>
      </c>
      <c r="H120" t="s">
        <v>84</v>
      </c>
      <c r="K120" t="s">
        <v>38</v>
      </c>
      <c r="L120">
        <v>1</v>
      </c>
      <c r="M120">
        <v>1</v>
      </c>
      <c r="N120">
        <v>2</v>
      </c>
      <c r="O120" t="s">
        <v>67</v>
      </c>
      <c r="S120" t="s">
        <v>56</v>
      </c>
      <c r="T120">
        <v>3</v>
      </c>
      <c r="V120">
        <v>2</v>
      </c>
      <c r="W120" t="s">
        <v>68</v>
      </c>
      <c r="AA120" t="s">
        <v>33</v>
      </c>
      <c r="AB120">
        <v>1</v>
      </c>
      <c r="AD120">
        <v>2</v>
      </c>
      <c r="AE120" t="s">
        <v>46</v>
      </c>
      <c r="AI120">
        <v>9</v>
      </c>
      <c r="AJ120">
        <v>29</v>
      </c>
    </row>
    <row r="121" spans="1:36" x14ac:dyDescent="0.25">
      <c r="A121" t="s">
        <v>556</v>
      </c>
      <c r="B121">
        <v>188</v>
      </c>
      <c r="C121" t="s">
        <v>43</v>
      </c>
      <c r="D121">
        <v>2</v>
      </c>
      <c r="F121">
        <v>1</v>
      </c>
      <c r="G121" t="s">
        <v>135</v>
      </c>
      <c r="H121" t="s">
        <v>136</v>
      </c>
      <c r="K121" t="s">
        <v>45</v>
      </c>
      <c r="L121">
        <v>2</v>
      </c>
      <c r="N121">
        <v>1</v>
      </c>
      <c r="O121" t="s">
        <v>140</v>
      </c>
      <c r="S121" t="s">
        <v>56</v>
      </c>
      <c r="T121">
        <v>2</v>
      </c>
      <c r="V121">
        <v>1</v>
      </c>
      <c r="W121" t="s">
        <v>68</v>
      </c>
      <c r="AA121" t="s">
        <v>33</v>
      </c>
      <c r="AB121">
        <v>1</v>
      </c>
      <c r="AD121">
        <v>3</v>
      </c>
      <c r="AE121" t="s">
        <v>34</v>
      </c>
      <c r="AI121">
        <v>6</v>
      </c>
      <c r="AJ121">
        <v>27</v>
      </c>
    </row>
    <row r="122" spans="1:36" x14ac:dyDescent="0.25">
      <c r="A122" t="s">
        <v>557</v>
      </c>
      <c r="B122">
        <v>189</v>
      </c>
      <c r="C122" t="s">
        <v>56</v>
      </c>
      <c r="D122">
        <v>2</v>
      </c>
      <c r="F122">
        <v>1</v>
      </c>
      <c r="G122" t="s">
        <v>68</v>
      </c>
      <c r="K122" t="s">
        <v>33</v>
      </c>
      <c r="L122">
        <v>1</v>
      </c>
      <c r="N122">
        <v>3</v>
      </c>
      <c r="O122" t="s">
        <v>34</v>
      </c>
      <c r="S122" t="s">
        <v>43</v>
      </c>
      <c r="T122">
        <v>1</v>
      </c>
      <c r="V122">
        <v>1</v>
      </c>
      <c r="W122" t="s">
        <v>73</v>
      </c>
      <c r="X122" t="s">
        <v>136</v>
      </c>
      <c r="Y122" t="s">
        <v>75</v>
      </c>
      <c r="AA122" t="s">
        <v>63</v>
      </c>
      <c r="AB122">
        <v>2</v>
      </c>
      <c r="AD122">
        <v>1</v>
      </c>
      <c r="AE122" t="s">
        <v>72</v>
      </c>
      <c r="AF122" t="s">
        <v>95</v>
      </c>
      <c r="AI122">
        <v>7</v>
      </c>
      <c r="AJ122">
        <v>20</v>
      </c>
    </row>
    <row r="123" spans="1:36" x14ac:dyDescent="0.25">
      <c r="A123" t="s">
        <v>558</v>
      </c>
      <c r="B123">
        <v>190</v>
      </c>
      <c r="C123" t="s">
        <v>43</v>
      </c>
      <c r="D123">
        <v>2</v>
      </c>
      <c r="F123">
        <v>1</v>
      </c>
      <c r="G123" t="s">
        <v>73</v>
      </c>
      <c r="H123" t="s">
        <v>74</v>
      </c>
      <c r="I123" t="s">
        <v>100</v>
      </c>
      <c r="J123" t="s">
        <v>139</v>
      </c>
      <c r="K123" t="s">
        <v>38</v>
      </c>
      <c r="L123">
        <v>1</v>
      </c>
      <c r="M123">
        <v>1</v>
      </c>
      <c r="N123">
        <v>2</v>
      </c>
      <c r="O123" t="s">
        <v>67</v>
      </c>
      <c r="S123" t="s">
        <v>56</v>
      </c>
      <c r="T123">
        <v>3</v>
      </c>
      <c r="V123">
        <v>1</v>
      </c>
      <c r="W123" t="s">
        <v>68</v>
      </c>
      <c r="AA123" t="s">
        <v>33</v>
      </c>
      <c r="AB123">
        <v>1</v>
      </c>
      <c r="AD123">
        <v>2</v>
      </c>
      <c r="AE123" t="s">
        <v>34</v>
      </c>
      <c r="AI123">
        <v>8</v>
      </c>
      <c r="AJ123">
        <v>21</v>
      </c>
    </row>
    <row r="124" spans="1:36" x14ac:dyDescent="0.25">
      <c r="A124" t="s">
        <v>559</v>
      </c>
      <c r="B124">
        <v>192</v>
      </c>
      <c r="C124" t="s">
        <v>45</v>
      </c>
      <c r="D124">
        <v>2</v>
      </c>
      <c r="F124">
        <v>1</v>
      </c>
      <c r="G124" t="s">
        <v>140</v>
      </c>
      <c r="K124" t="s">
        <v>63</v>
      </c>
      <c r="L124">
        <v>2</v>
      </c>
      <c r="N124">
        <v>1</v>
      </c>
      <c r="O124" t="s">
        <v>72</v>
      </c>
      <c r="P124" t="s">
        <v>95</v>
      </c>
      <c r="Q124" t="s">
        <v>104</v>
      </c>
      <c r="S124" t="s">
        <v>56</v>
      </c>
      <c r="T124">
        <v>1</v>
      </c>
      <c r="V124">
        <v>3</v>
      </c>
      <c r="W124" t="s">
        <v>68</v>
      </c>
      <c r="AA124" t="s">
        <v>33</v>
      </c>
      <c r="AB124">
        <v>1</v>
      </c>
      <c r="AD124">
        <v>3</v>
      </c>
      <c r="AE124" t="s">
        <v>34</v>
      </c>
      <c r="AI124">
        <v>8</v>
      </c>
      <c r="AJ124">
        <v>27</v>
      </c>
    </row>
    <row r="125" spans="1:36" x14ac:dyDescent="0.25">
      <c r="A125" s="39" t="s">
        <v>560</v>
      </c>
      <c r="B125">
        <v>193</v>
      </c>
      <c r="C125" t="s">
        <v>45</v>
      </c>
      <c r="D125">
        <v>2</v>
      </c>
      <c r="F125">
        <v>1</v>
      </c>
      <c r="G125" t="s">
        <v>140</v>
      </c>
      <c r="H125" t="s">
        <v>141</v>
      </c>
      <c r="I125" t="s">
        <v>102</v>
      </c>
      <c r="K125" t="s">
        <v>38</v>
      </c>
      <c r="L125">
        <v>1</v>
      </c>
      <c r="M125">
        <v>1</v>
      </c>
      <c r="N125">
        <v>2</v>
      </c>
      <c r="O125" t="s">
        <v>39</v>
      </c>
      <c r="P125" t="s">
        <v>70</v>
      </c>
      <c r="Q125" t="s">
        <v>153</v>
      </c>
      <c r="R125" t="s">
        <v>155</v>
      </c>
      <c r="S125" t="s">
        <v>56</v>
      </c>
      <c r="T125">
        <v>2</v>
      </c>
      <c r="V125">
        <v>1</v>
      </c>
      <c r="W125" t="s">
        <v>68</v>
      </c>
      <c r="X125" t="s">
        <v>121</v>
      </c>
      <c r="Y125" t="s">
        <v>123</v>
      </c>
      <c r="Z125" t="s">
        <v>88</v>
      </c>
      <c r="AA125" t="s">
        <v>33</v>
      </c>
      <c r="AB125">
        <v>1</v>
      </c>
      <c r="AD125">
        <v>2</v>
      </c>
      <c r="AE125" t="s">
        <v>46</v>
      </c>
      <c r="AI125">
        <v>12</v>
      </c>
      <c r="AJ125">
        <v>45</v>
      </c>
    </row>
    <row r="126" spans="1:36" x14ac:dyDescent="0.25">
      <c r="A126" t="s">
        <v>561</v>
      </c>
      <c r="B126">
        <v>195</v>
      </c>
      <c r="C126" t="s">
        <v>63</v>
      </c>
      <c r="D126">
        <v>1</v>
      </c>
      <c r="F126">
        <v>1</v>
      </c>
      <c r="G126" t="s">
        <v>72</v>
      </c>
      <c r="H126" t="s">
        <v>146</v>
      </c>
      <c r="K126" t="s">
        <v>38</v>
      </c>
      <c r="L126">
        <v>1</v>
      </c>
      <c r="M126">
        <v>1</v>
      </c>
      <c r="N126">
        <v>2</v>
      </c>
      <c r="O126" t="s">
        <v>67</v>
      </c>
      <c r="P126" t="s">
        <v>70</v>
      </c>
      <c r="S126" t="s">
        <v>56</v>
      </c>
      <c r="T126">
        <v>2</v>
      </c>
      <c r="V126">
        <v>1</v>
      </c>
      <c r="W126" t="s">
        <v>57</v>
      </c>
      <c r="X126" t="s">
        <v>122</v>
      </c>
      <c r="AA126" t="s">
        <v>33</v>
      </c>
      <c r="AB126">
        <v>1</v>
      </c>
      <c r="AD126">
        <v>2</v>
      </c>
      <c r="AE126" t="s">
        <v>46</v>
      </c>
      <c r="AI126">
        <v>6</v>
      </c>
      <c r="AJ126">
        <v>23</v>
      </c>
    </row>
    <row r="127" spans="1:36" x14ac:dyDescent="0.25">
      <c r="A127" t="s">
        <v>562</v>
      </c>
      <c r="B127">
        <v>198</v>
      </c>
      <c r="C127" t="s">
        <v>48</v>
      </c>
      <c r="D127">
        <v>3</v>
      </c>
      <c r="F127">
        <v>1</v>
      </c>
      <c r="G127" t="s">
        <v>89</v>
      </c>
      <c r="H127" t="s">
        <v>71</v>
      </c>
      <c r="K127" t="s">
        <v>33</v>
      </c>
      <c r="L127">
        <v>1</v>
      </c>
      <c r="N127">
        <v>3</v>
      </c>
      <c r="O127" t="s">
        <v>34</v>
      </c>
      <c r="S127" t="s">
        <v>56</v>
      </c>
      <c r="T127">
        <v>1</v>
      </c>
      <c r="V127">
        <v>1</v>
      </c>
      <c r="W127" t="s">
        <v>68</v>
      </c>
      <c r="AA127" t="s">
        <v>43</v>
      </c>
      <c r="AB127">
        <v>2</v>
      </c>
      <c r="AD127">
        <v>1</v>
      </c>
      <c r="AE127" t="s">
        <v>73</v>
      </c>
      <c r="AF127" t="s">
        <v>136</v>
      </c>
      <c r="AG127" t="s">
        <v>75</v>
      </c>
      <c r="AI127">
        <v>8</v>
      </c>
      <c r="AJ127">
        <v>24</v>
      </c>
    </row>
    <row r="128" spans="1:36" x14ac:dyDescent="0.25">
      <c r="A128" s="39" t="s">
        <v>563</v>
      </c>
      <c r="B128">
        <v>199</v>
      </c>
      <c r="C128" t="s">
        <v>56</v>
      </c>
      <c r="D128">
        <v>2</v>
      </c>
      <c r="F128">
        <v>3</v>
      </c>
      <c r="G128" t="s">
        <v>68</v>
      </c>
      <c r="K128" t="s">
        <v>43</v>
      </c>
      <c r="L128">
        <v>1</v>
      </c>
      <c r="N128">
        <v>1</v>
      </c>
      <c r="O128" t="s">
        <v>73</v>
      </c>
      <c r="P128" t="s">
        <v>99</v>
      </c>
      <c r="Q128" t="s">
        <v>137</v>
      </c>
      <c r="S128" t="s">
        <v>48</v>
      </c>
      <c r="T128">
        <v>3</v>
      </c>
      <c r="V128">
        <v>1</v>
      </c>
      <c r="W128" t="s">
        <v>89</v>
      </c>
      <c r="AA128" t="s">
        <v>45</v>
      </c>
      <c r="AB128">
        <v>3</v>
      </c>
      <c r="AD128">
        <v>2</v>
      </c>
      <c r="AE128" t="s">
        <v>86</v>
      </c>
      <c r="AI128">
        <v>10</v>
      </c>
      <c r="AJ128">
        <v>28</v>
      </c>
    </row>
    <row r="129" spans="1:36" x14ac:dyDescent="0.25">
      <c r="A129" t="s">
        <v>564</v>
      </c>
      <c r="B129">
        <v>200</v>
      </c>
      <c r="C129" t="s">
        <v>48</v>
      </c>
      <c r="D129">
        <v>3</v>
      </c>
      <c r="F129">
        <v>3</v>
      </c>
      <c r="G129" t="s">
        <v>89</v>
      </c>
      <c r="H129" t="s">
        <v>84</v>
      </c>
      <c r="I129" t="s">
        <v>90</v>
      </c>
      <c r="J129" t="s">
        <v>128</v>
      </c>
      <c r="K129" t="s">
        <v>63</v>
      </c>
      <c r="L129">
        <v>1</v>
      </c>
      <c r="N129">
        <v>1</v>
      </c>
      <c r="O129" t="s">
        <v>72</v>
      </c>
      <c r="P129" t="s">
        <v>146</v>
      </c>
      <c r="S129" t="s">
        <v>56</v>
      </c>
      <c r="T129">
        <v>3</v>
      </c>
      <c r="V129">
        <v>1</v>
      </c>
      <c r="W129" t="s">
        <v>57</v>
      </c>
      <c r="X129" t="s">
        <v>122</v>
      </c>
      <c r="AA129" t="s">
        <v>43</v>
      </c>
      <c r="AB129">
        <v>3</v>
      </c>
      <c r="AD129">
        <v>1</v>
      </c>
      <c r="AE129" t="s">
        <v>73</v>
      </c>
      <c r="AF129" t="s">
        <v>74</v>
      </c>
      <c r="AG129" t="s">
        <v>75</v>
      </c>
      <c r="AH129" t="s">
        <v>101</v>
      </c>
      <c r="AI129">
        <v>16</v>
      </c>
      <c r="AJ129">
        <v>42</v>
      </c>
    </row>
    <row r="130" spans="1:36" x14ac:dyDescent="0.25">
      <c r="A130" t="s">
        <v>565</v>
      </c>
      <c r="B130">
        <v>201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1</v>
      </c>
      <c r="M130">
        <v>1</v>
      </c>
      <c r="N130">
        <v>2</v>
      </c>
      <c r="O130" t="s">
        <v>67</v>
      </c>
      <c r="P130" t="s">
        <v>70</v>
      </c>
      <c r="S130" t="s">
        <v>56</v>
      </c>
      <c r="T130">
        <v>2</v>
      </c>
      <c r="V130">
        <v>1</v>
      </c>
      <c r="W130" t="s">
        <v>57</v>
      </c>
      <c r="X130" t="s">
        <v>122</v>
      </c>
      <c r="AA130" t="s">
        <v>43</v>
      </c>
      <c r="AB130">
        <v>1</v>
      </c>
      <c r="AD130">
        <v>1</v>
      </c>
      <c r="AE130" t="s">
        <v>73</v>
      </c>
      <c r="AF130" t="s">
        <v>74</v>
      </c>
      <c r="AG130" t="s">
        <v>100</v>
      </c>
      <c r="AI130">
        <v>9</v>
      </c>
      <c r="AJ130">
        <v>32</v>
      </c>
    </row>
    <row r="131" spans="1:36" x14ac:dyDescent="0.25">
      <c r="A131" t="s">
        <v>566</v>
      </c>
      <c r="B131">
        <v>203</v>
      </c>
      <c r="C131" t="s">
        <v>33</v>
      </c>
      <c r="D131">
        <v>2</v>
      </c>
      <c r="F131">
        <v>2</v>
      </c>
      <c r="G131" t="s">
        <v>34</v>
      </c>
      <c r="H131" t="s">
        <v>66</v>
      </c>
      <c r="K131" t="s">
        <v>45</v>
      </c>
      <c r="L131">
        <v>2</v>
      </c>
      <c r="N131">
        <v>1</v>
      </c>
      <c r="O131" t="s">
        <v>140</v>
      </c>
      <c r="S131" t="s">
        <v>56</v>
      </c>
      <c r="T131">
        <v>2</v>
      </c>
      <c r="V131">
        <v>2</v>
      </c>
      <c r="W131" t="s">
        <v>68</v>
      </c>
      <c r="X131" t="s">
        <v>121</v>
      </c>
      <c r="AA131" t="s">
        <v>43</v>
      </c>
      <c r="AB131">
        <v>1</v>
      </c>
      <c r="AD131">
        <v>1</v>
      </c>
      <c r="AE131" t="s">
        <v>73</v>
      </c>
      <c r="AF131" t="s">
        <v>136</v>
      </c>
      <c r="AG131" t="s">
        <v>100</v>
      </c>
      <c r="AH131" t="s">
        <v>101</v>
      </c>
      <c r="AI131">
        <v>10</v>
      </c>
      <c r="AJ131">
        <v>33</v>
      </c>
    </row>
    <row r="132" spans="1:36" x14ac:dyDescent="0.25">
      <c r="A132" t="s">
        <v>567</v>
      </c>
      <c r="B132">
        <v>204</v>
      </c>
      <c r="C132" t="s">
        <v>56</v>
      </c>
      <c r="D132">
        <v>2</v>
      </c>
      <c r="F132">
        <v>1</v>
      </c>
      <c r="G132" t="s">
        <v>68</v>
      </c>
      <c r="H132" t="s">
        <v>122</v>
      </c>
      <c r="K132" t="s">
        <v>43</v>
      </c>
      <c r="L132">
        <v>2</v>
      </c>
      <c r="N132">
        <v>1</v>
      </c>
      <c r="O132" t="s">
        <v>73</v>
      </c>
      <c r="P132" t="s">
        <v>136</v>
      </c>
      <c r="Q132" t="s">
        <v>100</v>
      </c>
      <c r="R132" t="s">
        <v>139</v>
      </c>
      <c r="S132" t="s">
        <v>33</v>
      </c>
      <c r="T132">
        <v>1</v>
      </c>
      <c r="V132">
        <v>2</v>
      </c>
      <c r="W132" t="s">
        <v>34</v>
      </c>
      <c r="AA132" t="s">
        <v>63</v>
      </c>
      <c r="AB132">
        <v>3</v>
      </c>
      <c r="AD132">
        <v>1</v>
      </c>
      <c r="AE132" t="s">
        <v>72</v>
      </c>
      <c r="AF132" t="s">
        <v>95</v>
      </c>
      <c r="AI132">
        <v>10</v>
      </c>
      <c r="AJ132">
        <v>30</v>
      </c>
    </row>
    <row r="133" spans="1:36" x14ac:dyDescent="0.25">
      <c r="A133" t="s">
        <v>568</v>
      </c>
      <c r="B133">
        <v>205</v>
      </c>
      <c r="C133" t="s">
        <v>33</v>
      </c>
      <c r="D133">
        <v>3</v>
      </c>
      <c r="F133">
        <v>3</v>
      </c>
      <c r="G133" t="s">
        <v>34</v>
      </c>
      <c r="H133" t="s">
        <v>66</v>
      </c>
      <c r="K133" t="s">
        <v>38</v>
      </c>
      <c r="L133">
        <v>1</v>
      </c>
      <c r="M133">
        <v>1</v>
      </c>
      <c r="N133">
        <v>1</v>
      </c>
      <c r="O133" t="s">
        <v>67</v>
      </c>
      <c r="S133" t="s">
        <v>56</v>
      </c>
      <c r="T133">
        <v>1</v>
      </c>
      <c r="V133">
        <v>1</v>
      </c>
      <c r="W133" t="s">
        <v>68</v>
      </c>
      <c r="AA133" t="s">
        <v>43</v>
      </c>
      <c r="AB133">
        <v>3</v>
      </c>
      <c r="AD133">
        <v>1</v>
      </c>
      <c r="AE133" t="s">
        <v>73</v>
      </c>
      <c r="AF133" t="s">
        <v>136</v>
      </c>
      <c r="AG133" t="s">
        <v>137</v>
      </c>
      <c r="AH133" t="s">
        <v>101</v>
      </c>
      <c r="AI133">
        <v>10</v>
      </c>
      <c r="AJ133">
        <v>29</v>
      </c>
    </row>
    <row r="134" spans="1:36" x14ac:dyDescent="0.25">
      <c r="A134" t="s">
        <v>569</v>
      </c>
      <c r="B134">
        <v>207</v>
      </c>
      <c r="C134" t="s">
        <v>56</v>
      </c>
      <c r="D134">
        <v>1</v>
      </c>
      <c r="F134">
        <v>1</v>
      </c>
      <c r="G134" t="s">
        <v>68</v>
      </c>
      <c r="H134" t="s">
        <v>122</v>
      </c>
      <c r="K134" t="s">
        <v>43</v>
      </c>
      <c r="L134">
        <v>2</v>
      </c>
      <c r="N134">
        <v>1</v>
      </c>
      <c r="O134" t="s">
        <v>73</v>
      </c>
      <c r="P134" t="s">
        <v>99</v>
      </c>
      <c r="Q134" t="s">
        <v>75</v>
      </c>
      <c r="R134" t="s">
        <v>139</v>
      </c>
      <c r="S134" t="s">
        <v>45</v>
      </c>
      <c r="T134">
        <v>3</v>
      </c>
      <c r="V134">
        <v>1</v>
      </c>
      <c r="W134" t="s">
        <v>86</v>
      </c>
      <c r="AA134" t="s">
        <v>63</v>
      </c>
      <c r="AB134">
        <v>2</v>
      </c>
      <c r="AD134">
        <v>1</v>
      </c>
      <c r="AE134" t="s">
        <v>72</v>
      </c>
      <c r="AF134" t="s">
        <v>91</v>
      </c>
      <c r="AG134" t="s">
        <v>148</v>
      </c>
      <c r="AI134">
        <v>10</v>
      </c>
      <c r="AJ134">
        <v>29</v>
      </c>
    </row>
    <row r="135" spans="1:36" x14ac:dyDescent="0.25">
      <c r="A135" t="s">
        <v>570</v>
      </c>
      <c r="B135">
        <v>208</v>
      </c>
      <c r="C135" t="s">
        <v>45</v>
      </c>
      <c r="D135">
        <v>3</v>
      </c>
      <c r="F135">
        <v>2</v>
      </c>
      <c r="G135" t="s">
        <v>140</v>
      </c>
      <c r="K135" t="s">
        <v>38</v>
      </c>
      <c r="L135">
        <v>2</v>
      </c>
      <c r="M135">
        <v>1</v>
      </c>
      <c r="N135">
        <v>1</v>
      </c>
      <c r="O135" t="s">
        <v>152</v>
      </c>
      <c r="P135" t="s">
        <v>70</v>
      </c>
      <c r="S135" t="s">
        <v>56</v>
      </c>
      <c r="T135">
        <v>2</v>
      </c>
      <c r="V135">
        <v>1</v>
      </c>
      <c r="W135" t="s">
        <v>68</v>
      </c>
      <c r="AA135" t="s">
        <v>43</v>
      </c>
      <c r="AB135">
        <v>1</v>
      </c>
      <c r="AD135">
        <v>2</v>
      </c>
      <c r="AE135" t="s">
        <v>73</v>
      </c>
      <c r="AF135" t="s">
        <v>74</v>
      </c>
      <c r="AG135" t="s">
        <v>100</v>
      </c>
      <c r="AI135">
        <v>9</v>
      </c>
      <c r="AJ135">
        <v>29</v>
      </c>
    </row>
    <row r="136" spans="1:36" x14ac:dyDescent="0.25">
      <c r="A136" t="s">
        <v>571</v>
      </c>
      <c r="B136">
        <v>210</v>
      </c>
      <c r="C136" t="s">
        <v>63</v>
      </c>
      <c r="D136">
        <v>2</v>
      </c>
      <c r="F136">
        <v>1</v>
      </c>
      <c r="G136" t="s">
        <v>72</v>
      </c>
      <c r="H136" t="s">
        <v>95</v>
      </c>
      <c r="K136" t="s">
        <v>38</v>
      </c>
      <c r="L136">
        <v>2</v>
      </c>
      <c r="M136">
        <v>1</v>
      </c>
      <c r="N136">
        <v>3</v>
      </c>
      <c r="O136" t="s">
        <v>67</v>
      </c>
      <c r="P136" t="s">
        <v>70</v>
      </c>
      <c r="Q136" t="s">
        <v>154</v>
      </c>
      <c r="R136" t="s">
        <v>42</v>
      </c>
      <c r="S136" t="s">
        <v>56</v>
      </c>
      <c r="T136">
        <v>2</v>
      </c>
      <c r="V136">
        <v>1</v>
      </c>
      <c r="W136" t="s">
        <v>57</v>
      </c>
      <c r="X136" t="s">
        <v>122</v>
      </c>
      <c r="AA136" t="s">
        <v>43</v>
      </c>
      <c r="AB136">
        <v>1</v>
      </c>
      <c r="AD136">
        <v>1</v>
      </c>
      <c r="AE136" t="s">
        <v>73</v>
      </c>
      <c r="AF136" t="s">
        <v>74</v>
      </c>
      <c r="AG136" t="s">
        <v>100</v>
      </c>
      <c r="AH136" t="s">
        <v>101</v>
      </c>
      <c r="AI136">
        <v>13</v>
      </c>
      <c r="AJ136">
        <v>39</v>
      </c>
    </row>
    <row r="137" spans="1:36" x14ac:dyDescent="0.25">
      <c r="A137" t="s">
        <v>572</v>
      </c>
      <c r="B137">
        <v>213</v>
      </c>
      <c r="C137" t="s">
        <v>48</v>
      </c>
      <c r="D137">
        <v>3</v>
      </c>
      <c r="F137">
        <v>2</v>
      </c>
      <c r="G137" t="s">
        <v>89</v>
      </c>
      <c r="H137" t="s">
        <v>84</v>
      </c>
      <c r="I137" t="s">
        <v>127</v>
      </c>
      <c r="K137" t="s">
        <v>33</v>
      </c>
      <c r="L137">
        <v>1</v>
      </c>
      <c r="N137">
        <v>2</v>
      </c>
      <c r="O137" t="s">
        <v>34</v>
      </c>
      <c r="S137" t="s">
        <v>56</v>
      </c>
      <c r="T137">
        <v>3</v>
      </c>
      <c r="V137">
        <v>2</v>
      </c>
      <c r="W137" t="s">
        <v>68</v>
      </c>
      <c r="AA137" t="s">
        <v>45</v>
      </c>
      <c r="AB137">
        <v>3</v>
      </c>
      <c r="AD137">
        <v>1</v>
      </c>
      <c r="AE137" t="s">
        <v>86</v>
      </c>
      <c r="AI137">
        <v>11</v>
      </c>
      <c r="AJ137">
        <v>29</v>
      </c>
    </row>
    <row r="138" spans="1:36" x14ac:dyDescent="0.25">
      <c r="A138" t="s">
        <v>573</v>
      </c>
      <c r="B138">
        <v>214</v>
      </c>
      <c r="C138" t="s">
        <v>56</v>
      </c>
      <c r="D138">
        <v>3</v>
      </c>
      <c r="F138">
        <v>2</v>
      </c>
      <c r="G138" t="s">
        <v>68</v>
      </c>
      <c r="K138" t="s">
        <v>45</v>
      </c>
      <c r="L138">
        <v>2</v>
      </c>
      <c r="N138">
        <v>1</v>
      </c>
      <c r="O138" t="s">
        <v>86</v>
      </c>
      <c r="S138" t="s">
        <v>48</v>
      </c>
      <c r="T138">
        <v>3</v>
      </c>
      <c r="V138">
        <v>2</v>
      </c>
      <c r="W138" t="s">
        <v>89</v>
      </c>
      <c r="AA138" t="s">
        <v>43</v>
      </c>
      <c r="AB138">
        <v>2</v>
      </c>
      <c r="AD138">
        <v>2</v>
      </c>
      <c r="AE138" t="s">
        <v>73</v>
      </c>
      <c r="AF138" t="s">
        <v>74</v>
      </c>
      <c r="AI138">
        <v>10</v>
      </c>
      <c r="AJ138">
        <v>25</v>
      </c>
    </row>
    <row r="139" spans="1:36" x14ac:dyDescent="0.25">
      <c r="A139" t="s">
        <v>574</v>
      </c>
      <c r="B139">
        <v>215</v>
      </c>
      <c r="C139" t="s">
        <v>56</v>
      </c>
      <c r="D139">
        <v>3</v>
      </c>
      <c r="F139">
        <v>2</v>
      </c>
      <c r="G139" t="s">
        <v>57</v>
      </c>
      <c r="H139" t="s">
        <v>122</v>
      </c>
      <c r="K139" t="s">
        <v>45</v>
      </c>
      <c r="L139">
        <v>3</v>
      </c>
      <c r="N139">
        <v>1</v>
      </c>
      <c r="O139" t="s">
        <v>86</v>
      </c>
      <c r="S139" t="s">
        <v>48</v>
      </c>
      <c r="T139">
        <v>2</v>
      </c>
      <c r="V139">
        <v>1</v>
      </c>
      <c r="W139" t="s">
        <v>89</v>
      </c>
      <c r="X139" t="s">
        <v>50</v>
      </c>
      <c r="AA139" t="s">
        <v>63</v>
      </c>
      <c r="AB139">
        <v>3</v>
      </c>
      <c r="AD139">
        <v>1</v>
      </c>
      <c r="AE139" t="s">
        <v>72</v>
      </c>
      <c r="AF139" t="s">
        <v>146</v>
      </c>
      <c r="AG139" t="s">
        <v>147</v>
      </c>
      <c r="AI139">
        <v>12</v>
      </c>
      <c r="AJ139">
        <v>33</v>
      </c>
    </row>
    <row r="140" spans="1:36" x14ac:dyDescent="0.25">
      <c r="A140" t="s">
        <v>575</v>
      </c>
      <c r="B140">
        <v>216</v>
      </c>
      <c r="C140" t="s">
        <v>48</v>
      </c>
      <c r="D140">
        <v>2</v>
      </c>
      <c r="F140">
        <v>1</v>
      </c>
      <c r="G140" t="s">
        <v>89</v>
      </c>
      <c r="K140" t="s">
        <v>38</v>
      </c>
      <c r="L140">
        <v>1</v>
      </c>
      <c r="M140">
        <v>1</v>
      </c>
      <c r="N140">
        <v>2</v>
      </c>
      <c r="O140" t="s">
        <v>67</v>
      </c>
      <c r="P140" t="s">
        <v>70</v>
      </c>
      <c r="S140" t="s">
        <v>56</v>
      </c>
      <c r="T140">
        <v>2</v>
      </c>
      <c r="V140">
        <v>2</v>
      </c>
      <c r="W140" t="s">
        <v>57</v>
      </c>
      <c r="AA140" t="s">
        <v>45</v>
      </c>
      <c r="AB140">
        <v>2</v>
      </c>
      <c r="AD140">
        <v>1</v>
      </c>
      <c r="AE140" t="s">
        <v>86</v>
      </c>
      <c r="AI140">
        <v>6</v>
      </c>
      <c r="AJ140">
        <v>28</v>
      </c>
    </row>
    <row r="141" spans="1:36" x14ac:dyDescent="0.25">
      <c r="A141" t="s">
        <v>576</v>
      </c>
      <c r="B141">
        <v>218</v>
      </c>
      <c r="C141" t="s">
        <v>33</v>
      </c>
      <c r="D141">
        <v>2</v>
      </c>
      <c r="F141">
        <v>3</v>
      </c>
      <c r="G141" t="s">
        <v>34</v>
      </c>
      <c r="K141" t="s">
        <v>43</v>
      </c>
      <c r="L141">
        <v>2</v>
      </c>
      <c r="N141">
        <v>1</v>
      </c>
      <c r="O141" t="s">
        <v>73</v>
      </c>
      <c r="P141" t="s">
        <v>136</v>
      </c>
      <c r="S141" t="s">
        <v>56</v>
      </c>
      <c r="T141">
        <v>2</v>
      </c>
      <c r="V141">
        <v>2</v>
      </c>
      <c r="W141" t="s">
        <v>68</v>
      </c>
      <c r="AA141" t="s">
        <v>45</v>
      </c>
      <c r="AB141">
        <v>2</v>
      </c>
      <c r="AD141">
        <v>1</v>
      </c>
      <c r="AE141" t="s">
        <v>140</v>
      </c>
      <c r="AI141">
        <v>8</v>
      </c>
      <c r="AJ141">
        <v>28</v>
      </c>
    </row>
    <row r="142" spans="1:36" x14ac:dyDescent="0.25">
      <c r="A142" t="s">
        <v>577</v>
      </c>
      <c r="B142">
        <v>219</v>
      </c>
      <c r="C142" t="s">
        <v>56</v>
      </c>
      <c r="D142">
        <v>3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140</v>
      </c>
      <c r="S142" t="s">
        <v>33</v>
      </c>
      <c r="T142">
        <v>1</v>
      </c>
      <c r="V142">
        <v>3</v>
      </c>
      <c r="W142" t="s">
        <v>34</v>
      </c>
      <c r="AA142" t="s">
        <v>63</v>
      </c>
      <c r="AB142">
        <v>3</v>
      </c>
      <c r="AD142">
        <v>1</v>
      </c>
      <c r="AE142" t="s">
        <v>72</v>
      </c>
      <c r="AF142" t="s">
        <v>146</v>
      </c>
      <c r="AI142">
        <v>9</v>
      </c>
      <c r="AJ142">
        <v>26</v>
      </c>
    </row>
    <row r="143" spans="1:36" x14ac:dyDescent="0.25">
      <c r="A143" t="s">
        <v>578</v>
      </c>
      <c r="B143">
        <v>220</v>
      </c>
      <c r="C143" t="s">
        <v>33</v>
      </c>
      <c r="D143">
        <v>2</v>
      </c>
      <c r="F143">
        <v>3</v>
      </c>
      <c r="G143" t="s">
        <v>34</v>
      </c>
      <c r="K143" t="s">
        <v>38</v>
      </c>
      <c r="L143">
        <v>2</v>
      </c>
      <c r="M143">
        <v>1</v>
      </c>
      <c r="N143">
        <v>2</v>
      </c>
      <c r="O143" t="s">
        <v>39</v>
      </c>
      <c r="P143" t="s">
        <v>96</v>
      </c>
      <c r="S143" t="s">
        <v>56</v>
      </c>
      <c r="T143">
        <v>3</v>
      </c>
      <c r="V143">
        <v>2</v>
      </c>
      <c r="W143" t="s">
        <v>68</v>
      </c>
      <c r="AA143" t="s">
        <v>45</v>
      </c>
      <c r="AB143">
        <v>3</v>
      </c>
      <c r="AD143">
        <v>1</v>
      </c>
      <c r="AE143" t="s">
        <v>140</v>
      </c>
      <c r="AI143">
        <v>11</v>
      </c>
      <c r="AJ143">
        <v>27</v>
      </c>
    </row>
    <row r="144" spans="1:36" x14ac:dyDescent="0.25">
      <c r="A144" t="s">
        <v>579</v>
      </c>
      <c r="B144">
        <v>222</v>
      </c>
      <c r="C144" t="s">
        <v>43</v>
      </c>
      <c r="D144">
        <v>1</v>
      </c>
      <c r="F144">
        <v>1</v>
      </c>
      <c r="G144" t="s">
        <v>73</v>
      </c>
      <c r="H144" t="s">
        <v>136</v>
      </c>
      <c r="K144" t="s">
        <v>63</v>
      </c>
      <c r="L144">
        <v>3</v>
      </c>
      <c r="N144">
        <v>1</v>
      </c>
      <c r="O144" t="s">
        <v>72</v>
      </c>
      <c r="P144" t="s">
        <v>146</v>
      </c>
      <c r="Q144" t="s">
        <v>104</v>
      </c>
      <c r="S144" t="s">
        <v>56</v>
      </c>
      <c r="T144">
        <v>2</v>
      </c>
      <c r="V144">
        <v>1</v>
      </c>
      <c r="W144" t="s">
        <v>68</v>
      </c>
      <c r="AA144" t="s">
        <v>45</v>
      </c>
      <c r="AB144">
        <v>3</v>
      </c>
      <c r="AD144">
        <v>1</v>
      </c>
      <c r="AE144" t="s">
        <v>140</v>
      </c>
      <c r="AI144">
        <v>8</v>
      </c>
      <c r="AJ144">
        <v>28</v>
      </c>
    </row>
    <row r="145" spans="1:36" x14ac:dyDescent="0.25">
      <c r="A145" t="s">
        <v>580</v>
      </c>
      <c r="B145">
        <v>223</v>
      </c>
      <c r="C145" t="s">
        <v>43</v>
      </c>
      <c r="D145">
        <v>2</v>
      </c>
      <c r="F145">
        <v>2</v>
      </c>
      <c r="G145" t="s">
        <v>73</v>
      </c>
      <c r="H145" t="s">
        <v>99</v>
      </c>
      <c r="I145" t="s">
        <v>100</v>
      </c>
      <c r="J145" t="s">
        <v>138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2</v>
      </c>
      <c r="V145">
        <v>3</v>
      </c>
      <c r="W145" t="s">
        <v>68</v>
      </c>
      <c r="AA145" t="s">
        <v>45</v>
      </c>
      <c r="AB145">
        <v>2</v>
      </c>
      <c r="AD145">
        <v>1</v>
      </c>
      <c r="AE145" t="s">
        <v>140</v>
      </c>
      <c r="AI145">
        <v>10</v>
      </c>
      <c r="AJ145">
        <v>35</v>
      </c>
    </row>
    <row r="146" spans="1:36" x14ac:dyDescent="0.25">
      <c r="A146" t="s">
        <v>581</v>
      </c>
      <c r="B146">
        <v>225</v>
      </c>
      <c r="C146" t="s">
        <v>63</v>
      </c>
      <c r="D146">
        <v>3</v>
      </c>
      <c r="F146">
        <v>1</v>
      </c>
      <c r="G146" t="s">
        <v>72</v>
      </c>
      <c r="H146" t="s">
        <v>146</v>
      </c>
      <c r="K146" t="s">
        <v>38</v>
      </c>
      <c r="L146">
        <v>1</v>
      </c>
      <c r="M146">
        <v>1</v>
      </c>
      <c r="N146">
        <v>2</v>
      </c>
      <c r="O146" t="s">
        <v>67</v>
      </c>
      <c r="S146" t="s">
        <v>56</v>
      </c>
      <c r="T146">
        <v>3</v>
      </c>
      <c r="V146">
        <v>2</v>
      </c>
      <c r="W146" t="s">
        <v>57</v>
      </c>
      <c r="X146" t="s">
        <v>122</v>
      </c>
      <c r="AA146" t="s">
        <v>45</v>
      </c>
      <c r="AB146">
        <v>2</v>
      </c>
      <c r="AD146">
        <v>1</v>
      </c>
      <c r="AE146" t="s">
        <v>86</v>
      </c>
      <c r="AI146">
        <v>9</v>
      </c>
      <c r="AJ146">
        <v>27</v>
      </c>
    </row>
    <row r="147" spans="1:36" x14ac:dyDescent="0.25">
      <c r="A147" t="s">
        <v>582</v>
      </c>
      <c r="B147">
        <v>228</v>
      </c>
      <c r="C147" t="s">
        <v>48</v>
      </c>
      <c r="D147">
        <v>3</v>
      </c>
      <c r="F147">
        <v>1</v>
      </c>
      <c r="G147" t="s">
        <v>49</v>
      </c>
      <c r="H147" t="s">
        <v>71</v>
      </c>
      <c r="I147" t="s">
        <v>127</v>
      </c>
      <c r="K147" t="s">
        <v>33</v>
      </c>
      <c r="L147">
        <v>1</v>
      </c>
      <c r="N147">
        <v>2</v>
      </c>
      <c r="O147" t="s">
        <v>46</v>
      </c>
      <c r="S147" t="s">
        <v>56</v>
      </c>
      <c r="T147">
        <v>1</v>
      </c>
      <c r="V147">
        <v>1</v>
      </c>
      <c r="W147" t="s">
        <v>68</v>
      </c>
      <c r="X147" t="s">
        <v>122</v>
      </c>
      <c r="AA147" t="s">
        <v>63</v>
      </c>
      <c r="AB147">
        <v>3</v>
      </c>
      <c r="AD147">
        <v>1</v>
      </c>
      <c r="AE147" t="s">
        <v>72</v>
      </c>
      <c r="AI147">
        <v>8</v>
      </c>
      <c r="AJ147">
        <v>27</v>
      </c>
    </row>
    <row r="148" spans="1:36" x14ac:dyDescent="0.25">
      <c r="A148" t="s">
        <v>583</v>
      </c>
      <c r="B148">
        <v>229</v>
      </c>
      <c r="C148" t="s">
        <v>48</v>
      </c>
      <c r="D148">
        <v>3</v>
      </c>
      <c r="F148">
        <v>1</v>
      </c>
      <c r="G148" t="s">
        <v>49</v>
      </c>
      <c r="K148" t="s">
        <v>43</v>
      </c>
      <c r="L148">
        <v>2</v>
      </c>
      <c r="N148">
        <v>1</v>
      </c>
      <c r="O148" t="s">
        <v>73</v>
      </c>
      <c r="P148" t="s">
        <v>74</v>
      </c>
      <c r="Q148" t="s">
        <v>75</v>
      </c>
      <c r="R148" t="s">
        <v>101</v>
      </c>
      <c r="S148" t="s">
        <v>56</v>
      </c>
      <c r="T148">
        <v>3</v>
      </c>
      <c r="V148">
        <v>1</v>
      </c>
      <c r="W148" t="s">
        <v>68</v>
      </c>
      <c r="AA148" t="s">
        <v>63</v>
      </c>
      <c r="AB148">
        <v>3</v>
      </c>
      <c r="AD148">
        <v>1</v>
      </c>
      <c r="AE148" t="s">
        <v>72</v>
      </c>
      <c r="AF148" t="s">
        <v>91</v>
      </c>
      <c r="AI148">
        <v>11</v>
      </c>
      <c r="AJ148">
        <v>28</v>
      </c>
    </row>
    <row r="149" spans="1:36" x14ac:dyDescent="0.25">
      <c r="A149" t="s">
        <v>584</v>
      </c>
      <c r="B149">
        <v>230</v>
      </c>
      <c r="C149" t="s">
        <v>48</v>
      </c>
      <c r="D149">
        <v>3</v>
      </c>
      <c r="F149">
        <v>1</v>
      </c>
      <c r="G149" t="s">
        <v>49</v>
      </c>
      <c r="K149" t="s">
        <v>45</v>
      </c>
      <c r="L149">
        <v>3</v>
      </c>
      <c r="N149">
        <v>1</v>
      </c>
      <c r="O149" t="s">
        <v>47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2</v>
      </c>
      <c r="AD149">
        <v>1</v>
      </c>
      <c r="AE149" t="s">
        <v>72</v>
      </c>
      <c r="AF149" t="s">
        <v>91</v>
      </c>
      <c r="AG149" t="s">
        <v>147</v>
      </c>
      <c r="AI149">
        <v>7</v>
      </c>
      <c r="AJ149">
        <v>25</v>
      </c>
    </row>
    <row r="150" spans="1:36" x14ac:dyDescent="0.25">
      <c r="A150" t="s">
        <v>585</v>
      </c>
      <c r="B150">
        <v>231</v>
      </c>
      <c r="C150" t="s">
        <v>48</v>
      </c>
      <c r="D150">
        <v>3</v>
      </c>
      <c r="F150">
        <v>2</v>
      </c>
      <c r="G150" t="s">
        <v>49</v>
      </c>
      <c r="H150" t="s">
        <v>84</v>
      </c>
      <c r="I150" t="s">
        <v>90</v>
      </c>
      <c r="J150" t="s">
        <v>128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3</v>
      </c>
      <c r="V150">
        <v>1</v>
      </c>
      <c r="W150" t="s">
        <v>57</v>
      </c>
      <c r="AA150" t="s">
        <v>63</v>
      </c>
      <c r="AB150">
        <v>3</v>
      </c>
      <c r="AD150">
        <v>1</v>
      </c>
      <c r="AE150" t="s">
        <v>72</v>
      </c>
      <c r="AF150" t="s">
        <v>95</v>
      </c>
      <c r="AG150" t="s">
        <v>147</v>
      </c>
      <c r="AI150">
        <v>12</v>
      </c>
      <c r="AJ150">
        <v>33</v>
      </c>
    </row>
    <row r="151" spans="1:36" x14ac:dyDescent="0.25">
      <c r="A151" t="s">
        <v>586</v>
      </c>
      <c r="B151">
        <v>233</v>
      </c>
      <c r="C151" t="s">
        <v>33</v>
      </c>
      <c r="D151">
        <v>1</v>
      </c>
      <c r="F151">
        <v>2</v>
      </c>
      <c r="G151" t="s">
        <v>34</v>
      </c>
      <c r="K151" t="s">
        <v>43</v>
      </c>
      <c r="L151">
        <v>1</v>
      </c>
      <c r="N151">
        <v>1</v>
      </c>
      <c r="O151" t="s">
        <v>73</v>
      </c>
      <c r="P151" t="s">
        <v>99</v>
      </c>
      <c r="Q151" t="s">
        <v>75</v>
      </c>
      <c r="R151" t="s">
        <v>101</v>
      </c>
      <c r="S151" t="s">
        <v>56</v>
      </c>
      <c r="T151">
        <v>1</v>
      </c>
      <c r="V151">
        <v>1</v>
      </c>
      <c r="W151" t="s">
        <v>68</v>
      </c>
      <c r="AA151" t="s">
        <v>63</v>
      </c>
      <c r="AB151">
        <v>2</v>
      </c>
      <c r="AD151">
        <v>1</v>
      </c>
      <c r="AE151" t="s">
        <v>72</v>
      </c>
      <c r="AF151" t="s">
        <v>91</v>
      </c>
      <c r="AI151">
        <v>6</v>
      </c>
      <c r="AJ151">
        <v>21</v>
      </c>
    </row>
    <row r="152" spans="1:36" x14ac:dyDescent="0.25">
      <c r="A152" t="s">
        <v>587</v>
      </c>
      <c r="B152">
        <v>234</v>
      </c>
      <c r="C152" t="s">
        <v>33</v>
      </c>
      <c r="D152">
        <v>2</v>
      </c>
      <c r="F152">
        <v>3</v>
      </c>
      <c r="G152" t="s">
        <v>46</v>
      </c>
      <c r="K152" t="s">
        <v>45</v>
      </c>
      <c r="L152">
        <v>3</v>
      </c>
      <c r="N152">
        <v>1</v>
      </c>
      <c r="O152" t="s">
        <v>140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3</v>
      </c>
      <c r="AD152">
        <v>1</v>
      </c>
      <c r="AE152" t="s">
        <v>72</v>
      </c>
      <c r="AF152" t="s">
        <v>146</v>
      </c>
      <c r="AI152">
        <v>8</v>
      </c>
      <c r="AJ152">
        <v>22</v>
      </c>
    </row>
    <row r="153" spans="1:36" x14ac:dyDescent="0.25">
      <c r="A153" t="s">
        <v>588</v>
      </c>
      <c r="B153">
        <v>235</v>
      </c>
      <c r="C153" t="s">
        <v>33</v>
      </c>
      <c r="D153">
        <v>2</v>
      </c>
      <c r="F153">
        <v>3</v>
      </c>
      <c r="G153" t="s">
        <v>34</v>
      </c>
      <c r="H153" t="s">
        <v>35</v>
      </c>
      <c r="K153" t="s">
        <v>38</v>
      </c>
      <c r="L153">
        <v>1</v>
      </c>
      <c r="M153">
        <v>1</v>
      </c>
      <c r="N153">
        <v>1</v>
      </c>
      <c r="O153" t="s">
        <v>152</v>
      </c>
      <c r="P153" t="s">
        <v>70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3</v>
      </c>
      <c r="AD153">
        <v>1</v>
      </c>
      <c r="AE153" t="s">
        <v>72</v>
      </c>
      <c r="AF153" t="s">
        <v>91</v>
      </c>
      <c r="AI153">
        <v>8</v>
      </c>
      <c r="AJ153">
        <v>23</v>
      </c>
    </row>
    <row r="154" spans="1:36" x14ac:dyDescent="0.25">
      <c r="A154" t="s">
        <v>589</v>
      </c>
      <c r="B154">
        <v>237</v>
      </c>
      <c r="C154" t="s">
        <v>56</v>
      </c>
      <c r="D154">
        <v>1</v>
      </c>
      <c r="F154">
        <v>1</v>
      </c>
      <c r="G154" t="s">
        <v>68</v>
      </c>
      <c r="H154" t="s">
        <v>121</v>
      </c>
      <c r="K154" t="s">
        <v>63</v>
      </c>
      <c r="L154">
        <v>3</v>
      </c>
      <c r="N154">
        <v>3</v>
      </c>
      <c r="O154" t="s">
        <v>72</v>
      </c>
      <c r="P154" t="s">
        <v>146</v>
      </c>
      <c r="Q154" t="s">
        <v>148</v>
      </c>
      <c r="R154" t="s">
        <v>149</v>
      </c>
      <c r="S154" t="s">
        <v>43</v>
      </c>
      <c r="T154">
        <v>2</v>
      </c>
      <c r="V154">
        <v>2</v>
      </c>
      <c r="W154" t="s">
        <v>73</v>
      </c>
      <c r="X154" t="s">
        <v>99</v>
      </c>
      <c r="Y154" t="s">
        <v>100</v>
      </c>
      <c r="Z154" t="s">
        <v>139</v>
      </c>
      <c r="AA154" t="s">
        <v>45</v>
      </c>
      <c r="AB154">
        <v>3</v>
      </c>
      <c r="AD154">
        <v>1</v>
      </c>
      <c r="AE154" t="s">
        <v>47</v>
      </c>
      <c r="AF154" t="s">
        <v>141</v>
      </c>
      <c r="AI154">
        <v>16</v>
      </c>
      <c r="AJ154">
        <v>44</v>
      </c>
    </row>
    <row r="155" spans="1:36" x14ac:dyDescent="0.25">
      <c r="A155" t="s">
        <v>590</v>
      </c>
      <c r="B155">
        <v>238</v>
      </c>
      <c r="C155" t="s">
        <v>56</v>
      </c>
      <c r="D155">
        <v>1</v>
      </c>
      <c r="F155">
        <v>1</v>
      </c>
      <c r="G155" t="s">
        <v>68</v>
      </c>
      <c r="K155" t="s">
        <v>63</v>
      </c>
      <c r="L155">
        <v>3</v>
      </c>
      <c r="N155">
        <v>3</v>
      </c>
      <c r="O155" t="s">
        <v>72</v>
      </c>
      <c r="P155" t="s">
        <v>146</v>
      </c>
      <c r="Q155" t="s">
        <v>148</v>
      </c>
      <c r="R155" t="s">
        <v>151</v>
      </c>
      <c r="S155" t="s">
        <v>43</v>
      </c>
      <c r="T155">
        <v>3</v>
      </c>
      <c r="V155">
        <v>3</v>
      </c>
      <c r="W155" t="s">
        <v>73</v>
      </c>
      <c r="X155" t="s">
        <v>74</v>
      </c>
      <c r="Y155" t="s">
        <v>100</v>
      </c>
      <c r="Z155" t="s">
        <v>139</v>
      </c>
      <c r="AA155" t="s">
        <v>38</v>
      </c>
      <c r="AB155">
        <v>2</v>
      </c>
      <c r="AC155">
        <v>2</v>
      </c>
      <c r="AD155">
        <v>2</v>
      </c>
      <c r="AE155" t="s">
        <v>152</v>
      </c>
      <c r="AF155" t="s">
        <v>96</v>
      </c>
      <c r="AG155" t="s">
        <v>153</v>
      </c>
      <c r="AH155" t="s">
        <v>42</v>
      </c>
      <c r="AI155">
        <v>20</v>
      </c>
      <c r="AJ155">
        <v>59</v>
      </c>
    </row>
    <row r="156" spans="1:36" x14ac:dyDescent="0.25">
      <c r="A156" t="s">
        <v>591</v>
      </c>
      <c r="B156">
        <v>240</v>
      </c>
      <c r="C156" t="s">
        <v>45</v>
      </c>
      <c r="D156">
        <v>3</v>
      </c>
      <c r="F156">
        <v>1</v>
      </c>
      <c r="G156" t="s">
        <v>86</v>
      </c>
      <c r="K156" t="s">
        <v>38</v>
      </c>
      <c r="L156">
        <v>1</v>
      </c>
      <c r="M156">
        <v>2</v>
      </c>
      <c r="N156">
        <v>1</v>
      </c>
      <c r="O156" t="s">
        <v>152</v>
      </c>
      <c r="S156" t="s">
        <v>56</v>
      </c>
      <c r="T156">
        <v>1</v>
      </c>
      <c r="V156">
        <v>1</v>
      </c>
      <c r="W156" t="s">
        <v>68</v>
      </c>
      <c r="AA156" t="s">
        <v>63</v>
      </c>
      <c r="AB156">
        <v>3</v>
      </c>
      <c r="AD156">
        <v>1</v>
      </c>
      <c r="AE156" t="s">
        <v>72</v>
      </c>
      <c r="AI156">
        <v>5</v>
      </c>
      <c r="AJ156">
        <v>19</v>
      </c>
    </row>
    <row r="157" spans="1:36" x14ac:dyDescent="0.25">
      <c r="A157" t="s">
        <v>592</v>
      </c>
      <c r="B157">
        <v>243</v>
      </c>
      <c r="C157" t="s">
        <v>56</v>
      </c>
      <c r="D157">
        <v>1</v>
      </c>
      <c r="F157">
        <v>1</v>
      </c>
      <c r="G157" t="s">
        <v>68</v>
      </c>
      <c r="K157" t="s">
        <v>38</v>
      </c>
      <c r="L157">
        <v>1</v>
      </c>
      <c r="M157">
        <v>2</v>
      </c>
      <c r="N157">
        <v>3</v>
      </c>
      <c r="O157" t="s">
        <v>39</v>
      </c>
      <c r="P157" t="s">
        <v>40</v>
      </c>
      <c r="Q157" t="s">
        <v>153</v>
      </c>
      <c r="S157" t="s">
        <v>48</v>
      </c>
      <c r="T157">
        <v>3</v>
      </c>
      <c r="V157">
        <v>1</v>
      </c>
      <c r="W157" t="s">
        <v>89</v>
      </c>
      <c r="AA157" t="s">
        <v>33</v>
      </c>
      <c r="AB157">
        <v>2</v>
      </c>
      <c r="AD157">
        <v>3</v>
      </c>
      <c r="AE157" t="s">
        <v>46</v>
      </c>
      <c r="AI157">
        <v>10</v>
      </c>
      <c r="AJ157">
        <v>26</v>
      </c>
    </row>
    <row r="158" spans="1:36" x14ac:dyDescent="0.25">
      <c r="A158" t="s">
        <v>593</v>
      </c>
      <c r="B158">
        <v>244</v>
      </c>
      <c r="C158" t="s">
        <v>48</v>
      </c>
      <c r="D158">
        <v>3</v>
      </c>
      <c r="F158">
        <v>2</v>
      </c>
      <c r="G158" t="s">
        <v>49</v>
      </c>
      <c r="K158" t="s">
        <v>43</v>
      </c>
      <c r="L158">
        <v>1</v>
      </c>
      <c r="N158">
        <v>1</v>
      </c>
      <c r="O158" t="s">
        <v>73</v>
      </c>
      <c r="P158" t="s">
        <v>99</v>
      </c>
      <c r="S158" t="s">
        <v>56</v>
      </c>
      <c r="T158">
        <v>3</v>
      </c>
      <c r="V158">
        <v>2</v>
      </c>
      <c r="W158" t="s">
        <v>68</v>
      </c>
      <c r="AA158" t="s">
        <v>38</v>
      </c>
      <c r="AB158">
        <v>1</v>
      </c>
      <c r="AC158">
        <v>1</v>
      </c>
      <c r="AD158">
        <v>2</v>
      </c>
      <c r="AE158" t="s">
        <v>67</v>
      </c>
      <c r="AF158" t="s">
        <v>70</v>
      </c>
      <c r="AI158">
        <v>9</v>
      </c>
      <c r="AJ158">
        <v>32</v>
      </c>
    </row>
    <row r="159" spans="1:36" x14ac:dyDescent="0.25">
      <c r="A159" t="s">
        <v>594</v>
      </c>
      <c r="B159">
        <v>245</v>
      </c>
      <c r="C159" t="s">
        <v>56</v>
      </c>
      <c r="D159">
        <v>3</v>
      </c>
      <c r="F159">
        <v>2</v>
      </c>
      <c r="G159" t="s">
        <v>68</v>
      </c>
      <c r="H159" t="s">
        <v>69</v>
      </c>
      <c r="K159" t="s">
        <v>38</v>
      </c>
      <c r="L159">
        <v>2</v>
      </c>
      <c r="M159">
        <v>1</v>
      </c>
      <c r="N159">
        <v>2</v>
      </c>
      <c r="O159" t="s">
        <v>39</v>
      </c>
      <c r="P159" t="s">
        <v>70</v>
      </c>
      <c r="Q159" t="s">
        <v>41</v>
      </c>
      <c r="S159" t="s">
        <v>48</v>
      </c>
      <c r="T159">
        <v>3</v>
      </c>
      <c r="V159">
        <v>3</v>
      </c>
      <c r="W159" t="s">
        <v>89</v>
      </c>
      <c r="X159" t="s">
        <v>84</v>
      </c>
      <c r="AA159" t="s">
        <v>45</v>
      </c>
      <c r="AB159">
        <v>1</v>
      </c>
      <c r="AD159">
        <v>1</v>
      </c>
      <c r="AE159" t="s">
        <v>86</v>
      </c>
      <c r="AI159">
        <v>14</v>
      </c>
      <c r="AJ159">
        <v>37</v>
      </c>
    </row>
    <row r="160" spans="1:36" x14ac:dyDescent="0.25">
      <c r="A160" t="s">
        <v>595</v>
      </c>
      <c r="B160">
        <v>246</v>
      </c>
      <c r="C160" t="s">
        <v>56</v>
      </c>
      <c r="D160">
        <v>2</v>
      </c>
      <c r="F160">
        <v>1</v>
      </c>
      <c r="G160" t="s">
        <v>57</v>
      </c>
      <c r="K160" t="s">
        <v>38</v>
      </c>
      <c r="L160">
        <v>1</v>
      </c>
      <c r="M160">
        <v>1</v>
      </c>
      <c r="N160">
        <v>2</v>
      </c>
      <c r="O160" t="s">
        <v>152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72</v>
      </c>
      <c r="AF160" t="s">
        <v>95</v>
      </c>
      <c r="AG160" t="s">
        <v>147</v>
      </c>
      <c r="AI160">
        <v>6</v>
      </c>
      <c r="AJ160">
        <v>23</v>
      </c>
    </row>
    <row r="161" spans="1:36" x14ac:dyDescent="0.25">
      <c r="A161" t="s">
        <v>596</v>
      </c>
      <c r="B161">
        <v>248</v>
      </c>
      <c r="C161" t="s">
        <v>56</v>
      </c>
      <c r="D161">
        <v>2</v>
      </c>
      <c r="F161">
        <v>1</v>
      </c>
      <c r="G161" t="s">
        <v>68</v>
      </c>
      <c r="H161" t="s">
        <v>121</v>
      </c>
      <c r="I161" t="s">
        <v>85</v>
      </c>
      <c r="K161" t="s">
        <v>38</v>
      </c>
      <c r="L161">
        <v>1</v>
      </c>
      <c r="M161">
        <v>1</v>
      </c>
      <c r="N161">
        <v>3</v>
      </c>
      <c r="O161" t="s">
        <v>39</v>
      </c>
      <c r="P161" t="s">
        <v>70</v>
      </c>
      <c r="Q161" t="s">
        <v>153</v>
      </c>
      <c r="S161" t="s">
        <v>33</v>
      </c>
      <c r="T161">
        <v>1</v>
      </c>
      <c r="V161">
        <v>3</v>
      </c>
      <c r="W161" t="s">
        <v>34</v>
      </c>
      <c r="AA161" t="s">
        <v>43</v>
      </c>
      <c r="AB161">
        <v>1</v>
      </c>
      <c r="AD161">
        <v>1</v>
      </c>
      <c r="AE161" t="s">
        <v>73</v>
      </c>
      <c r="AF161" t="s">
        <v>99</v>
      </c>
      <c r="AI161">
        <v>10</v>
      </c>
      <c r="AJ161">
        <v>30</v>
      </c>
    </row>
    <row r="162" spans="1:36" x14ac:dyDescent="0.25">
      <c r="A162" t="s">
        <v>597</v>
      </c>
      <c r="B162">
        <v>249</v>
      </c>
      <c r="C162" t="s">
        <v>56</v>
      </c>
      <c r="D162">
        <v>2</v>
      </c>
      <c r="F162">
        <v>2</v>
      </c>
      <c r="G162" t="s">
        <v>68</v>
      </c>
      <c r="K162" t="s">
        <v>38</v>
      </c>
      <c r="L162">
        <v>1</v>
      </c>
      <c r="M162">
        <v>1</v>
      </c>
      <c r="N162">
        <v>2</v>
      </c>
      <c r="O162" t="s">
        <v>39</v>
      </c>
      <c r="P162" t="s">
        <v>70</v>
      </c>
      <c r="S162" t="s">
        <v>33</v>
      </c>
      <c r="T162">
        <v>1</v>
      </c>
      <c r="V162">
        <v>1</v>
      </c>
      <c r="W162" t="s">
        <v>46</v>
      </c>
      <c r="AA162" t="s">
        <v>45</v>
      </c>
      <c r="AB162">
        <v>3</v>
      </c>
      <c r="AD162">
        <v>2</v>
      </c>
      <c r="AE162" t="s">
        <v>140</v>
      </c>
      <c r="AI162">
        <v>7</v>
      </c>
      <c r="AJ162">
        <v>18</v>
      </c>
    </row>
    <row r="163" spans="1:36" x14ac:dyDescent="0.25">
      <c r="A163" t="s">
        <v>598</v>
      </c>
      <c r="B163">
        <v>250</v>
      </c>
      <c r="C163" t="s">
        <v>33</v>
      </c>
      <c r="D163">
        <v>1</v>
      </c>
      <c r="F163">
        <v>3</v>
      </c>
      <c r="G163" t="s">
        <v>46</v>
      </c>
      <c r="H163" t="s">
        <v>130</v>
      </c>
      <c r="K163" t="s">
        <v>63</v>
      </c>
      <c r="L163">
        <v>1</v>
      </c>
      <c r="N163">
        <v>1</v>
      </c>
      <c r="O163" t="s">
        <v>103</v>
      </c>
      <c r="P163" t="s">
        <v>91</v>
      </c>
      <c r="Q163" t="s">
        <v>147</v>
      </c>
      <c r="S163" t="s">
        <v>56</v>
      </c>
      <c r="T163">
        <v>3</v>
      </c>
      <c r="V163">
        <v>1</v>
      </c>
      <c r="W163" t="s">
        <v>68</v>
      </c>
      <c r="AA163" t="s">
        <v>38</v>
      </c>
      <c r="AB163">
        <v>2</v>
      </c>
      <c r="AC163">
        <v>1</v>
      </c>
      <c r="AD163">
        <v>2</v>
      </c>
      <c r="AE163" t="s">
        <v>67</v>
      </c>
      <c r="AI163">
        <v>9</v>
      </c>
      <c r="AJ163">
        <v>28</v>
      </c>
    </row>
    <row r="164" spans="1:36" x14ac:dyDescent="0.25">
      <c r="A164" t="s">
        <v>599</v>
      </c>
      <c r="B164">
        <v>252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2</v>
      </c>
      <c r="M164">
        <v>1</v>
      </c>
      <c r="N164">
        <v>3</v>
      </c>
      <c r="O164" t="s">
        <v>39</v>
      </c>
      <c r="P164" t="s">
        <v>70</v>
      </c>
      <c r="S164" t="s">
        <v>43</v>
      </c>
      <c r="T164">
        <v>1</v>
      </c>
      <c r="V164">
        <v>1</v>
      </c>
      <c r="W164" t="s">
        <v>73</v>
      </c>
      <c r="X164" t="s">
        <v>99</v>
      </c>
      <c r="Y164" t="s">
        <v>75</v>
      </c>
      <c r="AA164" t="s">
        <v>45</v>
      </c>
      <c r="AB164">
        <v>2</v>
      </c>
      <c r="AD164">
        <v>1</v>
      </c>
      <c r="AE164" t="s">
        <v>140</v>
      </c>
      <c r="AI164">
        <v>7</v>
      </c>
      <c r="AJ164">
        <v>26</v>
      </c>
    </row>
    <row r="165" spans="1:36" x14ac:dyDescent="0.25">
      <c r="A165" t="s">
        <v>600</v>
      </c>
      <c r="B165">
        <v>253</v>
      </c>
      <c r="C165" t="s">
        <v>43</v>
      </c>
      <c r="D165">
        <v>1</v>
      </c>
      <c r="F165">
        <v>1</v>
      </c>
      <c r="G165" t="s">
        <v>73</v>
      </c>
      <c r="H165" t="s">
        <v>99</v>
      </c>
      <c r="I165" t="s">
        <v>100</v>
      </c>
      <c r="J165" t="s">
        <v>101</v>
      </c>
      <c r="K165" t="s">
        <v>63</v>
      </c>
      <c r="L165">
        <v>2</v>
      </c>
      <c r="N165">
        <v>1</v>
      </c>
      <c r="O165" t="s">
        <v>72</v>
      </c>
      <c r="P165" t="s">
        <v>95</v>
      </c>
      <c r="S165" t="s">
        <v>56</v>
      </c>
      <c r="T165">
        <v>3</v>
      </c>
      <c r="V165">
        <v>3</v>
      </c>
      <c r="W165" t="s">
        <v>68</v>
      </c>
      <c r="X165" t="s">
        <v>121</v>
      </c>
      <c r="Y165" t="s">
        <v>123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12</v>
      </c>
      <c r="AJ165">
        <v>40</v>
      </c>
    </row>
    <row r="166" spans="1:36" x14ac:dyDescent="0.25">
      <c r="A166" t="s">
        <v>601</v>
      </c>
      <c r="B166">
        <v>255</v>
      </c>
      <c r="C166" t="s">
        <v>45</v>
      </c>
      <c r="D166">
        <v>2</v>
      </c>
      <c r="F166">
        <v>1</v>
      </c>
      <c r="G166" t="s">
        <v>86</v>
      </c>
      <c r="K166" t="s">
        <v>63</v>
      </c>
      <c r="L166">
        <v>3</v>
      </c>
      <c r="N166">
        <v>1</v>
      </c>
      <c r="O166" t="s">
        <v>72</v>
      </c>
      <c r="P166" t="s">
        <v>146</v>
      </c>
      <c r="Q166" t="s">
        <v>104</v>
      </c>
      <c r="R166" t="s">
        <v>151</v>
      </c>
      <c r="S166" t="s">
        <v>56</v>
      </c>
      <c r="T166">
        <v>3</v>
      </c>
      <c r="V166">
        <v>1</v>
      </c>
      <c r="W166" t="s">
        <v>57</v>
      </c>
      <c r="X166" t="s">
        <v>122</v>
      </c>
      <c r="Y166" t="s">
        <v>85</v>
      </c>
      <c r="Z166" t="s">
        <v>125</v>
      </c>
      <c r="AA166" t="s">
        <v>38</v>
      </c>
      <c r="AB166">
        <v>1</v>
      </c>
      <c r="AC166">
        <v>1</v>
      </c>
      <c r="AD166">
        <v>2</v>
      </c>
      <c r="AE166" t="s">
        <v>67</v>
      </c>
      <c r="AF166" t="s">
        <v>70</v>
      </c>
      <c r="AG166" t="s">
        <v>153</v>
      </c>
      <c r="AI166">
        <v>14</v>
      </c>
      <c r="AJ166">
        <v>46</v>
      </c>
    </row>
    <row r="167" spans="1:36" x14ac:dyDescent="0.25">
      <c r="A167" t="s">
        <v>602</v>
      </c>
      <c r="B167">
        <v>273</v>
      </c>
      <c r="C167" t="s">
        <v>48</v>
      </c>
      <c r="D167">
        <v>3</v>
      </c>
      <c r="F167">
        <v>3</v>
      </c>
      <c r="G167" t="s">
        <v>89</v>
      </c>
      <c r="H167" t="s">
        <v>50</v>
      </c>
      <c r="I167" t="s">
        <v>90</v>
      </c>
      <c r="J167" t="s">
        <v>129</v>
      </c>
      <c r="K167" t="s">
        <v>33</v>
      </c>
      <c r="L167">
        <v>2</v>
      </c>
      <c r="N167">
        <v>3</v>
      </c>
      <c r="O167" t="s">
        <v>34</v>
      </c>
      <c r="S167" t="s">
        <v>43</v>
      </c>
      <c r="T167">
        <v>3</v>
      </c>
      <c r="V167">
        <v>3</v>
      </c>
      <c r="W167" t="s">
        <v>73</v>
      </c>
      <c r="X167" t="s">
        <v>99</v>
      </c>
      <c r="Y167" t="s">
        <v>100</v>
      </c>
      <c r="Z167" t="s">
        <v>101</v>
      </c>
      <c r="AA167" t="s">
        <v>45</v>
      </c>
      <c r="AB167">
        <v>2</v>
      </c>
      <c r="AD167">
        <v>1</v>
      </c>
      <c r="AE167" t="s">
        <v>140</v>
      </c>
      <c r="AI167">
        <v>18</v>
      </c>
      <c r="AJ167">
        <v>48</v>
      </c>
    </row>
    <row r="168" spans="1:36" x14ac:dyDescent="0.25">
      <c r="A168" t="s">
        <v>603</v>
      </c>
      <c r="B168">
        <v>274</v>
      </c>
      <c r="C168" t="s">
        <v>48</v>
      </c>
      <c r="D168">
        <v>1</v>
      </c>
      <c r="F168">
        <v>1</v>
      </c>
      <c r="G168" t="s">
        <v>89</v>
      </c>
      <c r="K168" t="s">
        <v>33</v>
      </c>
      <c r="L168">
        <v>2</v>
      </c>
      <c r="N168">
        <v>3</v>
      </c>
      <c r="O168" t="s">
        <v>34</v>
      </c>
      <c r="P168" t="s">
        <v>66</v>
      </c>
      <c r="S168" t="s">
        <v>43</v>
      </c>
      <c r="T168">
        <v>3</v>
      </c>
      <c r="V168">
        <v>1</v>
      </c>
      <c r="W168" t="s">
        <v>73</v>
      </c>
      <c r="X168" t="s">
        <v>136</v>
      </c>
      <c r="AA168" t="s">
        <v>63</v>
      </c>
      <c r="AB168">
        <v>2</v>
      </c>
      <c r="AD168">
        <v>1</v>
      </c>
      <c r="AE168" t="s">
        <v>72</v>
      </c>
      <c r="AF168" t="s">
        <v>91</v>
      </c>
      <c r="AI168">
        <v>9</v>
      </c>
      <c r="AJ168">
        <v>27</v>
      </c>
    </row>
    <row r="169" spans="1:36" x14ac:dyDescent="0.25">
      <c r="A169" t="s">
        <v>604</v>
      </c>
      <c r="B169">
        <v>275</v>
      </c>
      <c r="C169" t="s">
        <v>43</v>
      </c>
      <c r="D169">
        <v>2</v>
      </c>
      <c r="F169">
        <v>1</v>
      </c>
      <c r="G169" t="s">
        <v>135</v>
      </c>
      <c r="H169" t="s">
        <v>136</v>
      </c>
      <c r="K169" t="s">
        <v>38</v>
      </c>
      <c r="L169">
        <v>1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89</v>
      </c>
      <c r="X169" t="s">
        <v>50</v>
      </c>
      <c r="Y169" t="s">
        <v>127</v>
      </c>
      <c r="AA169" t="s">
        <v>33</v>
      </c>
      <c r="AB169">
        <v>1</v>
      </c>
      <c r="AD169">
        <v>3</v>
      </c>
      <c r="AE169" t="s">
        <v>34</v>
      </c>
      <c r="AI169">
        <v>7</v>
      </c>
      <c r="AJ169">
        <v>21</v>
      </c>
    </row>
    <row r="170" spans="1:36" x14ac:dyDescent="0.25">
      <c r="A170" t="s">
        <v>605</v>
      </c>
      <c r="B170">
        <v>277</v>
      </c>
      <c r="C170" t="s">
        <v>45</v>
      </c>
      <c r="D170">
        <v>1</v>
      </c>
      <c r="F170">
        <v>1</v>
      </c>
      <c r="G170" t="s">
        <v>140</v>
      </c>
      <c r="K170" t="s">
        <v>63</v>
      </c>
      <c r="L170">
        <v>3</v>
      </c>
      <c r="N170">
        <v>1</v>
      </c>
      <c r="O170" t="s">
        <v>72</v>
      </c>
      <c r="P170" t="s">
        <v>95</v>
      </c>
      <c r="Q170" t="s">
        <v>104</v>
      </c>
      <c r="S170" t="s">
        <v>48</v>
      </c>
      <c r="T170">
        <v>1</v>
      </c>
      <c r="V170">
        <v>2</v>
      </c>
      <c r="W170" t="s">
        <v>49</v>
      </c>
      <c r="X170" t="s">
        <v>50</v>
      </c>
      <c r="Y170" t="s">
        <v>51</v>
      </c>
      <c r="AA170" t="s">
        <v>33</v>
      </c>
      <c r="AB170">
        <v>1</v>
      </c>
      <c r="AD170">
        <v>2</v>
      </c>
      <c r="AE170" t="s">
        <v>34</v>
      </c>
      <c r="AF170" t="s">
        <v>35</v>
      </c>
      <c r="AG170" t="s">
        <v>132</v>
      </c>
      <c r="AI170">
        <v>10</v>
      </c>
      <c r="AJ170">
        <v>25</v>
      </c>
    </row>
    <row r="171" spans="1:36" x14ac:dyDescent="0.25">
      <c r="A171" t="s">
        <v>606</v>
      </c>
      <c r="B171">
        <v>278</v>
      </c>
      <c r="C171" t="s">
        <v>45</v>
      </c>
      <c r="D171">
        <v>2</v>
      </c>
      <c r="F171">
        <v>1</v>
      </c>
      <c r="G171" t="s">
        <v>140</v>
      </c>
      <c r="K171" t="s">
        <v>38</v>
      </c>
      <c r="L171">
        <v>1</v>
      </c>
      <c r="M171">
        <v>1</v>
      </c>
      <c r="N171">
        <v>2</v>
      </c>
      <c r="O171" t="s">
        <v>39</v>
      </c>
      <c r="P171" t="s">
        <v>70</v>
      </c>
      <c r="S171" t="s">
        <v>48</v>
      </c>
      <c r="T171">
        <v>1</v>
      </c>
      <c r="V171">
        <v>1</v>
      </c>
      <c r="W171" t="s">
        <v>89</v>
      </c>
      <c r="X171" t="s">
        <v>50</v>
      </c>
      <c r="AA171" t="s">
        <v>33</v>
      </c>
      <c r="AB171">
        <v>1</v>
      </c>
      <c r="AD171">
        <v>2</v>
      </c>
      <c r="AE171" t="s">
        <v>46</v>
      </c>
      <c r="AI171">
        <v>5</v>
      </c>
      <c r="AJ171">
        <v>20</v>
      </c>
    </row>
    <row r="172" spans="1:36" x14ac:dyDescent="0.25">
      <c r="A172" t="s">
        <v>607</v>
      </c>
      <c r="B172">
        <v>280</v>
      </c>
      <c r="C172" t="s">
        <v>48</v>
      </c>
      <c r="D172">
        <v>1</v>
      </c>
      <c r="F172">
        <v>1</v>
      </c>
      <c r="G172" t="s">
        <v>49</v>
      </c>
      <c r="H172" t="s">
        <v>50</v>
      </c>
      <c r="I172" t="s">
        <v>51</v>
      </c>
      <c r="J172" t="s">
        <v>128</v>
      </c>
      <c r="K172" t="s">
        <v>33</v>
      </c>
      <c r="L172">
        <v>1</v>
      </c>
      <c r="N172">
        <v>3</v>
      </c>
      <c r="O172" t="s">
        <v>46</v>
      </c>
      <c r="S172" t="s">
        <v>63</v>
      </c>
      <c r="T172">
        <v>1</v>
      </c>
      <c r="V172">
        <v>1</v>
      </c>
      <c r="W172" t="s">
        <v>72</v>
      </c>
      <c r="X172" t="s">
        <v>91</v>
      </c>
      <c r="AA172" t="s">
        <v>38</v>
      </c>
      <c r="AB172">
        <v>1</v>
      </c>
      <c r="AC172">
        <v>1</v>
      </c>
      <c r="AD172">
        <v>3</v>
      </c>
      <c r="AE172" t="s">
        <v>67</v>
      </c>
      <c r="AF172" t="s">
        <v>70</v>
      </c>
      <c r="AG172" t="s">
        <v>153</v>
      </c>
      <c r="AH172" t="s">
        <v>42</v>
      </c>
      <c r="AI172">
        <v>11</v>
      </c>
      <c r="AJ172">
        <v>39</v>
      </c>
    </row>
    <row r="173" spans="1:36" x14ac:dyDescent="0.25">
      <c r="A173" t="s">
        <v>608</v>
      </c>
      <c r="B173">
        <v>283</v>
      </c>
      <c r="C173" t="s">
        <v>33</v>
      </c>
      <c r="D173">
        <v>3</v>
      </c>
      <c r="F173">
        <v>3</v>
      </c>
      <c r="G173" t="s">
        <v>34</v>
      </c>
      <c r="K173" t="s">
        <v>45</v>
      </c>
      <c r="L173">
        <v>2</v>
      </c>
      <c r="N173">
        <v>1</v>
      </c>
      <c r="O173" t="s">
        <v>86</v>
      </c>
      <c r="S173" t="s">
        <v>48</v>
      </c>
      <c r="T173">
        <v>3</v>
      </c>
      <c r="V173">
        <v>1</v>
      </c>
      <c r="W173" t="s">
        <v>89</v>
      </c>
      <c r="AA173" t="s">
        <v>43</v>
      </c>
      <c r="AB173">
        <v>2</v>
      </c>
      <c r="AD173">
        <v>1</v>
      </c>
      <c r="AE173" t="s">
        <v>73</v>
      </c>
      <c r="AF173" t="s">
        <v>136</v>
      </c>
      <c r="AG173" t="s">
        <v>137</v>
      </c>
      <c r="AI173">
        <v>11</v>
      </c>
      <c r="AJ173">
        <v>25</v>
      </c>
    </row>
    <row r="174" spans="1:36" x14ac:dyDescent="0.25">
      <c r="A174" t="s">
        <v>609</v>
      </c>
      <c r="B174">
        <v>284</v>
      </c>
      <c r="C174" t="s">
        <v>48</v>
      </c>
      <c r="D174">
        <v>2</v>
      </c>
      <c r="F174">
        <v>1</v>
      </c>
      <c r="G174" t="s">
        <v>89</v>
      </c>
      <c r="K174" t="s">
        <v>43</v>
      </c>
      <c r="L174">
        <v>2</v>
      </c>
      <c r="N174">
        <v>1</v>
      </c>
      <c r="O174" t="s">
        <v>73</v>
      </c>
      <c r="P174" t="s">
        <v>99</v>
      </c>
      <c r="Q174" t="s">
        <v>100</v>
      </c>
      <c r="R174" t="s">
        <v>101</v>
      </c>
      <c r="S174" t="s">
        <v>33</v>
      </c>
      <c r="T174">
        <v>1</v>
      </c>
      <c r="V174">
        <v>2</v>
      </c>
      <c r="W174" t="s">
        <v>34</v>
      </c>
      <c r="AA174" t="s">
        <v>63</v>
      </c>
      <c r="AB174">
        <v>2</v>
      </c>
      <c r="AD174">
        <v>1</v>
      </c>
      <c r="AE174" t="s">
        <v>72</v>
      </c>
      <c r="AF174" t="s">
        <v>95</v>
      </c>
      <c r="AG174" t="s">
        <v>148</v>
      </c>
      <c r="AI174">
        <v>9</v>
      </c>
      <c r="AJ174">
        <v>19</v>
      </c>
    </row>
    <row r="175" spans="1:36" x14ac:dyDescent="0.25">
      <c r="A175" t="s">
        <v>610</v>
      </c>
      <c r="B175">
        <v>285</v>
      </c>
      <c r="C175" t="s">
        <v>33</v>
      </c>
      <c r="D175">
        <v>2</v>
      </c>
      <c r="F175">
        <v>3</v>
      </c>
      <c r="G175" t="s">
        <v>34</v>
      </c>
      <c r="K175" t="s">
        <v>38</v>
      </c>
      <c r="L175">
        <v>1</v>
      </c>
      <c r="M175">
        <v>1</v>
      </c>
      <c r="N175">
        <v>2</v>
      </c>
      <c r="O175" t="s">
        <v>67</v>
      </c>
      <c r="S175" t="s">
        <v>48</v>
      </c>
      <c r="T175">
        <v>3</v>
      </c>
      <c r="V175">
        <v>1</v>
      </c>
      <c r="W175" t="s">
        <v>89</v>
      </c>
      <c r="AA175" t="s">
        <v>43</v>
      </c>
      <c r="AB175">
        <v>3</v>
      </c>
      <c r="AD175">
        <v>1</v>
      </c>
      <c r="AE175" t="s">
        <v>73</v>
      </c>
      <c r="AF175" t="s">
        <v>136</v>
      </c>
      <c r="AI175">
        <v>9</v>
      </c>
      <c r="AJ175">
        <v>22</v>
      </c>
    </row>
    <row r="176" spans="1:36" x14ac:dyDescent="0.25">
      <c r="A176" t="s">
        <v>611</v>
      </c>
      <c r="B176">
        <v>287</v>
      </c>
      <c r="C176" t="s">
        <v>45</v>
      </c>
      <c r="D176">
        <v>3</v>
      </c>
      <c r="F176">
        <v>1</v>
      </c>
      <c r="G176" t="s">
        <v>86</v>
      </c>
      <c r="K176" t="s">
        <v>63</v>
      </c>
      <c r="L176">
        <v>1</v>
      </c>
      <c r="N176">
        <v>1</v>
      </c>
      <c r="O176" t="s">
        <v>72</v>
      </c>
      <c r="P176" t="s">
        <v>95</v>
      </c>
      <c r="S176" t="s">
        <v>48</v>
      </c>
      <c r="T176">
        <v>1</v>
      </c>
      <c r="V176">
        <v>1</v>
      </c>
      <c r="W176" t="s">
        <v>49</v>
      </c>
      <c r="X176" t="s">
        <v>50</v>
      </c>
      <c r="AA176" t="s">
        <v>43</v>
      </c>
      <c r="AB176">
        <v>2</v>
      </c>
      <c r="AD176">
        <v>1</v>
      </c>
      <c r="AE176" t="s">
        <v>73</v>
      </c>
      <c r="AF176" t="s">
        <v>99</v>
      </c>
      <c r="AI176">
        <v>6</v>
      </c>
      <c r="AJ176">
        <v>19</v>
      </c>
    </row>
    <row r="177" spans="1:36" x14ac:dyDescent="0.25">
      <c r="A177" t="s">
        <v>612</v>
      </c>
      <c r="B177">
        <v>288</v>
      </c>
      <c r="C177" t="s">
        <v>45</v>
      </c>
      <c r="D177">
        <v>3</v>
      </c>
      <c r="F177">
        <v>1</v>
      </c>
      <c r="G177" t="s">
        <v>140</v>
      </c>
      <c r="H177" t="s">
        <v>141</v>
      </c>
      <c r="K177" t="s">
        <v>38</v>
      </c>
      <c r="L177">
        <v>1</v>
      </c>
      <c r="M177">
        <v>1</v>
      </c>
      <c r="N177">
        <v>1</v>
      </c>
      <c r="O177" t="s">
        <v>67</v>
      </c>
      <c r="P177" t="s">
        <v>40</v>
      </c>
      <c r="S177" t="s">
        <v>48</v>
      </c>
      <c r="T177">
        <v>1</v>
      </c>
      <c r="V177">
        <v>1</v>
      </c>
      <c r="W177" t="s">
        <v>89</v>
      </c>
      <c r="X177" t="s">
        <v>84</v>
      </c>
      <c r="Y177" t="s">
        <v>90</v>
      </c>
      <c r="AA177" t="s">
        <v>43</v>
      </c>
      <c r="AB177">
        <v>1</v>
      </c>
      <c r="AD177">
        <v>1</v>
      </c>
      <c r="AE177" t="s">
        <v>73</v>
      </c>
      <c r="AF177" t="s">
        <v>99</v>
      </c>
      <c r="AG177" t="s">
        <v>137</v>
      </c>
      <c r="AH177" t="s">
        <v>101</v>
      </c>
      <c r="AI177">
        <v>9</v>
      </c>
      <c r="AJ177">
        <v>27</v>
      </c>
    </row>
    <row r="178" spans="1:36" x14ac:dyDescent="0.25">
      <c r="A178" t="s">
        <v>613</v>
      </c>
      <c r="B178">
        <v>290</v>
      </c>
      <c r="C178" t="s">
        <v>48</v>
      </c>
      <c r="D178">
        <v>3</v>
      </c>
      <c r="F178">
        <v>1</v>
      </c>
      <c r="G178" t="s">
        <v>49</v>
      </c>
      <c r="K178" t="s">
        <v>43</v>
      </c>
      <c r="L178">
        <v>1</v>
      </c>
      <c r="N178">
        <v>1</v>
      </c>
      <c r="O178" t="s">
        <v>73</v>
      </c>
      <c r="P178" t="s">
        <v>99</v>
      </c>
      <c r="Q178" t="s">
        <v>100</v>
      </c>
      <c r="R178" t="s">
        <v>138</v>
      </c>
      <c r="S178" t="s">
        <v>63</v>
      </c>
      <c r="T178">
        <v>2</v>
      </c>
      <c r="V178">
        <v>1</v>
      </c>
      <c r="W178" t="s">
        <v>72</v>
      </c>
      <c r="X178" t="s">
        <v>95</v>
      </c>
      <c r="Y178" t="s">
        <v>104</v>
      </c>
      <c r="AA178" t="s">
        <v>38</v>
      </c>
      <c r="AB178">
        <v>1</v>
      </c>
      <c r="AC178">
        <v>1</v>
      </c>
      <c r="AD178">
        <v>2</v>
      </c>
      <c r="AE178" t="s">
        <v>67</v>
      </c>
      <c r="AI178">
        <v>9</v>
      </c>
      <c r="AJ178">
        <v>26</v>
      </c>
    </row>
    <row r="179" spans="1:36" x14ac:dyDescent="0.25">
      <c r="A179" t="s">
        <v>614</v>
      </c>
      <c r="B179">
        <v>293</v>
      </c>
      <c r="C179" t="s">
        <v>33</v>
      </c>
      <c r="D179">
        <v>2</v>
      </c>
      <c r="F179">
        <v>2</v>
      </c>
      <c r="G179" t="s">
        <v>46</v>
      </c>
      <c r="K179" t="s">
        <v>43</v>
      </c>
      <c r="L179">
        <v>2</v>
      </c>
      <c r="N179">
        <v>1</v>
      </c>
      <c r="O179" t="s">
        <v>135</v>
      </c>
      <c r="P179" t="s">
        <v>74</v>
      </c>
      <c r="Q179" t="s">
        <v>137</v>
      </c>
      <c r="S179" t="s">
        <v>48</v>
      </c>
      <c r="T179">
        <v>3</v>
      </c>
      <c r="V179">
        <v>1</v>
      </c>
      <c r="W179" t="s">
        <v>89</v>
      </c>
      <c r="AA179" t="s">
        <v>45</v>
      </c>
      <c r="AB179">
        <v>2</v>
      </c>
      <c r="AD179">
        <v>1</v>
      </c>
      <c r="AE179" t="s">
        <v>140</v>
      </c>
      <c r="AI179">
        <v>8</v>
      </c>
      <c r="AJ179">
        <v>20</v>
      </c>
    </row>
    <row r="180" spans="1:36" x14ac:dyDescent="0.25">
      <c r="A180" t="s">
        <v>615</v>
      </c>
      <c r="B180">
        <v>294</v>
      </c>
      <c r="C180" t="s">
        <v>48</v>
      </c>
      <c r="D180">
        <v>1</v>
      </c>
      <c r="F180">
        <v>1</v>
      </c>
      <c r="G180" t="s">
        <v>89</v>
      </c>
      <c r="H180" t="s">
        <v>50</v>
      </c>
      <c r="I180" t="s">
        <v>127</v>
      </c>
      <c r="J180" t="s">
        <v>52</v>
      </c>
      <c r="K180" t="s">
        <v>45</v>
      </c>
      <c r="L180">
        <v>3</v>
      </c>
      <c r="N180">
        <v>2</v>
      </c>
      <c r="O180" t="s">
        <v>140</v>
      </c>
      <c r="S180" t="s">
        <v>33</v>
      </c>
      <c r="T180">
        <v>1</v>
      </c>
      <c r="V180">
        <v>2</v>
      </c>
      <c r="W180" t="s">
        <v>34</v>
      </c>
      <c r="AA180" t="s">
        <v>63</v>
      </c>
      <c r="AB180">
        <v>2</v>
      </c>
      <c r="AD180">
        <v>1</v>
      </c>
      <c r="AE180" t="s">
        <v>72</v>
      </c>
      <c r="AF180" t="s">
        <v>95</v>
      </c>
      <c r="AG180" t="s">
        <v>147</v>
      </c>
      <c r="AI180">
        <v>10</v>
      </c>
      <c r="AJ180">
        <v>27</v>
      </c>
    </row>
    <row r="181" spans="1:36" x14ac:dyDescent="0.25">
      <c r="A181" t="s">
        <v>616</v>
      </c>
      <c r="B181">
        <v>295</v>
      </c>
      <c r="C181" t="s">
        <v>33</v>
      </c>
      <c r="D181">
        <v>1</v>
      </c>
      <c r="F181">
        <v>3</v>
      </c>
      <c r="G181" t="s">
        <v>46</v>
      </c>
      <c r="K181" t="s">
        <v>38</v>
      </c>
      <c r="L181">
        <v>2</v>
      </c>
      <c r="M181">
        <v>1</v>
      </c>
      <c r="N181">
        <v>2</v>
      </c>
      <c r="O181" t="s">
        <v>39</v>
      </c>
      <c r="P181" t="s">
        <v>70</v>
      </c>
      <c r="S181" t="s">
        <v>48</v>
      </c>
      <c r="T181">
        <v>1</v>
      </c>
      <c r="V181">
        <v>1</v>
      </c>
      <c r="W181" t="s">
        <v>89</v>
      </c>
      <c r="X181" t="s">
        <v>84</v>
      </c>
      <c r="AA181" t="s">
        <v>45</v>
      </c>
      <c r="AB181">
        <v>3</v>
      </c>
      <c r="AD181">
        <v>1</v>
      </c>
      <c r="AE181" t="s">
        <v>140</v>
      </c>
      <c r="AI181">
        <v>8</v>
      </c>
      <c r="AJ181">
        <v>26</v>
      </c>
    </row>
    <row r="182" spans="1:36" x14ac:dyDescent="0.25">
      <c r="A182" t="s">
        <v>617</v>
      </c>
      <c r="B182">
        <v>297</v>
      </c>
      <c r="C182" t="s">
        <v>43</v>
      </c>
      <c r="D182">
        <v>1</v>
      </c>
      <c r="F182">
        <v>1</v>
      </c>
      <c r="G182" t="s">
        <v>73</v>
      </c>
      <c r="H182" t="s">
        <v>74</v>
      </c>
      <c r="K182" t="s">
        <v>63</v>
      </c>
      <c r="L182">
        <v>2</v>
      </c>
      <c r="N182">
        <v>1</v>
      </c>
      <c r="O182" t="s">
        <v>72</v>
      </c>
      <c r="P182" t="s">
        <v>95</v>
      </c>
      <c r="S182" t="s">
        <v>48</v>
      </c>
      <c r="T182">
        <v>2</v>
      </c>
      <c r="V182">
        <v>1</v>
      </c>
      <c r="W182" t="s">
        <v>89</v>
      </c>
      <c r="AA182" t="s">
        <v>45</v>
      </c>
      <c r="AB182">
        <v>2</v>
      </c>
      <c r="AD182">
        <v>2</v>
      </c>
      <c r="AE182" t="s">
        <v>86</v>
      </c>
      <c r="AI182">
        <v>6</v>
      </c>
      <c r="AJ182">
        <v>22</v>
      </c>
    </row>
    <row r="183" spans="1:36" x14ac:dyDescent="0.25">
      <c r="A183" t="s">
        <v>618</v>
      </c>
      <c r="B183">
        <v>298</v>
      </c>
      <c r="C183" t="s">
        <v>48</v>
      </c>
      <c r="D183">
        <v>3</v>
      </c>
      <c r="F183">
        <v>1</v>
      </c>
      <c r="G183" t="s">
        <v>89</v>
      </c>
      <c r="K183" t="s">
        <v>45</v>
      </c>
      <c r="L183">
        <v>3</v>
      </c>
      <c r="N183">
        <v>1</v>
      </c>
      <c r="O183" t="s">
        <v>140</v>
      </c>
      <c r="S183" t="s">
        <v>43</v>
      </c>
      <c r="T183">
        <v>3</v>
      </c>
      <c r="V183">
        <v>1</v>
      </c>
      <c r="W183" t="s">
        <v>73</v>
      </c>
      <c r="X183" t="s">
        <v>74</v>
      </c>
      <c r="AA183" t="s">
        <v>38</v>
      </c>
      <c r="AB183">
        <v>1</v>
      </c>
      <c r="AC183">
        <v>1</v>
      </c>
      <c r="AD183">
        <v>2</v>
      </c>
      <c r="AE183" t="s">
        <v>67</v>
      </c>
      <c r="AI183">
        <v>8</v>
      </c>
      <c r="AJ183">
        <v>20</v>
      </c>
    </row>
    <row r="184" spans="1:36" x14ac:dyDescent="0.25">
      <c r="A184" t="s">
        <v>619</v>
      </c>
      <c r="B184">
        <v>300</v>
      </c>
      <c r="C184" t="s">
        <v>63</v>
      </c>
      <c r="D184">
        <v>1</v>
      </c>
      <c r="F184">
        <v>1</v>
      </c>
      <c r="G184" t="s">
        <v>72</v>
      </c>
      <c r="H184" t="s">
        <v>95</v>
      </c>
      <c r="K184" t="s">
        <v>38</v>
      </c>
      <c r="L184">
        <v>2</v>
      </c>
      <c r="M184">
        <v>1</v>
      </c>
      <c r="N184">
        <v>2</v>
      </c>
      <c r="O184" t="s">
        <v>67</v>
      </c>
      <c r="S184" t="s">
        <v>48</v>
      </c>
      <c r="T184">
        <v>3</v>
      </c>
      <c r="V184">
        <v>1</v>
      </c>
      <c r="W184" t="s">
        <v>49</v>
      </c>
      <c r="AA184" t="s">
        <v>45</v>
      </c>
      <c r="AB184">
        <v>3</v>
      </c>
      <c r="AD184">
        <v>1</v>
      </c>
      <c r="AE184" t="s">
        <v>140</v>
      </c>
      <c r="AI184">
        <v>7</v>
      </c>
      <c r="AJ184">
        <v>23</v>
      </c>
    </row>
    <row r="185" spans="1:36" x14ac:dyDescent="0.25">
      <c r="A185" t="s">
        <v>620</v>
      </c>
      <c r="B185">
        <v>303</v>
      </c>
      <c r="C185" t="s">
        <v>48</v>
      </c>
      <c r="D185">
        <v>3</v>
      </c>
      <c r="F185">
        <v>1</v>
      </c>
      <c r="G185" t="s">
        <v>89</v>
      </c>
      <c r="K185" t="s">
        <v>63</v>
      </c>
      <c r="L185">
        <v>3</v>
      </c>
      <c r="N185">
        <v>1</v>
      </c>
      <c r="O185" t="s">
        <v>72</v>
      </c>
      <c r="P185" t="s">
        <v>146</v>
      </c>
      <c r="S185" t="s">
        <v>33</v>
      </c>
      <c r="T185">
        <v>2</v>
      </c>
      <c r="V185">
        <v>1</v>
      </c>
      <c r="W185" t="s">
        <v>46</v>
      </c>
      <c r="AA185" t="s">
        <v>43</v>
      </c>
      <c r="AB185">
        <v>2</v>
      </c>
      <c r="AD185">
        <v>1</v>
      </c>
      <c r="AE185" t="s">
        <v>73</v>
      </c>
      <c r="AF185" t="s">
        <v>74</v>
      </c>
      <c r="AG185" t="s">
        <v>75</v>
      </c>
      <c r="AH185" t="s">
        <v>101</v>
      </c>
      <c r="AI185">
        <v>10</v>
      </c>
      <c r="AJ185">
        <v>32</v>
      </c>
    </row>
    <row r="186" spans="1:36" x14ac:dyDescent="0.25">
      <c r="A186" t="s">
        <v>621</v>
      </c>
      <c r="B186">
        <v>304</v>
      </c>
      <c r="C186" t="s">
        <v>33</v>
      </c>
      <c r="D186">
        <v>2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140</v>
      </c>
      <c r="P186" t="s">
        <v>141</v>
      </c>
      <c r="S186" t="s">
        <v>48</v>
      </c>
      <c r="T186">
        <v>2</v>
      </c>
      <c r="V186">
        <v>1</v>
      </c>
      <c r="W186" t="s">
        <v>89</v>
      </c>
      <c r="AA186" t="s">
        <v>63</v>
      </c>
      <c r="AB186">
        <v>3</v>
      </c>
      <c r="AD186">
        <v>1</v>
      </c>
      <c r="AE186" t="s">
        <v>72</v>
      </c>
      <c r="AI186">
        <v>7</v>
      </c>
      <c r="AJ186">
        <v>18</v>
      </c>
    </row>
    <row r="187" spans="1:36" x14ac:dyDescent="0.25">
      <c r="A187" t="s">
        <v>622</v>
      </c>
      <c r="B187">
        <v>305</v>
      </c>
      <c r="C187" t="s">
        <v>33</v>
      </c>
      <c r="D187">
        <v>2</v>
      </c>
      <c r="F187">
        <v>3</v>
      </c>
      <c r="G187" t="s">
        <v>46</v>
      </c>
      <c r="K187" t="s">
        <v>38</v>
      </c>
      <c r="L187">
        <v>1</v>
      </c>
      <c r="M187">
        <v>2</v>
      </c>
      <c r="N187">
        <v>1</v>
      </c>
      <c r="O187" t="s">
        <v>152</v>
      </c>
      <c r="P187" t="s">
        <v>70</v>
      </c>
      <c r="S187" t="s">
        <v>48</v>
      </c>
      <c r="T187">
        <v>2</v>
      </c>
      <c r="V187">
        <v>1</v>
      </c>
      <c r="W187" t="s">
        <v>89</v>
      </c>
      <c r="AA187" t="s">
        <v>63</v>
      </c>
      <c r="AB187">
        <v>3</v>
      </c>
      <c r="AD187">
        <v>1</v>
      </c>
      <c r="AE187" t="s">
        <v>72</v>
      </c>
      <c r="AF187" t="s">
        <v>91</v>
      </c>
      <c r="AI187">
        <v>9</v>
      </c>
      <c r="AJ187">
        <v>27</v>
      </c>
    </row>
    <row r="188" spans="1:36" x14ac:dyDescent="0.25">
      <c r="A188" t="s">
        <v>623</v>
      </c>
      <c r="B188">
        <v>307</v>
      </c>
      <c r="C188" t="s">
        <v>48</v>
      </c>
      <c r="D188">
        <v>3</v>
      </c>
      <c r="F188">
        <v>1</v>
      </c>
      <c r="G188" t="s">
        <v>89</v>
      </c>
      <c r="H188" t="s">
        <v>84</v>
      </c>
      <c r="I188" t="s">
        <v>90</v>
      </c>
      <c r="J188" t="s">
        <v>129</v>
      </c>
      <c r="K188" t="s">
        <v>63</v>
      </c>
      <c r="L188">
        <v>1</v>
      </c>
      <c r="N188">
        <v>1</v>
      </c>
      <c r="O188" t="s">
        <v>72</v>
      </c>
      <c r="P188" t="s">
        <v>95</v>
      </c>
      <c r="S188" t="s">
        <v>43</v>
      </c>
      <c r="T188">
        <v>2</v>
      </c>
      <c r="V188">
        <v>1</v>
      </c>
      <c r="W188" t="s">
        <v>73</v>
      </c>
      <c r="X188" t="s">
        <v>99</v>
      </c>
      <c r="Y188" t="s">
        <v>137</v>
      </c>
      <c r="Z188" t="s">
        <v>101</v>
      </c>
      <c r="AA188" t="s">
        <v>45</v>
      </c>
      <c r="AB188">
        <v>3</v>
      </c>
      <c r="AD188">
        <v>1</v>
      </c>
      <c r="AE188" t="s">
        <v>47</v>
      </c>
      <c r="AI188">
        <v>12</v>
      </c>
      <c r="AJ188">
        <v>41</v>
      </c>
    </row>
    <row r="189" spans="1:36" x14ac:dyDescent="0.25">
      <c r="A189" t="s">
        <v>624</v>
      </c>
      <c r="B189">
        <v>308</v>
      </c>
      <c r="C189" t="s">
        <v>43</v>
      </c>
      <c r="D189">
        <v>3</v>
      </c>
      <c r="F189">
        <v>1</v>
      </c>
      <c r="G189" t="s">
        <v>73</v>
      </c>
      <c r="H189" t="s">
        <v>74</v>
      </c>
      <c r="I189" t="s">
        <v>75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1</v>
      </c>
      <c r="AD189">
        <v>1</v>
      </c>
      <c r="AE189" t="s">
        <v>72</v>
      </c>
      <c r="AF189" t="s">
        <v>91</v>
      </c>
      <c r="AG189" t="s">
        <v>147</v>
      </c>
      <c r="AI189">
        <v>7</v>
      </c>
      <c r="AJ189">
        <v>21</v>
      </c>
    </row>
    <row r="190" spans="1:36" x14ac:dyDescent="0.25">
      <c r="A190" t="s">
        <v>625</v>
      </c>
      <c r="B190">
        <v>310</v>
      </c>
      <c r="C190" t="s">
        <v>48</v>
      </c>
      <c r="D190">
        <v>2</v>
      </c>
      <c r="F190">
        <v>1</v>
      </c>
      <c r="G190" t="s">
        <v>89</v>
      </c>
      <c r="H190" t="s">
        <v>71</v>
      </c>
      <c r="I190" t="s">
        <v>51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Q190" t="s">
        <v>104</v>
      </c>
      <c r="S190" t="s">
        <v>45</v>
      </c>
      <c r="T190">
        <v>3</v>
      </c>
      <c r="V190">
        <v>1</v>
      </c>
      <c r="W190" t="s">
        <v>47</v>
      </c>
      <c r="AA190" t="s">
        <v>38</v>
      </c>
      <c r="AB190">
        <v>2</v>
      </c>
      <c r="AC190">
        <v>1</v>
      </c>
      <c r="AD190">
        <v>2</v>
      </c>
      <c r="AE190" t="s">
        <v>152</v>
      </c>
      <c r="AF190" t="s">
        <v>70</v>
      </c>
      <c r="AI190">
        <v>10</v>
      </c>
      <c r="AJ190">
        <v>27</v>
      </c>
    </row>
    <row r="191" spans="1:36" x14ac:dyDescent="0.25">
      <c r="A191" t="s">
        <v>626</v>
      </c>
      <c r="B191">
        <v>313</v>
      </c>
      <c r="C191" t="s">
        <v>48</v>
      </c>
      <c r="D191">
        <v>3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2</v>
      </c>
      <c r="O191" t="s">
        <v>67</v>
      </c>
      <c r="P191" t="s">
        <v>70</v>
      </c>
      <c r="S191" t="s">
        <v>33</v>
      </c>
      <c r="T191">
        <v>1</v>
      </c>
      <c r="V191">
        <v>2</v>
      </c>
      <c r="W191" t="s">
        <v>46</v>
      </c>
      <c r="AA191" t="s">
        <v>43</v>
      </c>
      <c r="AB191">
        <v>2</v>
      </c>
      <c r="AD191">
        <v>1</v>
      </c>
      <c r="AE191" t="s">
        <v>135</v>
      </c>
      <c r="AF191" t="s">
        <v>74</v>
      </c>
      <c r="AG191" t="s">
        <v>75</v>
      </c>
      <c r="AI191">
        <v>8</v>
      </c>
      <c r="AJ191">
        <v>18</v>
      </c>
    </row>
    <row r="192" spans="1:36" x14ac:dyDescent="0.25">
      <c r="A192" t="s">
        <v>627</v>
      </c>
      <c r="B192">
        <v>314</v>
      </c>
      <c r="C192" t="s">
        <v>48</v>
      </c>
      <c r="D192">
        <v>3</v>
      </c>
      <c r="F192">
        <v>3</v>
      </c>
      <c r="G192" t="s">
        <v>89</v>
      </c>
      <c r="K192" t="s">
        <v>38</v>
      </c>
      <c r="L192">
        <v>1</v>
      </c>
      <c r="M192">
        <v>1</v>
      </c>
      <c r="N192">
        <v>2</v>
      </c>
      <c r="O192" t="s">
        <v>67</v>
      </c>
      <c r="S192" t="s">
        <v>33</v>
      </c>
      <c r="T192">
        <v>2</v>
      </c>
      <c r="V192">
        <v>2</v>
      </c>
      <c r="W192" t="s">
        <v>65</v>
      </c>
      <c r="AA192" t="s">
        <v>45</v>
      </c>
      <c r="AB192">
        <v>3</v>
      </c>
      <c r="AD192">
        <v>1</v>
      </c>
      <c r="AE192" t="s">
        <v>140</v>
      </c>
      <c r="AI192">
        <v>9</v>
      </c>
      <c r="AJ192">
        <v>25</v>
      </c>
    </row>
    <row r="193" spans="1:36" x14ac:dyDescent="0.25">
      <c r="A193" t="s">
        <v>628</v>
      </c>
      <c r="B193">
        <v>315</v>
      </c>
      <c r="C193" t="s">
        <v>48</v>
      </c>
      <c r="D193">
        <v>3</v>
      </c>
      <c r="F193">
        <v>1</v>
      </c>
      <c r="G193" t="s">
        <v>49</v>
      </c>
      <c r="H193" t="s">
        <v>71</v>
      </c>
      <c r="I193" t="s">
        <v>127</v>
      </c>
      <c r="K193" t="s">
        <v>38</v>
      </c>
      <c r="L193">
        <v>1</v>
      </c>
      <c r="M193">
        <v>1</v>
      </c>
      <c r="N193">
        <v>2</v>
      </c>
      <c r="O193" t="s">
        <v>67</v>
      </c>
      <c r="S193" t="s">
        <v>33</v>
      </c>
      <c r="T193">
        <v>2</v>
      </c>
      <c r="V193">
        <v>2</v>
      </c>
      <c r="W193" t="s">
        <v>65</v>
      </c>
      <c r="X193" t="s">
        <v>35</v>
      </c>
      <c r="AA193" t="s">
        <v>63</v>
      </c>
      <c r="AB193">
        <v>1</v>
      </c>
      <c r="AD193">
        <v>1</v>
      </c>
      <c r="AE193" t="s">
        <v>103</v>
      </c>
      <c r="AF193" t="s">
        <v>91</v>
      </c>
      <c r="AI193">
        <v>9</v>
      </c>
      <c r="AJ193">
        <v>26</v>
      </c>
    </row>
    <row r="194" spans="1:36" x14ac:dyDescent="0.25">
      <c r="A194" t="s">
        <v>629</v>
      </c>
      <c r="B194">
        <v>317</v>
      </c>
      <c r="C194" t="s">
        <v>48</v>
      </c>
      <c r="D194">
        <v>2</v>
      </c>
      <c r="F194">
        <v>1</v>
      </c>
      <c r="G194" t="s">
        <v>89</v>
      </c>
      <c r="H194" t="s">
        <v>50</v>
      </c>
      <c r="K194" t="s">
        <v>38</v>
      </c>
      <c r="L194">
        <v>1</v>
      </c>
      <c r="M194">
        <v>1</v>
      </c>
      <c r="N194">
        <v>2</v>
      </c>
      <c r="O194" t="s">
        <v>67</v>
      </c>
      <c r="P194" t="s">
        <v>70</v>
      </c>
      <c r="S194" t="s">
        <v>43</v>
      </c>
      <c r="T194">
        <v>1</v>
      </c>
      <c r="V194">
        <v>1</v>
      </c>
      <c r="W194" t="s">
        <v>73</v>
      </c>
      <c r="X194" t="s">
        <v>99</v>
      </c>
      <c r="Y194" t="s">
        <v>100</v>
      </c>
      <c r="Z194" t="s">
        <v>101</v>
      </c>
      <c r="AA194" t="s">
        <v>45</v>
      </c>
      <c r="AB194">
        <v>2</v>
      </c>
      <c r="AD194">
        <v>1</v>
      </c>
      <c r="AE194" t="s">
        <v>140</v>
      </c>
      <c r="AI194">
        <v>8</v>
      </c>
      <c r="AJ194">
        <v>26</v>
      </c>
    </row>
    <row r="195" spans="1:36" x14ac:dyDescent="0.25">
      <c r="A195" t="s">
        <v>630</v>
      </c>
      <c r="B195">
        <v>318</v>
      </c>
      <c r="C195" t="s">
        <v>48</v>
      </c>
      <c r="D195">
        <v>3</v>
      </c>
      <c r="F195">
        <v>1</v>
      </c>
      <c r="G195" t="s">
        <v>89</v>
      </c>
      <c r="K195" t="s">
        <v>38</v>
      </c>
      <c r="L195">
        <v>1</v>
      </c>
      <c r="M195">
        <v>1</v>
      </c>
      <c r="N195">
        <v>1</v>
      </c>
      <c r="O195" t="s">
        <v>67</v>
      </c>
      <c r="P195" t="s">
        <v>70</v>
      </c>
      <c r="Q195" t="s">
        <v>41</v>
      </c>
      <c r="S195" t="s">
        <v>43</v>
      </c>
      <c r="T195">
        <v>1</v>
      </c>
      <c r="V195">
        <v>1</v>
      </c>
      <c r="W195" t="s">
        <v>73</v>
      </c>
      <c r="AA195" t="s">
        <v>63</v>
      </c>
      <c r="AB195">
        <v>1</v>
      </c>
      <c r="AD195">
        <v>1</v>
      </c>
      <c r="AE195" t="s">
        <v>72</v>
      </c>
      <c r="AF195" t="s">
        <v>95</v>
      </c>
      <c r="AI195">
        <v>5</v>
      </c>
      <c r="AJ195">
        <v>23</v>
      </c>
    </row>
    <row r="196" spans="1:36" x14ac:dyDescent="0.25">
      <c r="A196" t="s">
        <v>631</v>
      </c>
      <c r="B196">
        <v>320</v>
      </c>
      <c r="C196" t="s">
        <v>48</v>
      </c>
      <c r="D196">
        <v>3</v>
      </c>
      <c r="F196">
        <v>3</v>
      </c>
      <c r="G196" t="s">
        <v>89</v>
      </c>
      <c r="H196" t="s">
        <v>50</v>
      </c>
      <c r="I196" t="s">
        <v>127</v>
      </c>
      <c r="J196" t="s">
        <v>129</v>
      </c>
      <c r="K196" t="s">
        <v>38</v>
      </c>
      <c r="L196">
        <v>1</v>
      </c>
      <c r="M196">
        <v>1</v>
      </c>
      <c r="N196">
        <v>1</v>
      </c>
      <c r="O196" t="s">
        <v>152</v>
      </c>
      <c r="P196" t="s">
        <v>70</v>
      </c>
      <c r="S196" t="s">
        <v>45</v>
      </c>
      <c r="T196">
        <v>3</v>
      </c>
      <c r="V196">
        <v>1</v>
      </c>
      <c r="W196" t="s">
        <v>86</v>
      </c>
      <c r="AA196" t="s">
        <v>63</v>
      </c>
      <c r="AB196">
        <v>2</v>
      </c>
      <c r="AD196">
        <v>1</v>
      </c>
      <c r="AE196" t="s">
        <v>72</v>
      </c>
      <c r="AF196" t="s">
        <v>146</v>
      </c>
      <c r="AI196">
        <v>12</v>
      </c>
      <c r="AJ196">
        <v>34</v>
      </c>
    </row>
    <row r="197" spans="1:36" x14ac:dyDescent="0.25">
      <c r="A197" t="s">
        <v>632</v>
      </c>
      <c r="B197">
        <v>333</v>
      </c>
      <c r="C197" t="s">
        <v>33</v>
      </c>
      <c r="D197">
        <v>1</v>
      </c>
      <c r="F197">
        <v>3</v>
      </c>
      <c r="G197" t="s">
        <v>34</v>
      </c>
      <c r="K197" t="s">
        <v>43</v>
      </c>
      <c r="L197">
        <v>2</v>
      </c>
      <c r="N197">
        <v>1</v>
      </c>
      <c r="O197" t="s">
        <v>135</v>
      </c>
      <c r="P197" t="s">
        <v>99</v>
      </c>
      <c r="Q197" t="s">
        <v>75</v>
      </c>
      <c r="S197" t="s">
        <v>45</v>
      </c>
      <c r="T197">
        <v>3</v>
      </c>
      <c r="V197">
        <v>1</v>
      </c>
      <c r="W197" t="s">
        <v>140</v>
      </c>
      <c r="AA197" t="s">
        <v>63</v>
      </c>
      <c r="AB197">
        <v>2</v>
      </c>
      <c r="AD197">
        <v>1</v>
      </c>
      <c r="AE197" t="s">
        <v>72</v>
      </c>
      <c r="AF197" t="s">
        <v>95</v>
      </c>
      <c r="AG197" t="s">
        <v>104</v>
      </c>
      <c r="AI197">
        <v>11</v>
      </c>
      <c r="AJ197">
        <v>25</v>
      </c>
    </row>
    <row r="198" spans="1:36" x14ac:dyDescent="0.25">
      <c r="A198" t="s">
        <v>633</v>
      </c>
      <c r="B198">
        <v>334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2</v>
      </c>
      <c r="O198" t="s">
        <v>39</v>
      </c>
      <c r="P198" t="s">
        <v>70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3</v>
      </c>
      <c r="AD198">
        <v>1</v>
      </c>
      <c r="AE198" t="s">
        <v>44</v>
      </c>
      <c r="AI198">
        <v>5</v>
      </c>
      <c r="AJ198">
        <v>19</v>
      </c>
    </row>
    <row r="199" spans="1:36" x14ac:dyDescent="0.25">
      <c r="A199" t="s">
        <v>634</v>
      </c>
      <c r="B199">
        <v>336</v>
      </c>
      <c r="C199" t="s">
        <v>33</v>
      </c>
      <c r="D199">
        <v>1</v>
      </c>
      <c r="F199">
        <v>3</v>
      </c>
      <c r="G199" t="s">
        <v>46</v>
      </c>
      <c r="H199" t="s">
        <v>66</v>
      </c>
      <c r="I199" t="s">
        <v>132</v>
      </c>
      <c r="K199" t="s">
        <v>43</v>
      </c>
      <c r="L199">
        <v>1</v>
      </c>
      <c r="N199">
        <v>1</v>
      </c>
      <c r="O199" t="s">
        <v>135</v>
      </c>
      <c r="P199" t="s">
        <v>74</v>
      </c>
      <c r="S199" t="s">
        <v>63</v>
      </c>
      <c r="T199">
        <v>2</v>
      </c>
      <c r="V199">
        <v>1</v>
      </c>
      <c r="W199" t="s">
        <v>72</v>
      </c>
      <c r="X199" t="s">
        <v>95</v>
      </c>
      <c r="Y199" t="s">
        <v>104</v>
      </c>
      <c r="AA199" t="s">
        <v>38</v>
      </c>
      <c r="AB199">
        <v>1</v>
      </c>
      <c r="AC199">
        <v>1</v>
      </c>
      <c r="AD199">
        <v>2</v>
      </c>
      <c r="AE199" t="s">
        <v>39</v>
      </c>
      <c r="AI199">
        <v>10</v>
      </c>
      <c r="AJ199">
        <v>27</v>
      </c>
    </row>
    <row r="200" spans="1:36" x14ac:dyDescent="0.25">
      <c r="A200" t="s">
        <v>635</v>
      </c>
      <c r="B200">
        <v>339</v>
      </c>
      <c r="C200" t="s">
        <v>33</v>
      </c>
      <c r="D200">
        <v>1</v>
      </c>
      <c r="F200">
        <v>2</v>
      </c>
      <c r="G200" t="s">
        <v>34</v>
      </c>
      <c r="K200" t="s">
        <v>45</v>
      </c>
      <c r="L200">
        <v>3</v>
      </c>
      <c r="N200">
        <v>1</v>
      </c>
      <c r="O200" t="s">
        <v>140</v>
      </c>
      <c r="S200" t="s">
        <v>43</v>
      </c>
      <c r="T200">
        <v>1</v>
      </c>
      <c r="V200">
        <v>2</v>
      </c>
      <c r="W200" t="s">
        <v>73</v>
      </c>
      <c r="X200" t="s">
        <v>136</v>
      </c>
      <c r="Y200" t="s">
        <v>137</v>
      </c>
      <c r="Z200" t="s">
        <v>101</v>
      </c>
      <c r="AA200" t="s">
        <v>63</v>
      </c>
      <c r="AB200">
        <v>1</v>
      </c>
      <c r="AD200">
        <v>1</v>
      </c>
      <c r="AE200" t="s">
        <v>72</v>
      </c>
      <c r="AI200">
        <v>7</v>
      </c>
      <c r="AJ200">
        <v>21</v>
      </c>
    </row>
    <row r="201" spans="1:36" x14ac:dyDescent="0.25">
      <c r="A201" t="s">
        <v>636</v>
      </c>
      <c r="B201">
        <v>340</v>
      </c>
      <c r="C201" t="s">
        <v>43</v>
      </c>
      <c r="D201">
        <v>2</v>
      </c>
      <c r="F201">
        <v>1</v>
      </c>
      <c r="G201" t="s">
        <v>135</v>
      </c>
      <c r="K201" t="s">
        <v>38</v>
      </c>
      <c r="L201">
        <v>3</v>
      </c>
      <c r="M201">
        <v>1</v>
      </c>
      <c r="N201">
        <v>2</v>
      </c>
      <c r="O201" t="s">
        <v>39</v>
      </c>
      <c r="P201" t="s">
        <v>96</v>
      </c>
      <c r="Q201" t="s">
        <v>153</v>
      </c>
      <c r="S201" t="s">
        <v>33</v>
      </c>
      <c r="T201">
        <v>1</v>
      </c>
      <c r="V201">
        <v>1</v>
      </c>
      <c r="W201" t="s">
        <v>34</v>
      </c>
      <c r="AA201" t="s">
        <v>45</v>
      </c>
      <c r="AB201">
        <v>3</v>
      </c>
      <c r="AD201">
        <v>3</v>
      </c>
      <c r="AE201" t="s">
        <v>140</v>
      </c>
      <c r="AI201">
        <v>10</v>
      </c>
      <c r="AJ201">
        <v>27</v>
      </c>
    </row>
    <row r="202" spans="1:36" x14ac:dyDescent="0.25">
      <c r="A202" t="s">
        <v>637</v>
      </c>
      <c r="B202">
        <v>342</v>
      </c>
      <c r="C202" t="s">
        <v>63</v>
      </c>
      <c r="D202">
        <v>2</v>
      </c>
      <c r="F202">
        <v>1</v>
      </c>
      <c r="G202" t="s">
        <v>72</v>
      </c>
      <c r="H202" t="s">
        <v>146</v>
      </c>
      <c r="K202" t="s">
        <v>38</v>
      </c>
      <c r="L202">
        <v>2</v>
      </c>
      <c r="M202">
        <v>1</v>
      </c>
      <c r="N202">
        <v>3</v>
      </c>
      <c r="O202" t="s">
        <v>39</v>
      </c>
      <c r="P202" t="s">
        <v>70</v>
      </c>
      <c r="Q202" t="s">
        <v>41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3</v>
      </c>
      <c r="AD202">
        <v>2</v>
      </c>
      <c r="AE202" t="s">
        <v>140</v>
      </c>
      <c r="AF202" t="s">
        <v>141</v>
      </c>
      <c r="AI202">
        <v>11</v>
      </c>
      <c r="AJ202">
        <v>34</v>
      </c>
    </row>
    <row r="203" spans="1:36" x14ac:dyDescent="0.25">
      <c r="A203" t="s">
        <v>638</v>
      </c>
      <c r="B203">
        <v>345</v>
      </c>
      <c r="C203" t="s">
        <v>33</v>
      </c>
      <c r="D203">
        <v>1</v>
      </c>
      <c r="F203">
        <v>2</v>
      </c>
      <c r="G203" t="s">
        <v>34</v>
      </c>
      <c r="K203" t="s">
        <v>63</v>
      </c>
      <c r="L203">
        <v>3</v>
      </c>
      <c r="N203">
        <v>1</v>
      </c>
      <c r="O203" t="s">
        <v>72</v>
      </c>
      <c r="P203" t="s">
        <v>146</v>
      </c>
      <c r="Q203" t="s">
        <v>104</v>
      </c>
      <c r="S203" t="s">
        <v>43</v>
      </c>
      <c r="T203">
        <v>2</v>
      </c>
      <c r="V203">
        <v>2</v>
      </c>
      <c r="W203" t="s">
        <v>73</v>
      </c>
      <c r="X203" t="s">
        <v>99</v>
      </c>
      <c r="AA203" t="s">
        <v>45</v>
      </c>
      <c r="AB203">
        <v>3</v>
      </c>
      <c r="AD203">
        <v>1</v>
      </c>
      <c r="AE203" t="s">
        <v>140</v>
      </c>
      <c r="AI203">
        <v>10</v>
      </c>
      <c r="AJ203">
        <v>24</v>
      </c>
    </row>
    <row r="204" spans="1:36" x14ac:dyDescent="0.25">
      <c r="A204" t="s">
        <v>639</v>
      </c>
      <c r="B204">
        <v>346</v>
      </c>
      <c r="C204" t="s">
        <v>43</v>
      </c>
      <c r="D204">
        <v>2</v>
      </c>
      <c r="F204">
        <v>1</v>
      </c>
      <c r="G204" t="s">
        <v>135</v>
      </c>
      <c r="H204" t="s">
        <v>136</v>
      </c>
      <c r="K204" t="s">
        <v>38</v>
      </c>
      <c r="L204">
        <v>3</v>
      </c>
      <c r="M204">
        <v>1</v>
      </c>
      <c r="N204">
        <v>2</v>
      </c>
      <c r="O204" t="s">
        <v>67</v>
      </c>
      <c r="S204" t="s">
        <v>33</v>
      </c>
      <c r="T204">
        <v>1</v>
      </c>
      <c r="V204">
        <v>2</v>
      </c>
      <c r="W204" t="s">
        <v>34</v>
      </c>
      <c r="AA204" t="s">
        <v>63</v>
      </c>
      <c r="AB204">
        <v>2</v>
      </c>
      <c r="AD204">
        <v>1</v>
      </c>
      <c r="AE204" t="s">
        <v>72</v>
      </c>
      <c r="AF204" t="s">
        <v>95</v>
      </c>
      <c r="AG204" t="s">
        <v>104</v>
      </c>
      <c r="AI204">
        <v>9</v>
      </c>
      <c r="AJ204">
        <v>28</v>
      </c>
    </row>
    <row r="205" spans="1:36" x14ac:dyDescent="0.25">
      <c r="A205" t="s">
        <v>640</v>
      </c>
      <c r="B205">
        <v>348</v>
      </c>
      <c r="C205" t="s">
        <v>45</v>
      </c>
      <c r="D205">
        <v>2</v>
      </c>
      <c r="F205">
        <v>2</v>
      </c>
      <c r="G205" t="s">
        <v>140</v>
      </c>
      <c r="K205" t="s">
        <v>38</v>
      </c>
      <c r="L205">
        <v>1</v>
      </c>
      <c r="M205">
        <v>1</v>
      </c>
      <c r="N205">
        <v>2</v>
      </c>
      <c r="O205" t="s">
        <v>67</v>
      </c>
      <c r="S205" t="s">
        <v>33</v>
      </c>
      <c r="T205">
        <v>1</v>
      </c>
      <c r="V205">
        <v>2</v>
      </c>
      <c r="W205" t="s">
        <v>46</v>
      </c>
      <c r="AA205" t="s">
        <v>63</v>
      </c>
      <c r="AB205">
        <v>2</v>
      </c>
      <c r="AD205">
        <v>1</v>
      </c>
      <c r="AE205" t="s">
        <v>72</v>
      </c>
      <c r="AF205" t="s">
        <v>95</v>
      </c>
      <c r="AI205">
        <v>6</v>
      </c>
      <c r="AJ205">
        <v>19</v>
      </c>
    </row>
    <row r="206" spans="1:36" x14ac:dyDescent="0.25">
      <c r="A206" t="s">
        <v>641</v>
      </c>
      <c r="B206">
        <v>351</v>
      </c>
      <c r="C206" t="s">
        <v>43</v>
      </c>
      <c r="D206">
        <v>3</v>
      </c>
      <c r="F206">
        <v>1</v>
      </c>
      <c r="G206" t="s">
        <v>73</v>
      </c>
      <c r="H206" t="s">
        <v>99</v>
      </c>
      <c r="I206" t="s">
        <v>75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1</v>
      </c>
      <c r="V206">
        <v>2</v>
      </c>
      <c r="W206" t="s">
        <v>34</v>
      </c>
      <c r="AA206" t="s">
        <v>38</v>
      </c>
      <c r="AB206">
        <v>1</v>
      </c>
      <c r="AC206">
        <v>1</v>
      </c>
      <c r="AD206">
        <v>3</v>
      </c>
      <c r="AE206" t="s">
        <v>39</v>
      </c>
      <c r="AF206" t="s">
        <v>70</v>
      </c>
      <c r="AG206" t="s">
        <v>41</v>
      </c>
      <c r="AI206">
        <v>10</v>
      </c>
      <c r="AJ206">
        <v>28</v>
      </c>
    </row>
    <row r="207" spans="1:36" x14ac:dyDescent="0.25">
      <c r="A207" t="s">
        <v>642</v>
      </c>
      <c r="B207">
        <v>352</v>
      </c>
      <c r="C207" t="s">
        <v>33</v>
      </c>
      <c r="D207">
        <v>1</v>
      </c>
      <c r="F207">
        <v>3</v>
      </c>
      <c r="G207" t="s">
        <v>34</v>
      </c>
      <c r="H207" t="s">
        <v>35</v>
      </c>
      <c r="I207" t="s">
        <v>132</v>
      </c>
      <c r="J207" t="s">
        <v>37</v>
      </c>
      <c r="K207" t="s">
        <v>38</v>
      </c>
      <c r="L207">
        <v>1</v>
      </c>
      <c r="M207">
        <v>1</v>
      </c>
      <c r="N207">
        <v>1</v>
      </c>
      <c r="O207" t="s">
        <v>67</v>
      </c>
      <c r="S207" t="s">
        <v>43</v>
      </c>
      <c r="T207">
        <v>1</v>
      </c>
      <c r="V207">
        <v>1</v>
      </c>
      <c r="W207" t="s">
        <v>73</v>
      </c>
      <c r="X207" t="s">
        <v>136</v>
      </c>
      <c r="AA207" t="s">
        <v>63</v>
      </c>
      <c r="AB207">
        <v>3</v>
      </c>
      <c r="AD207">
        <v>1</v>
      </c>
      <c r="AE207" t="s">
        <v>72</v>
      </c>
      <c r="AF207" t="s">
        <v>95</v>
      </c>
      <c r="AI207">
        <v>9</v>
      </c>
      <c r="AJ207">
        <v>25</v>
      </c>
    </row>
    <row r="208" spans="1:36" x14ac:dyDescent="0.25">
      <c r="A208" t="s">
        <v>643</v>
      </c>
      <c r="B208">
        <v>354</v>
      </c>
      <c r="C208" t="s">
        <v>33</v>
      </c>
      <c r="D208">
        <v>1</v>
      </c>
      <c r="F208">
        <v>3</v>
      </c>
      <c r="G208" t="s">
        <v>34</v>
      </c>
      <c r="K208" t="s">
        <v>38</v>
      </c>
      <c r="L208">
        <v>1</v>
      </c>
      <c r="M208">
        <v>1</v>
      </c>
      <c r="N208">
        <v>2</v>
      </c>
      <c r="O208" t="s">
        <v>67</v>
      </c>
      <c r="P208" t="s">
        <v>96</v>
      </c>
      <c r="S208" t="s">
        <v>45</v>
      </c>
      <c r="T208">
        <v>2</v>
      </c>
      <c r="V208">
        <v>1</v>
      </c>
      <c r="W208" t="s">
        <v>140</v>
      </c>
      <c r="AA208" t="s">
        <v>63</v>
      </c>
      <c r="AB208">
        <v>2</v>
      </c>
      <c r="AD208">
        <v>1</v>
      </c>
      <c r="AE208" t="s">
        <v>72</v>
      </c>
      <c r="AF208" t="s">
        <v>95</v>
      </c>
      <c r="AG208" t="s">
        <v>104</v>
      </c>
      <c r="AI208">
        <v>8</v>
      </c>
      <c r="AJ208">
        <v>26</v>
      </c>
    </row>
    <row r="209" spans="1:36" x14ac:dyDescent="0.25">
      <c r="A209" t="s">
        <v>644</v>
      </c>
      <c r="B209">
        <v>363</v>
      </c>
      <c r="C209" t="s">
        <v>43</v>
      </c>
      <c r="D209">
        <v>2</v>
      </c>
      <c r="F209">
        <v>1</v>
      </c>
      <c r="G209" t="s">
        <v>73</v>
      </c>
      <c r="H209" t="s">
        <v>99</v>
      </c>
      <c r="I209" t="s">
        <v>75</v>
      </c>
      <c r="J209" t="s">
        <v>139</v>
      </c>
      <c r="K209" t="s">
        <v>45</v>
      </c>
      <c r="L209">
        <v>2</v>
      </c>
      <c r="N209">
        <v>1</v>
      </c>
      <c r="O209" t="s">
        <v>140</v>
      </c>
      <c r="S209" t="s">
        <v>63</v>
      </c>
      <c r="T209">
        <v>1</v>
      </c>
      <c r="V209">
        <v>2</v>
      </c>
      <c r="W209" t="s">
        <v>72</v>
      </c>
      <c r="X209" t="s">
        <v>91</v>
      </c>
      <c r="Y209" t="s">
        <v>148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9</v>
      </c>
      <c r="AJ209">
        <v>28</v>
      </c>
    </row>
    <row r="210" spans="1:36" x14ac:dyDescent="0.25">
      <c r="A210" t="s">
        <v>645</v>
      </c>
      <c r="B210">
        <v>366</v>
      </c>
      <c r="C210" t="s">
        <v>45</v>
      </c>
      <c r="D210">
        <v>3</v>
      </c>
      <c r="F210">
        <v>1</v>
      </c>
      <c r="G210" t="s">
        <v>140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70</v>
      </c>
      <c r="S210" t="s">
        <v>43</v>
      </c>
      <c r="T210">
        <v>2</v>
      </c>
      <c r="V210">
        <v>1</v>
      </c>
      <c r="W210" t="s">
        <v>73</v>
      </c>
      <c r="AA210" t="s">
        <v>63</v>
      </c>
      <c r="AB210">
        <v>2</v>
      </c>
      <c r="AD210">
        <v>1</v>
      </c>
      <c r="AE210" t="s">
        <v>72</v>
      </c>
      <c r="AI210">
        <v>5</v>
      </c>
      <c r="AJ210">
        <v>22</v>
      </c>
    </row>
    <row r="211" spans="1:36" x14ac:dyDescent="0.25">
      <c r="A211" t="s">
        <v>646</v>
      </c>
      <c r="B211">
        <v>369</v>
      </c>
      <c r="C211" t="s">
        <v>43</v>
      </c>
      <c r="D211">
        <v>2</v>
      </c>
      <c r="F211">
        <v>1</v>
      </c>
      <c r="G211" t="s">
        <v>135</v>
      </c>
      <c r="K211" t="s">
        <v>38</v>
      </c>
      <c r="L211">
        <v>3</v>
      </c>
      <c r="M211">
        <v>1</v>
      </c>
      <c r="N211">
        <v>2</v>
      </c>
      <c r="O211" t="s">
        <v>67</v>
      </c>
      <c r="P211" t="s">
        <v>96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1</v>
      </c>
      <c r="AD211">
        <v>1</v>
      </c>
      <c r="AE211" t="s">
        <v>72</v>
      </c>
      <c r="AF211" t="s">
        <v>95</v>
      </c>
      <c r="AG211" t="s">
        <v>147</v>
      </c>
      <c r="AI211">
        <v>8</v>
      </c>
      <c r="AJ211">
        <v>23</v>
      </c>
    </row>
  </sheetData>
  <conditionalFormatting sqref="B1">
    <cfRule type="duplicateValues" dxfId="17" priority="7"/>
  </conditionalFormatting>
  <conditionalFormatting sqref="B212:B1048576 B1">
    <cfRule type="duplicateValues" dxfId="16" priority="5"/>
  </conditionalFormatting>
  <conditionalFormatting sqref="A212:B1048576">
    <cfRule type="duplicateValues" dxfId="15" priority="2847"/>
  </conditionalFormatting>
  <conditionalFormatting sqref="B2:B211">
    <cfRule type="duplicateValues" dxfId="14" priority="3539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9.8047619047619055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3" s="3">
        <f>IF(ScenarioTeams1[[#This Row],[battles]],ScenarioTeams1[[#This Row],[wins]]/ScenarioTeams1[[#This Row],[battles]],0)</f>
        <v>0.26666666666666666</v>
      </c>
      <c r="O3" s="4" t="s">
        <v>159</v>
      </c>
      <c r="P3" s="30">
        <f>MAX(Scenario1[crystals])</f>
        <v>20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5" s="3">
        <f>IF(ScenarioTeams1[[#This Row],[battles]],ScenarioTeams1[[#This Row],[wins]]/ScenarioTeams1[[#This Row],[battles]],0)</f>
        <v>0.53333333333333333</v>
      </c>
      <c r="O5" s="4" t="s">
        <v>158</v>
      </c>
      <c r="P5" s="30">
        <f>MIN(Scenario1[turns])</f>
        <v>16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6" s="3">
        <f>IF(ScenarioTeams1[[#This Row],[battles]],ScenarioTeams1[[#This Row],[wins]]/ScenarioTeams1[[#This Row],[battles]],0)</f>
        <v>0.46666666666666667</v>
      </c>
      <c r="O6" s="5" t="s">
        <v>108</v>
      </c>
      <c r="P6" s="31">
        <f>AVERAGE(Scenario1[turns])</f>
        <v>28.657142857142858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63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8" s="3">
        <f>IF(ScenarioTeams1[[#This Row],[battles]],ScenarioTeams1[[#This Row],[wins]]/ScenarioTeams1[[#This Row],[battles]],0)</f>
        <v>0.13333333333333333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9" s="3">
        <f>IF(ScenarioTeams1[[#This Row],[battles]],ScenarioTeams1[[#This Row],[wins]]/ScenarioTeams1[[#This Row],[battles]],0)</f>
        <v>0.8</v>
      </c>
      <c r="O9" s="4" t="s">
        <v>185</v>
      </c>
      <c r="P9" s="30">
        <f>120000*$P$6/1000/60</f>
        <v>57.314285714285717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0" s="3">
        <f>IF(ScenarioTeams1[[#This Row],[battles]],ScenarioTeams1[[#This Row],[wins]]/ScenarioTeams1[[#This Row],[battles]],0)</f>
        <v>0.46666666666666667</v>
      </c>
      <c r="O10" s="5" t="s">
        <v>186</v>
      </c>
      <c r="P10" s="31">
        <f>P9*COUNTA(ScenarioStat1[hero-1])/60/24</f>
        <v>8.3583333333333325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1" s="3">
        <f>IF(ScenarioTeams1[[#This Row],[battles]],ScenarioTeams1[[#This Row],[wins]]/ScenarioTeams1[[#This Row],[battles]],0)</f>
        <v>0.2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2" s="3">
        <f>IF(ScenarioTeams1[[#This Row],[battles]],ScenarioTeams1[[#This Row],[wins]]/ScenarioTeams1[[#This Row],[battles]],0)</f>
        <v>0.33333333333333331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3" s="3">
        <f>IF(ScenarioTeams1[[#This Row],[battles]],ScenarioTeams1[[#This Row],[wins]]/ScenarioTeams1[[#This Row],[battles]],0)</f>
        <v>0.33333333333333331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4" s="3">
        <f>IF(ScenarioTeams1[[#This Row],[battles]],ScenarioTeams1[[#This Row],[wins]]/ScenarioTeams1[[#This Row],[battles]],0)</f>
        <v>0.26666666666666666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5" s="3">
        <f>IF(ScenarioTeams1[[#This Row],[battles]],ScenarioTeams1[[#This Row],[wins]]/ScenarioTeams1[[#This Row],[battles]],0)</f>
        <v>0.66666666666666663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6" s="3">
        <f>IF(ScenarioTeams1[[#This Row],[battles]],ScenarioTeams1[[#This Row],[wins]]/ScenarioTeams1[[#This Row],[battles]],0)</f>
        <v>0.53333333333333333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9" s="3">
        <f>IF(ScenarioTeams1[[#This Row],[battles]],ScenarioTeams1[[#This Row],[wins]]/ScenarioTeams1[[#This Row],[battles]],0)</f>
        <v>0.4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14</v>
      </c>
      <c r="M20" s="3">
        <f>IF(ScenarioTeams1[[#This Row],[battles]],ScenarioTeams1[[#This Row],[wins]]/ScenarioTeams1[[#This Row],[battles]],0)</f>
        <v>0.93333333333333335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1" s="3">
        <f>IF(ScenarioTeams1[[#This Row],[battles]],ScenarioTeams1[[#This Row],[wins]]/ScenarioTeams1[[#This Row],[battles]],0)</f>
        <v>0.6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2" s="3">
        <f>IF(ScenarioTeams1[[#This Row],[battles]],ScenarioTeams1[[#This Row],[wins]]/ScenarioTeams1[[#This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3" s="3">
        <f>IF(ScenarioTeams1[[#This Row],[battles]],ScenarioTeams1[[#This Row],[wins]]/ScenarioTeams1[[#This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4" s="3">
        <f>IF(ScenarioTeams1[[#This Row],[battles]],ScenarioTeams1[[#This Row],[wins]]/ScenarioTeams1[[#This Row],[battles]],0)</f>
        <v>0.8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5" s="3">
        <f>IF(ScenarioTeams1[[#This Row],[battles]],ScenarioTeams1[[#This Row],[wins]]/ScenarioTeams1[[#This Row],[battles]],0)</f>
        <v>0.46666666666666667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6" s="3">
        <f>IF(ScenarioTeams1[[#This Row],[battles]],ScenarioTeams1[[#This Row],[wins]]/ScenarioTeams1[[#This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7" s="3">
        <f>IF(ScenarioTeams1[[#This Row],[battles]],ScenarioTeams1[[#This Row],[wins]]/ScenarioTeams1[[#This Row],[battles]],0)</f>
        <v>0.8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8" s="3">
        <f>IF(ScenarioTeams1[[#This Row],[battles]],ScenarioTeams1[[#This Row],[wins]]/ScenarioTeams1[[#This Row],[battles]],0)</f>
        <v>0.33333333333333331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9" s="3">
        <f>IF(ScenarioTeams1[[#This Row],[battles]],ScenarioTeams1[[#This Row],[wins]]/ScenarioTeams1[[#This Row],[battles]],0)</f>
        <v>0.8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30" s="3">
        <f>IF(ScenarioTeams1[[#This Row],[battles]],ScenarioTeams1[[#This Row],[wins]]/ScenarioTeams1[[#This Row],[battles]],0)</f>
        <v>0.4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V4" sqref="V4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647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88</v>
      </c>
      <c r="S2">
        <v>0</v>
      </c>
      <c r="T2">
        <v>25</v>
      </c>
    </row>
    <row r="3" spans="1:20" x14ac:dyDescent="0.25">
      <c r="A3" t="s">
        <v>675</v>
      </c>
      <c r="B3">
        <v>0</v>
      </c>
      <c r="C3" t="s">
        <v>56</v>
      </c>
      <c r="D3">
        <v>3</v>
      </c>
      <c r="F3">
        <v>2</v>
      </c>
      <c r="G3" t="s">
        <v>120</v>
      </c>
      <c r="H3" t="s">
        <v>69</v>
      </c>
      <c r="I3" t="s">
        <v>87</v>
      </c>
      <c r="K3" t="s">
        <v>53</v>
      </c>
      <c r="L3">
        <v>3</v>
      </c>
      <c r="M3">
        <v>3</v>
      </c>
      <c r="N3">
        <v>3</v>
      </c>
      <c r="O3" t="s">
        <v>112</v>
      </c>
      <c r="S3">
        <v>0</v>
      </c>
      <c r="T3">
        <v>14</v>
      </c>
    </row>
    <row r="4" spans="1:20" x14ac:dyDescent="0.25">
      <c r="A4" t="s">
        <v>648</v>
      </c>
      <c r="B4">
        <v>1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114</v>
      </c>
      <c r="J4" t="s">
        <v>115</v>
      </c>
      <c r="K4" t="s">
        <v>48</v>
      </c>
      <c r="L4">
        <v>3</v>
      </c>
      <c r="N4">
        <v>3</v>
      </c>
      <c r="O4" t="s">
        <v>49</v>
      </c>
      <c r="P4" t="s">
        <v>84</v>
      </c>
      <c r="Q4" t="s">
        <v>127</v>
      </c>
      <c r="R4" t="s">
        <v>52</v>
      </c>
      <c r="S4">
        <v>0</v>
      </c>
      <c r="T4">
        <v>21</v>
      </c>
    </row>
    <row r="5" spans="1:20" x14ac:dyDescent="0.25">
      <c r="A5" t="s">
        <v>676</v>
      </c>
      <c r="B5">
        <v>1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114</v>
      </c>
      <c r="J5" t="s">
        <v>98</v>
      </c>
      <c r="K5" t="s">
        <v>48</v>
      </c>
      <c r="L5">
        <v>3</v>
      </c>
      <c r="N5">
        <v>3</v>
      </c>
      <c r="O5" t="s">
        <v>126</v>
      </c>
      <c r="P5" t="s">
        <v>84</v>
      </c>
      <c r="Q5" t="s">
        <v>90</v>
      </c>
      <c r="R5" t="s">
        <v>52</v>
      </c>
      <c r="S5">
        <v>0</v>
      </c>
      <c r="T5">
        <v>33</v>
      </c>
    </row>
    <row r="6" spans="1:20" x14ac:dyDescent="0.25">
      <c r="A6" t="s">
        <v>677</v>
      </c>
      <c r="B6">
        <v>2</v>
      </c>
      <c r="C6" t="s">
        <v>53</v>
      </c>
      <c r="D6">
        <v>3</v>
      </c>
      <c r="E6">
        <v>1</v>
      </c>
      <c r="F6">
        <v>1</v>
      </c>
      <c r="G6" t="s">
        <v>111</v>
      </c>
      <c r="H6" t="s">
        <v>83</v>
      </c>
      <c r="K6" t="s">
        <v>33</v>
      </c>
      <c r="L6">
        <v>2</v>
      </c>
      <c r="N6">
        <v>3</v>
      </c>
      <c r="O6" t="s">
        <v>34</v>
      </c>
      <c r="S6">
        <v>0</v>
      </c>
      <c r="T6">
        <v>8</v>
      </c>
    </row>
    <row r="7" spans="1:20" x14ac:dyDescent="0.25">
      <c r="A7" t="s">
        <v>649</v>
      </c>
      <c r="B7">
        <v>2</v>
      </c>
      <c r="C7" t="s">
        <v>33</v>
      </c>
      <c r="D7">
        <v>3</v>
      </c>
      <c r="F7">
        <v>3</v>
      </c>
      <c r="G7" t="s">
        <v>34</v>
      </c>
      <c r="H7" t="s">
        <v>35</v>
      </c>
      <c r="I7" t="s">
        <v>132</v>
      </c>
      <c r="J7" t="s">
        <v>133</v>
      </c>
      <c r="K7" t="s">
        <v>53</v>
      </c>
      <c r="L7">
        <v>2</v>
      </c>
      <c r="M7">
        <v>3</v>
      </c>
      <c r="N7">
        <v>2</v>
      </c>
      <c r="O7" t="s">
        <v>111</v>
      </c>
      <c r="P7" t="s">
        <v>55</v>
      </c>
      <c r="Q7" t="s">
        <v>97</v>
      </c>
      <c r="S7">
        <v>0</v>
      </c>
      <c r="T7">
        <v>17</v>
      </c>
    </row>
    <row r="8" spans="1:20" x14ac:dyDescent="0.25">
      <c r="A8" t="s">
        <v>650</v>
      </c>
      <c r="B8">
        <v>3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97</v>
      </c>
      <c r="J8" t="s">
        <v>98</v>
      </c>
      <c r="K8" t="s">
        <v>43</v>
      </c>
      <c r="L8">
        <v>3</v>
      </c>
      <c r="N8">
        <v>3</v>
      </c>
      <c r="O8" t="s">
        <v>135</v>
      </c>
      <c r="P8" t="s">
        <v>74</v>
      </c>
      <c r="Q8" t="s">
        <v>75</v>
      </c>
      <c r="R8" t="s">
        <v>138</v>
      </c>
      <c r="S8">
        <v>0</v>
      </c>
      <c r="T8">
        <v>22</v>
      </c>
    </row>
    <row r="9" spans="1:20" x14ac:dyDescent="0.25">
      <c r="A9" t="s">
        <v>678</v>
      </c>
      <c r="B9">
        <v>3</v>
      </c>
      <c r="C9" t="s">
        <v>53</v>
      </c>
      <c r="D9">
        <v>2</v>
      </c>
      <c r="E9">
        <v>3</v>
      </c>
      <c r="F9">
        <v>3</v>
      </c>
      <c r="G9" t="s">
        <v>112</v>
      </c>
      <c r="H9" t="s">
        <v>83</v>
      </c>
      <c r="I9" t="s">
        <v>114</v>
      </c>
      <c r="K9" t="s">
        <v>43</v>
      </c>
      <c r="L9">
        <v>3</v>
      </c>
      <c r="N9">
        <v>3</v>
      </c>
      <c r="O9" t="s">
        <v>135</v>
      </c>
      <c r="P9" t="s">
        <v>74</v>
      </c>
      <c r="Q9" t="s">
        <v>137</v>
      </c>
      <c r="R9" t="s">
        <v>139</v>
      </c>
      <c r="S9">
        <v>0</v>
      </c>
      <c r="T9">
        <v>16</v>
      </c>
    </row>
    <row r="10" spans="1:20" x14ac:dyDescent="0.25">
      <c r="A10" t="s">
        <v>651</v>
      </c>
      <c r="B10">
        <v>4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55</v>
      </c>
      <c r="I10" t="s">
        <v>114</v>
      </c>
      <c r="J10" t="s">
        <v>98</v>
      </c>
      <c r="K10" t="s">
        <v>45</v>
      </c>
      <c r="L10">
        <v>3</v>
      </c>
      <c r="N10">
        <v>3</v>
      </c>
      <c r="O10" t="s">
        <v>86</v>
      </c>
      <c r="P10" t="s">
        <v>141</v>
      </c>
      <c r="Q10" t="s">
        <v>93</v>
      </c>
      <c r="R10" t="s">
        <v>94</v>
      </c>
      <c r="S10">
        <v>0</v>
      </c>
      <c r="T10">
        <v>20</v>
      </c>
    </row>
    <row r="11" spans="1:20" x14ac:dyDescent="0.25">
      <c r="A11" t="s">
        <v>679</v>
      </c>
      <c r="B11">
        <v>4</v>
      </c>
      <c r="C11" t="s">
        <v>53</v>
      </c>
      <c r="D11">
        <v>1</v>
      </c>
      <c r="E11">
        <v>3</v>
      </c>
      <c r="F11">
        <v>3</v>
      </c>
      <c r="G11" t="s">
        <v>112</v>
      </c>
      <c r="H11" t="s">
        <v>83</v>
      </c>
      <c r="K11" t="s">
        <v>45</v>
      </c>
      <c r="L11">
        <v>3</v>
      </c>
      <c r="N11">
        <v>1</v>
      </c>
      <c r="O11" t="s">
        <v>86</v>
      </c>
      <c r="P11" t="s">
        <v>141</v>
      </c>
      <c r="Q11" t="s">
        <v>93</v>
      </c>
      <c r="R11" t="s">
        <v>94</v>
      </c>
      <c r="S11">
        <v>0</v>
      </c>
      <c r="T11">
        <v>12</v>
      </c>
    </row>
    <row r="12" spans="1:20" x14ac:dyDescent="0.25">
      <c r="A12" t="s">
        <v>652</v>
      </c>
      <c r="B12">
        <v>5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98</v>
      </c>
      <c r="K12" t="s">
        <v>63</v>
      </c>
      <c r="L12">
        <v>3</v>
      </c>
      <c r="N12">
        <v>3</v>
      </c>
      <c r="O12" t="s">
        <v>103</v>
      </c>
      <c r="P12" t="s">
        <v>91</v>
      </c>
      <c r="Q12" t="s">
        <v>148</v>
      </c>
      <c r="R12" t="s">
        <v>151</v>
      </c>
      <c r="S12">
        <v>0</v>
      </c>
      <c r="T12">
        <v>29</v>
      </c>
    </row>
    <row r="13" spans="1:20" x14ac:dyDescent="0.25">
      <c r="A13" t="s">
        <v>680</v>
      </c>
      <c r="B13">
        <v>5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114</v>
      </c>
      <c r="J13" t="s">
        <v>115</v>
      </c>
      <c r="K13" t="s">
        <v>63</v>
      </c>
      <c r="L13">
        <v>3</v>
      </c>
      <c r="N13">
        <v>3</v>
      </c>
      <c r="O13" t="s">
        <v>103</v>
      </c>
      <c r="P13" t="s">
        <v>91</v>
      </c>
      <c r="Q13" t="s">
        <v>148</v>
      </c>
      <c r="R13" t="s">
        <v>151</v>
      </c>
      <c r="S13">
        <v>0</v>
      </c>
      <c r="T13">
        <v>25</v>
      </c>
    </row>
    <row r="14" spans="1:20" x14ac:dyDescent="0.25">
      <c r="A14" t="s">
        <v>653</v>
      </c>
      <c r="B14">
        <v>6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105</v>
      </c>
      <c r="J14" t="s">
        <v>98</v>
      </c>
      <c r="K14" t="s">
        <v>38</v>
      </c>
      <c r="L14">
        <v>3</v>
      </c>
      <c r="M14">
        <v>3</v>
      </c>
      <c r="N14">
        <v>3</v>
      </c>
      <c r="O14" t="s">
        <v>152</v>
      </c>
      <c r="P14" t="s">
        <v>40</v>
      </c>
      <c r="Q14" t="s">
        <v>154</v>
      </c>
      <c r="R14" t="s">
        <v>42</v>
      </c>
      <c r="S14">
        <v>0</v>
      </c>
      <c r="T14">
        <v>22</v>
      </c>
    </row>
    <row r="15" spans="1:20" x14ac:dyDescent="0.25">
      <c r="A15" t="s">
        <v>681</v>
      </c>
      <c r="B15">
        <v>6</v>
      </c>
      <c r="C15" t="s">
        <v>53</v>
      </c>
      <c r="D15">
        <v>2</v>
      </c>
      <c r="E15">
        <v>3</v>
      </c>
      <c r="F15">
        <v>2</v>
      </c>
      <c r="G15" t="s">
        <v>112</v>
      </c>
      <c r="H15" t="s">
        <v>55</v>
      </c>
      <c r="K15" t="s">
        <v>38</v>
      </c>
      <c r="L15">
        <v>3</v>
      </c>
      <c r="M15">
        <v>2</v>
      </c>
      <c r="N15">
        <v>1</v>
      </c>
      <c r="O15" t="s">
        <v>152</v>
      </c>
      <c r="P15" t="s">
        <v>40</v>
      </c>
      <c r="Q15" t="s">
        <v>41</v>
      </c>
      <c r="S15">
        <v>0</v>
      </c>
      <c r="T15">
        <v>12</v>
      </c>
    </row>
    <row r="16" spans="1:20" x14ac:dyDescent="0.25">
      <c r="A16" t="s">
        <v>654</v>
      </c>
      <c r="B16">
        <v>8</v>
      </c>
      <c r="C16" t="s">
        <v>56</v>
      </c>
      <c r="D16">
        <v>2</v>
      </c>
      <c r="F16">
        <v>1</v>
      </c>
      <c r="G16" t="s">
        <v>120</v>
      </c>
      <c r="H16" t="s">
        <v>122</v>
      </c>
      <c r="I16" t="s">
        <v>85</v>
      </c>
      <c r="K16" t="s">
        <v>48</v>
      </c>
      <c r="L16">
        <v>1</v>
      </c>
      <c r="N16">
        <v>1</v>
      </c>
      <c r="O16" t="s">
        <v>49</v>
      </c>
      <c r="P16" t="s">
        <v>84</v>
      </c>
      <c r="Q16" t="s">
        <v>127</v>
      </c>
      <c r="R16" t="s">
        <v>52</v>
      </c>
      <c r="S16">
        <v>0</v>
      </c>
      <c r="T16">
        <v>8</v>
      </c>
    </row>
    <row r="17" spans="1:20" x14ac:dyDescent="0.25">
      <c r="A17" t="s">
        <v>682</v>
      </c>
      <c r="B17">
        <v>8</v>
      </c>
      <c r="C17" t="s">
        <v>48</v>
      </c>
      <c r="D17">
        <v>2</v>
      </c>
      <c r="F17">
        <v>2</v>
      </c>
      <c r="G17" t="s">
        <v>49</v>
      </c>
      <c r="H17" t="s">
        <v>84</v>
      </c>
      <c r="I17" t="s">
        <v>90</v>
      </c>
      <c r="J17" t="s">
        <v>128</v>
      </c>
      <c r="K17" t="s">
        <v>56</v>
      </c>
      <c r="L17">
        <v>3</v>
      </c>
      <c r="N17">
        <v>1</v>
      </c>
      <c r="O17" t="s">
        <v>120</v>
      </c>
      <c r="P17" t="s">
        <v>122</v>
      </c>
      <c r="Q17" t="s">
        <v>87</v>
      </c>
      <c r="S17">
        <v>0</v>
      </c>
      <c r="T17">
        <v>11</v>
      </c>
    </row>
    <row r="18" spans="1:20" x14ac:dyDescent="0.25">
      <c r="A18" t="s">
        <v>655</v>
      </c>
      <c r="B18">
        <v>9</v>
      </c>
      <c r="C18" t="s">
        <v>56</v>
      </c>
      <c r="D18">
        <v>2</v>
      </c>
      <c r="F18">
        <v>1</v>
      </c>
      <c r="G18" t="s">
        <v>120</v>
      </c>
      <c r="H18" t="s">
        <v>122</v>
      </c>
      <c r="I18" t="s">
        <v>87</v>
      </c>
      <c r="K18" t="s">
        <v>33</v>
      </c>
      <c r="L18">
        <v>2</v>
      </c>
      <c r="N18">
        <v>3</v>
      </c>
      <c r="O18" t="s">
        <v>34</v>
      </c>
      <c r="S18">
        <v>0</v>
      </c>
      <c r="T18">
        <v>8</v>
      </c>
    </row>
    <row r="19" spans="1:20" x14ac:dyDescent="0.25">
      <c r="A19" t="s">
        <v>683</v>
      </c>
      <c r="B19">
        <v>9</v>
      </c>
      <c r="C19" t="s">
        <v>56</v>
      </c>
      <c r="D19">
        <v>2</v>
      </c>
      <c r="F19">
        <v>1</v>
      </c>
      <c r="G19" t="s">
        <v>120</v>
      </c>
      <c r="H19" t="s">
        <v>122</v>
      </c>
      <c r="I19" t="s">
        <v>87</v>
      </c>
      <c r="K19" t="s">
        <v>33</v>
      </c>
      <c r="L19">
        <v>2</v>
      </c>
      <c r="N19">
        <v>3</v>
      </c>
      <c r="O19" t="s">
        <v>34</v>
      </c>
      <c r="S19">
        <v>0</v>
      </c>
      <c r="T19">
        <v>8</v>
      </c>
    </row>
    <row r="20" spans="1:20" x14ac:dyDescent="0.25">
      <c r="A20" t="s">
        <v>684</v>
      </c>
      <c r="B20">
        <v>10</v>
      </c>
      <c r="C20" t="s">
        <v>56</v>
      </c>
      <c r="D20">
        <v>2</v>
      </c>
      <c r="F20">
        <v>1</v>
      </c>
      <c r="G20" t="s">
        <v>120</v>
      </c>
      <c r="H20" t="s">
        <v>122</v>
      </c>
      <c r="K20" t="s">
        <v>43</v>
      </c>
      <c r="L20">
        <v>2</v>
      </c>
      <c r="N20">
        <v>1</v>
      </c>
      <c r="O20" t="s">
        <v>135</v>
      </c>
      <c r="P20" t="s">
        <v>74</v>
      </c>
      <c r="S20">
        <v>0</v>
      </c>
      <c r="T20">
        <v>6</v>
      </c>
    </row>
    <row r="21" spans="1:20" x14ac:dyDescent="0.25">
      <c r="A21" t="s">
        <v>656</v>
      </c>
      <c r="B21">
        <v>10</v>
      </c>
      <c r="C21" t="s">
        <v>43</v>
      </c>
      <c r="D21">
        <v>3</v>
      </c>
      <c r="F21">
        <v>2</v>
      </c>
      <c r="G21" t="s">
        <v>135</v>
      </c>
      <c r="H21" t="s">
        <v>74</v>
      </c>
      <c r="K21" t="s">
        <v>56</v>
      </c>
      <c r="L21">
        <v>2</v>
      </c>
      <c r="N21">
        <v>2</v>
      </c>
      <c r="O21" t="s">
        <v>120</v>
      </c>
      <c r="P21" t="s">
        <v>122</v>
      </c>
      <c r="S21">
        <v>0</v>
      </c>
      <c r="T21">
        <v>9</v>
      </c>
    </row>
    <row r="22" spans="1:20" x14ac:dyDescent="0.25">
      <c r="A22" t="s">
        <v>657</v>
      </c>
      <c r="B22">
        <v>11</v>
      </c>
      <c r="C22" t="s">
        <v>56</v>
      </c>
      <c r="D22">
        <v>2</v>
      </c>
      <c r="F22">
        <v>1</v>
      </c>
      <c r="G22" t="s">
        <v>120</v>
      </c>
      <c r="H22" t="s">
        <v>121</v>
      </c>
      <c r="K22" t="s">
        <v>45</v>
      </c>
      <c r="L22">
        <v>3</v>
      </c>
      <c r="N22">
        <v>1</v>
      </c>
      <c r="O22" t="s">
        <v>140</v>
      </c>
      <c r="S22">
        <v>0</v>
      </c>
      <c r="T22">
        <v>6</v>
      </c>
    </row>
    <row r="23" spans="1:20" x14ac:dyDescent="0.25">
      <c r="A23" t="s">
        <v>685</v>
      </c>
      <c r="B23">
        <v>11</v>
      </c>
      <c r="C23" t="s">
        <v>56</v>
      </c>
      <c r="D23">
        <v>2</v>
      </c>
      <c r="F23">
        <v>1</v>
      </c>
      <c r="G23" t="s">
        <v>120</v>
      </c>
      <c r="H23" t="s">
        <v>122</v>
      </c>
      <c r="K23" t="s">
        <v>45</v>
      </c>
      <c r="L23">
        <v>3</v>
      </c>
      <c r="N23">
        <v>1</v>
      </c>
      <c r="O23" t="s">
        <v>140</v>
      </c>
      <c r="S23">
        <v>0</v>
      </c>
      <c r="T23">
        <v>6</v>
      </c>
    </row>
    <row r="24" spans="1:20" x14ac:dyDescent="0.25">
      <c r="A24" t="s">
        <v>658</v>
      </c>
      <c r="B24">
        <v>12</v>
      </c>
      <c r="C24" t="s">
        <v>56</v>
      </c>
      <c r="D24">
        <v>3</v>
      </c>
      <c r="F24">
        <v>1</v>
      </c>
      <c r="G24" t="s">
        <v>57</v>
      </c>
      <c r="H24" t="s">
        <v>122</v>
      </c>
      <c r="K24" t="s">
        <v>63</v>
      </c>
      <c r="L24">
        <v>1</v>
      </c>
      <c r="N24">
        <v>1</v>
      </c>
      <c r="O24" t="s">
        <v>103</v>
      </c>
      <c r="P24" t="s">
        <v>146</v>
      </c>
      <c r="Q24" t="s">
        <v>104</v>
      </c>
      <c r="S24">
        <v>0</v>
      </c>
      <c r="T24">
        <v>7</v>
      </c>
    </row>
    <row r="25" spans="1:20" x14ac:dyDescent="0.25">
      <c r="A25" t="s">
        <v>686</v>
      </c>
      <c r="B25">
        <v>12</v>
      </c>
      <c r="C25" t="s">
        <v>56</v>
      </c>
      <c r="D25">
        <v>3</v>
      </c>
      <c r="F25">
        <v>2</v>
      </c>
      <c r="G25" t="s">
        <v>57</v>
      </c>
      <c r="H25" t="s">
        <v>122</v>
      </c>
      <c r="K25" t="s">
        <v>63</v>
      </c>
      <c r="L25">
        <v>1</v>
      </c>
      <c r="N25">
        <v>2</v>
      </c>
      <c r="O25" t="s">
        <v>103</v>
      </c>
      <c r="P25" t="s">
        <v>146</v>
      </c>
      <c r="Q25" t="s">
        <v>104</v>
      </c>
      <c r="S25">
        <v>0</v>
      </c>
      <c r="T25">
        <v>9</v>
      </c>
    </row>
    <row r="26" spans="1:20" x14ac:dyDescent="0.25">
      <c r="A26" t="s">
        <v>659</v>
      </c>
      <c r="B26">
        <v>13</v>
      </c>
      <c r="C26" t="s">
        <v>38</v>
      </c>
      <c r="D26">
        <v>3</v>
      </c>
      <c r="E26">
        <v>3</v>
      </c>
      <c r="F26">
        <v>3</v>
      </c>
      <c r="G26" t="s">
        <v>39</v>
      </c>
      <c r="H26" t="s">
        <v>96</v>
      </c>
      <c r="I26" t="s">
        <v>153</v>
      </c>
      <c r="J26" t="s">
        <v>156</v>
      </c>
      <c r="K26" t="s">
        <v>56</v>
      </c>
      <c r="L26">
        <v>3</v>
      </c>
      <c r="N26">
        <v>3</v>
      </c>
      <c r="O26" t="s">
        <v>57</v>
      </c>
      <c r="P26" t="s">
        <v>122</v>
      </c>
      <c r="Q26" t="s">
        <v>85</v>
      </c>
      <c r="R26" t="s">
        <v>125</v>
      </c>
      <c r="S26">
        <v>0</v>
      </c>
      <c r="T26">
        <v>29</v>
      </c>
    </row>
    <row r="27" spans="1:20" x14ac:dyDescent="0.25">
      <c r="A27" t="s">
        <v>687</v>
      </c>
      <c r="B27">
        <v>13</v>
      </c>
      <c r="C27" t="s">
        <v>38</v>
      </c>
      <c r="D27">
        <v>1</v>
      </c>
      <c r="E27">
        <v>1</v>
      </c>
      <c r="F27">
        <v>2</v>
      </c>
      <c r="G27" t="s">
        <v>39</v>
      </c>
      <c r="H27" t="s">
        <v>96</v>
      </c>
      <c r="I27" t="s">
        <v>154</v>
      </c>
      <c r="J27" t="s">
        <v>155</v>
      </c>
      <c r="K27" t="s">
        <v>56</v>
      </c>
      <c r="L27">
        <v>2</v>
      </c>
      <c r="N27">
        <v>1</v>
      </c>
      <c r="O27" t="s">
        <v>57</v>
      </c>
      <c r="P27" t="s">
        <v>122</v>
      </c>
      <c r="Q27" t="s">
        <v>85</v>
      </c>
      <c r="S27">
        <v>0</v>
      </c>
      <c r="T27">
        <v>9</v>
      </c>
    </row>
    <row r="28" spans="1:20" x14ac:dyDescent="0.25">
      <c r="A28" t="s">
        <v>660</v>
      </c>
      <c r="B28">
        <v>15</v>
      </c>
      <c r="C28" t="s">
        <v>33</v>
      </c>
      <c r="D28">
        <v>2</v>
      </c>
      <c r="F28">
        <v>2</v>
      </c>
      <c r="G28" t="s">
        <v>34</v>
      </c>
      <c r="H28" t="s">
        <v>66</v>
      </c>
      <c r="K28" t="s">
        <v>48</v>
      </c>
      <c r="L28">
        <v>1</v>
      </c>
      <c r="N28">
        <v>1</v>
      </c>
      <c r="O28" t="s">
        <v>89</v>
      </c>
      <c r="P28" t="s">
        <v>50</v>
      </c>
      <c r="Q28" t="s">
        <v>51</v>
      </c>
      <c r="S28">
        <v>0</v>
      </c>
      <c r="T28">
        <v>7</v>
      </c>
    </row>
    <row r="29" spans="1:20" x14ac:dyDescent="0.25">
      <c r="A29" t="s">
        <v>688</v>
      </c>
      <c r="B29">
        <v>15</v>
      </c>
      <c r="C29" t="s">
        <v>48</v>
      </c>
      <c r="D29">
        <v>2</v>
      </c>
      <c r="F29">
        <v>1</v>
      </c>
      <c r="G29" t="s">
        <v>89</v>
      </c>
      <c r="H29" t="s">
        <v>71</v>
      </c>
      <c r="K29" t="s">
        <v>33</v>
      </c>
      <c r="L29">
        <v>3</v>
      </c>
      <c r="N29">
        <v>1</v>
      </c>
      <c r="O29" t="s">
        <v>34</v>
      </c>
      <c r="S29">
        <v>0</v>
      </c>
      <c r="T29">
        <v>6</v>
      </c>
    </row>
    <row r="30" spans="1:20" x14ac:dyDescent="0.25">
      <c r="A30" t="s">
        <v>661</v>
      </c>
      <c r="B30">
        <v>16</v>
      </c>
      <c r="C30" t="s">
        <v>48</v>
      </c>
      <c r="D30">
        <v>3</v>
      </c>
      <c r="F30">
        <v>3</v>
      </c>
      <c r="G30" t="s">
        <v>126</v>
      </c>
      <c r="H30" t="s">
        <v>84</v>
      </c>
      <c r="I30" t="s">
        <v>90</v>
      </c>
      <c r="J30" t="s">
        <v>128</v>
      </c>
      <c r="K30" t="s">
        <v>43</v>
      </c>
      <c r="L30">
        <v>3</v>
      </c>
      <c r="N30">
        <v>3</v>
      </c>
      <c r="O30" t="s">
        <v>135</v>
      </c>
      <c r="P30" t="s">
        <v>74</v>
      </c>
      <c r="Q30" t="s">
        <v>137</v>
      </c>
      <c r="R30" t="s">
        <v>139</v>
      </c>
      <c r="S30">
        <v>0</v>
      </c>
      <c r="T30">
        <v>24</v>
      </c>
    </row>
    <row r="31" spans="1:20" x14ac:dyDescent="0.25">
      <c r="A31" t="s">
        <v>689</v>
      </c>
      <c r="B31">
        <v>16</v>
      </c>
      <c r="C31" t="s">
        <v>48</v>
      </c>
      <c r="D31">
        <v>3</v>
      </c>
      <c r="F31">
        <v>3</v>
      </c>
      <c r="G31" t="s">
        <v>126</v>
      </c>
      <c r="H31" t="s">
        <v>84</v>
      </c>
      <c r="I31" t="s">
        <v>90</v>
      </c>
      <c r="J31" t="s">
        <v>128</v>
      </c>
      <c r="K31" t="s">
        <v>43</v>
      </c>
      <c r="L31">
        <v>3</v>
      </c>
      <c r="N31">
        <v>3</v>
      </c>
      <c r="O31" t="s">
        <v>135</v>
      </c>
      <c r="P31" t="s">
        <v>74</v>
      </c>
      <c r="Q31" t="s">
        <v>137</v>
      </c>
      <c r="R31" t="s">
        <v>139</v>
      </c>
      <c r="S31">
        <v>0</v>
      </c>
      <c r="T31">
        <v>20</v>
      </c>
    </row>
    <row r="32" spans="1:20" x14ac:dyDescent="0.25">
      <c r="A32" t="s">
        <v>662</v>
      </c>
      <c r="B32">
        <v>17</v>
      </c>
      <c r="C32" t="s">
        <v>48</v>
      </c>
      <c r="D32">
        <v>3</v>
      </c>
      <c r="F32">
        <v>3</v>
      </c>
      <c r="G32" t="s">
        <v>126</v>
      </c>
      <c r="H32" t="s">
        <v>84</v>
      </c>
      <c r="I32" t="s">
        <v>90</v>
      </c>
      <c r="J32" t="s">
        <v>128</v>
      </c>
      <c r="K32" t="s">
        <v>45</v>
      </c>
      <c r="L32">
        <v>3</v>
      </c>
      <c r="N32">
        <v>3</v>
      </c>
      <c r="O32" t="s">
        <v>86</v>
      </c>
      <c r="P32" t="s">
        <v>141</v>
      </c>
      <c r="Q32" t="s">
        <v>93</v>
      </c>
      <c r="R32" t="s">
        <v>94</v>
      </c>
      <c r="S32">
        <v>0</v>
      </c>
      <c r="T32">
        <v>26</v>
      </c>
    </row>
    <row r="33" spans="1:20" x14ac:dyDescent="0.25">
      <c r="A33" t="s">
        <v>690</v>
      </c>
      <c r="B33">
        <v>17</v>
      </c>
      <c r="C33" t="s">
        <v>48</v>
      </c>
      <c r="D33">
        <v>3</v>
      </c>
      <c r="F33">
        <v>3</v>
      </c>
      <c r="G33" t="s">
        <v>126</v>
      </c>
      <c r="H33" t="s">
        <v>84</v>
      </c>
      <c r="I33" t="s">
        <v>90</v>
      </c>
      <c r="J33" t="s">
        <v>128</v>
      </c>
      <c r="K33" t="s">
        <v>45</v>
      </c>
      <c r="L33">
        <v>3</v>
      </c>
      <c r="N33">
        <v>3</v>
      </c>
      <c r="O33" t="s">
        <v>86</v>
      </c>
      <c r="P33" t="s">
        <v>141</v>
      </c>
      <c r="Q33" t="s">
        <v>93</v>
      </c>
      <c r="R33" t="s">
        <v>144</v>
      </c>
      <c r="S33">
        <v>0</v>
      </c>
      <c r="T33">
        <v>20</v>
      </c>
    </row>
    <row r="34" spans="1:20" x14ac:dyDescent="0.25">
      <c r="A34" t="s">
        <v>663</v>
      </c>
      <c r="B34">
        <v>18</v>
      </c>
      <c r="C34" t="s">
        <v>48</v>
      </c>
      <c r="D34">
        <v>2</v>
      </c>
      <c r="F34">
        <v>1</v>
      </c>
      <c r="G34" t="s">
        <v>49</v>
      </c>
      <c r="H34" t="s">
        <v>71</v>
      </c>
      <c r="I34" t="s">
        <v>127</v>
      </c>
      <c r="J34" t="s">
        <v>52</v>
      </c>
      <c r="K34" t="s">
        <v>63</v>
      </c>
      <c r="L34">
        <v>2</v>
      </c>
      <c r="N34">
        <v>1</v>
      </c>
      <c r="O34" t="s">
        <v>145</v>
      </c>
      <c r="P34" t="s">
        <v>91</v>
      </c>
      <c r="Q34" t="s">
        <v>148</v>
      </c>
      <c r="R34" t="s">
        <v>151</v>
      </c>
      <c r="S34">
        <v>0</v>
      </c>
      <c r="T34">
        <v>11</v>
      </c>
    </row>
    <row r="35" spans="1:20" x14ac:dyDescent="0.25">
      <c r="A35" t="s">
        <v>691</v>
      </c>
      <c r="B35">
        <v>18</v>
      </c>
      <c r="C35" t="s">
        <v>48</v>
      </c>
      <c r="D35">
        <v>2</v>
      </c>
      <c r="F35">
        <v>3</v>
      </c>
      <c r="G35" t="s">
        <v>49</v>
      </c>
      <c r="H35" t="s">
        <v>71</v>
      </c>
      <c r="I35" t="s">
        <v>127</v>
      </c>
      <c r="J35" t="s">
        <v>52</v>
      </c>
      <c r="K35" t="s">
        <v>63</v>
      </c>
      <c r="L35">
        <v>3</v>
      </c>
      <c r="N35">
        <v>1</v>
      </c>
      <c r="O35" t="s">
        <v>145</v>
      </c>
      <c r="P35" t="s">
        <v>91</v>
      </c>
      <c r="Q35" t="s">
        <v>148</v>
      </c>
      <c r="R35" t="s">
        <v>151</v>
      </c>
      <c r="S35">
        <v>0</v>
      </c>
      <c r="T35">
        <v>13</v>
      </c>
    </row>
    <row r="36" spans="1:20" x14ac:dyDescent="0.25">
      <c r="A36" t="s">
        <v>664</v>
      </c>
      <c r="B36">
        <v>19</v>
      </c>
      <c r="C36" t="s">
        <v>48</v>
      </c>
      <c r="D36">
        <v>2</v>
      </c>
      <c r="F36">
        <v>2</v>
      </c>
      <c r="G36" t="s">
        <v>49</v>
      </c>
      <c r="H36" t="s">
        <v>71</v>
      </c>
      <c r="I36" t="s">
        <v>127</v>
      </c>
      <c r="J36" t="s">
        <v>128</v>
      </c>
      <c r="K36" t="s">
        <v>38</v>
      </c>
      <c r="L36">
        <v>2</v>
      </c>
      <c r="M36">
        <v>2</v>
      </c>
      <c r="N36">
        <v>2</v>
      </c>
      <c r="O36" t="s">
        <v>39</v>
      </c>
      <c r="P36" t="s">
        <v>40</v>
      </c>
      <c r="Q36" t="s">
        <v>153</v>
      </c>
      <c r="R36" t="s">
        <v>42</v>
      </c>
      <c r="S36">
        <v>0</v>
      </c>
      <c r="T36">
        <v>14</v>
      </c>
    </row>
    <row r="37" spans="1:20" x14ac:dyDescent="0.25">
      <c r="A37" t="s">
        <v>692</v>
      </c>
      <c r="B37">
        <v>19</v>
      </c>
      <c r="C37" t="s">
        <v>48</v>
      </c>
      <c r="D37">
        <v>1</v>
      </c>
      <c r="F37">
        <v>1</v>
      </c>
      <c r="G37" t="s">
        <v>49</v>
      </c>
      <c r="H37" t="s">
        <v>71</v>
      </c>
      <c r="I37" t="s">
        <v>127</v>
      </c>
      <c r="J37" t="s">
        <v>128</v>
      </c>
      <c r="K37" t="s">
        <v>38</v>
      </c>
      <c r="L37">
        <v>1</v>
      </c>
      <c r="M37">
        <v>1</v>
      </c>
      <c r="N37">
        <v>2</v>
      </c>
      <c r="O37" t="s">
        <v>39</v>
      </c>
      <c r="P37" t="s">
        <v>40</v>
      </c>
      <c r="Q37" t="s">
        <v>153</v>
      </c>
      <c r="S37">
        <v>0</v>
      </c>
      <c r="T37">
        <v>8</v>
      </c>
    </row>
    <row r="38" spans="1:20" x14ac:dyDescent="0.25">
      <c r="A38" t="s">
        <v>665</v>
      </c>
      <c r="B38">
        <v>21</v>
      </c>
      <c r="C38" t="s">
        <v>43</v>
      </c>
      <c r="D38">
        <v>3</v>
      </c>
      <c r="F38">
        <v>1</v>
      </c>
      <c r="G38" t="s">
        <v>135</v>
      </c>
      <c r="K38" t="s">
        <v>33</v>
      </c>
      <c r="L38">
        <v>2</v>
      </c>
      <c r="N38">
        <v>2</v>
      </c>
      <c r="O38" t="s">
        <v>34</v>
      </c>
      <c r="S38">
        <v>0</v>
      </c>
      <c r="T38">
        <v>6</v>
      </c>
    </row>
    <row r="39" spans="1:20" x14ac:dyDescent="0.25">
      <c r="A39" t="s">
        <v>693</v>
      </c>
      <c r="B39">
        <v>21</v>
      </c>
      <c r="C39" t="s">
        <v>43</v>
      </c>
      <c r="D39">
        <v>3</v>
      </c>
      <c r="F39">
        <v>1</v>
      </c>
      <c r="G39" t="s">
        <v>135</v>
      </c>
      <c r="K39" t="s">
        <v>33</v>
      </c>
      <c r="L39">
        <v>2</v>
      </c>
      <c r="N39">
        <v>2</v>
      </c>
      <c r="O39" t="s">
        <v>34</v>
      </c>
      <c r="S39">
        <v>0</v>
      </c>
      <c r="T39">
        <v>6</v>
      </c>
    </row>
    <row r="40" spans="1:20" x14ac:dyDescent="0.25">
      <c r="A40" t="s">
        <v>666</v>
      </c>
      <c r="B40">
        <v>22</v>
      </c>
      <c r="C40" t="s">
        <v>45</v>
      </c>
      <c r="D40">
        <v>3</v>
      </c>
      <c r="F40">
        <v>1</v>
      </c>
      <c r="G40" t="s">
        <v>140</v>
      </c>
      <c r="K40" t="s">
        <v>33</v>
      </c>
      <c r="L40">
        <v>2</v>
      </c>
      <c r="N40">
        <v>3</v>
      </c>
      <c r="O40" t="s">
        <v>34</v>
      </c>
      <c r="S40">
        <v>0</v>
      </c>
      <c r="T40">
        <v>8</v>
      </c>
    </row>
    <row r="41" spans="1:20" x14ac:dyDescent="0.25">
      <c r="A41" t="s">
        <v>694</v>
      </c>
      <c r="B41">
        <v>22</v>
      </c>
      <c r="C41" t="s">
        <v>45</v>
      </c>
      <c r="D41">
        <v>3</v>
      </c>
      <c r="F41">
        <v>1</v>
      </c>
      <c r="G41" t="s">
        <v>140</v>
      </c>
      <c r="H41" t="s">
        <v>92</v>
      </c>
      <c r="K41" t="s">
        <v>33</v>
      </c>
      <c r="L41">
        <v>2</v>
      </c>
      <c r="N41">
        <v>3</v>
      </c>
      <c r="O41" t="s">
        <v>34</v>
      </c>
      <c r="S41">
        <v>0</v>
      </c>
      <c r="T41">
        <v>8</v>
      </c>
    </row>
    <row r="42" spans="1:20" x14ac:dyDescent="0.25">
      <c r="A42" s="39" t="s">
        <v>667</v>
      </c>
      <c r="B42">
        <v>23</v>
      </c>
      <c r="C42" t="s">
        <v>33</v>
      </c>
      <c r="D42">
        <v>1</v>
      </c>
      <c r="F42">
        <v>3</v>
      </c>
      <c r="G42" t="s">
        <v>34</v>
      </c>
      <c r="H42" t="s">
        <v>35</v>
      </c>
      <c r="K42" t="s">
        <v>63</v>
      </c>
      <c r="L42">
        <v>3</v>
      </c>
      <c r="N42">
        <v>1</v>
      </c>
      <c r="O42" t="s">
        <v>72</v>
      </c>
      <c r="S42">
        <v>0</v>
      </c>
      <c r="T42">
        <v>7</v>
      </c>
    </row>
    <row r="43" spans="1:20" x14ac:dyDescent="0.25">
      <c r="A43" t="s">
        <v>695</v>
      </c>
      <c r="B43">
        <v>23</v>
      </c>
      <c r="C43" t="s">
        <v>33</v>
      </c>
      <c r="D43">
        <v>1</v>
      </c>
      <c r="F43">
        <v>3</v>
      </c>
      <c r="G43" t="s">
        <v>34</v>
      </c>
      <c r="H43" t="s">
        <v>35</v>
      </c>
      <c r="K43" t="s">
        <v>63</v>
      </c>
      <c r="L43">
        <v>3</v>
      </c>
      <c r="N43">
        <v>1</v>
      </c>
      <c r="O43" t="s">
        <v>72</v>
      </c>
      <c r="S43">
        <v>0</v>
      </c>
      <c r="T43">
        <v>7</v>
      </c>
    </row>
    <row r="44" spans="1:20" x14ac:dyDescent="0.25">
      <c r="A44" t="s">
        <v>696</v>
      </c>
      <c r="B44">
        <v>24</v>
      </c>
      <c r="C44" t="s">
        <v>33</v>
      </c>
      <c r="D44">
        <v>1</v>
      </c>
      <c r="F44">
        <v>2</v>
      </c>
      <c r="G44" t="s">
        <v>65</v>
      </c>
      <c r="H44" t="s">
        <v>66</v>
      </c>
      <c r="K44" t="s">
        <v>38</v>
      </c>
      <c r="L44">
        <v>1</v>
      </c>
      <c r="M44">
        <v>1</v>
      </c>
      <c r="N44">
        <v>2</v>
      </c>
      <c r="O44" t="s">
        <v>39</v>
      </c>
      <c r="P44" t="s">
        <v>96</v>
      </c>
      <c r="S44">
        <v>0</v>
      </c>
      <c r="T44">
        <v>6</v>
      </c>
    </row>
    <row r="45" spans="1:20" x14ac:dyDescent="0.25">
      <c r="A45" t="s">
        <v>668</v>
      </c>
      <c r="B45">
        <v>24</v>
      </c>
      <c r="C45" t="s">
        <v>38</v>
      </c>
      <c r="D45">
        <v>1</v>
      </c>
      <c r="E45">
        <v>2</v>
      </c>
      <c r="F45">
        <v>2</v>
      </c>
      <c r="G45" t="s">
        <v>39</v>
      </c>
      <c r="H45" t="s">
        <v>40</v>
      </c>
      <c r="K45" t="s">
        <v>33</v>
      </c>
      <c r="L45">
        <v>1</v>
      </c>
      <c r="N45">
        <v>2</v>
      </c>
      <c r="O45" t="s">
        <v>65</v>
      </c>
      <c r="P45" t="s">
        <v>66</v>
      </c>
      <c r="S45">
        <v>0</v>
      </c>
      <c r="T45">
        <v>7</v>
      </c>
    </row>
    <row r="46" spans="1:20" x14ac:dyDescent="0.25">
      <c r="A46" t="s">
        <v>669</v>
      </c>
      <c r="B46">
        <v>26</v>
      </c>
      <c r="C46" t="s">
        <v>45</v>
      </c>
      <c r="D46">
        <v>3</v>
      </c>
      <c r="F46">
        <v>1</v>
      </c>
      <c r="G46" t="s">
        <v>140</v>
      </c>
      <c r="K46" t="s">
        <v>43</v>
      </c>
      <c r="L46">
        <v>2</v>
      </c>
      <c r="N46">
        <v>1</v>
      </c>
      <c r="O46" t="s">
        <v>135</v>
      </c>
      <c r="P46" t="s">
        <v>136</v>
      </c>
      <c r="Q46" t="s">
        <v>137</v>
      </c>
      <c r="S46">
        <v>0</v>
      </c>
      <c r="T46">
        <v>9</v>
      </c>
    </row>
    <row r="47" spans="1:20" x14ac:dyDescent="0.25">
      <c r="A47" t="s">
        <v>697</v>
      </c>
      <c r="B47">
        <v>26</v>
      </c>
      <c r="C47" t="s">
        <v>45</v>
      </c>
      <c r="D47">
        <v>3</v>
      </c>
      <c r="F47">
        <v>1</v>
      </c>
      <c r="G47" t="s">
        <v>140</v>
      </c>
      <c r="K47" t="s">
        <v>43</v>
      </c>
      <c r="L47">
        <v>2</v>
      </c>
      <c r="N47">
        <v>1</v>
      </c>
      <c r="O47" t="s">
        <v>135</v>
      </c>
      <c r="P47" t="s">
        <v>136</v>
      </c>
      <c r="S47">
        <v>0</v>
      </c>
      <c r="T47">
        <v>7</v>
      </c>
    </row>
    <row r="48" spans="1:20" x14ac:dyDescent="0.25">
      <c r="A48" t="s">
        <v>670</v>
      </c>
      <c r="B48">
        <v>27</v>
      </c>
      <c r="C48" t="s">
        <v>43</v>
      </c>
      <c r="D48">
        <v>3</v>
      </c>
      <c r="F48">
        <v>2</v>
      </c>
      <c r="G48" t="s">
        <v>135</v>
      </c>
      <c r="H48" t="s">
        <v>136</v>
      </c>
      <c r="I48" t="s">
        <v>137</v>
      </c>
      <c r="K48" t="s">
        <v>63</v>
      </c>
      <c r="L48">
        <v>1</v>
      </c>
      <c r="N48">
        <v>2</v>
      </c>
      <c r="O48" t="s">
        <v>145</v>
      </c>
      <c r="P48" t="s">
        <v>146</v>
      </c>
      <c r="Q48" t="s">
        <v>104</v>
      </c>
      <c r="S48">
        <v>0</v>
      </c>
      <c r="T48">
        <v>11</v>
      </c>
    </row>
    <row r="49" spans="1:20" x14ac:dyDescent="0.25">
      <c r="A49" t="s">
        <v>698</v>
      </c>
      <c r="B49">
        <v>27</v>
      </c>
      <c r="C49" t="s">
        <v>43</v>
      </c>
      <c r="D49">
        <v>3</v>
      </c>
      <c r="F49">
        <v>1</v>
      </c>
      <c r="G49" t="s">
        <v>135</v>
      </c>
      <c r="H49" t="s">
        <v>99</v>
      </c>
      <c r="I49" t="s">
        <v>137</v>
      </c>
      <c r="K49" t="s">
        <v>63</v>
      </c>
      <c r="L49">
        <v>1</v>
      </c>
      <c r="N49">
        <v>2</v>
      </c>
      <c r="O49" t="s">
        <v>145</v>
      </c>
      <c r="P49" t="s">
        <v>146</v>
      </c>
      <c r="Q49" t="s">
        <v>148</v>
      </c>
      <c r="S49">
        <v>0</v>
      </c>
      <c r="T49">
        <v>11</v>
      </c>
    </row>
    <row r="50" spans="1:20" x14ac:dyDescent="0.25">
      <c r="A50" t="s">
        <v>699</v>
      </c>
      <c r="B50">
        <v>28</v>
      </c>
      <c r="C50" t="s">
        <v>38</v>
      </c>
      <c r="D50">
        <v>1</v>
      </c>
      <c r="E50">
        <v>1</v>
      </c>
      <c r="F50">
        <v>2</v>
      </c>
      <c r="G50" t="s">
        <v>39</v>
      </c>
      <c r="H50" t="s">
        <v>70</v>
      </c>
      <c r="I50" t="s">
        <v>41</v>
      </c>
      <c r="K50" t="s">
        <v>43</v>
      </c>
      <c r="L50">
        <v>2</v>
      </c>
      <c r="N50">
        <v>1</v>
      </c>
      <c r="O50" t="s">
        <v>135</v>
      </c>
      <c r="P50" t="s">
        <v>74</v>
      </c>
      <c r="S50">
        <v>0</v>
      </c>
      <c r="T50">
        <v>7</v>
      </c>
    </row>
    <row r="51" spans="1:20" x14ac:dyDescent="0.25">
      <c r="A51" t="s">
        <v>671</v>
      </c>
      <c r="B51">
        <v>28</v>
      </c>
      <c r="C51" t="s">
        <v>43</v>
      </c>
      <c r="D51">
        <v>2</v>
      </c>
      <c r="F51">
        <v>1</v>
      </c>
      <c r="G51" t="s">
        <v>135</v>
      </c>
      <c r="H51" t="s">
        <v>136</v>
      </c>
      <c r="I51" t="s">
        <v>137</v>
      </c>
      <c r="K51" t="s">
        <v>38</v>
      </c>
      <c r="L51">
        <v>1</v>
      </c>
      <c r="M51">
        <v>1</v>
      </c>
      <c r="N51">
        <v>2</v>
      </c>
      <c r="O51" t="s">
        <v>39</v>
      </c>
      <c r="P51" t="s">
        <v>70</v>
      </c>
      <c r="Q51" t="s">
        <v>41</v>
      </c>
      <c r="S51">
        <v>0</v>
      </c>
      <c r="T51">
        <v>10</v>
      </c>
    </row>
    <row r="52" spans="1:20" x14ac:dyDescent="0.25">
      <c r="A52" t="s">
        <v>672</v>
      </c>
      <c r="B52">
        <v>30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I52" t="s">
        <v>93</v>
      </c>
      <c r="J52" t="s">
        <v>143</v>
      </c>
      <c r="K52" t="s">
        <v>63</v>
      </c>
      <c r="L52">
        <v>1</v>
      </c>
      <c r="N52">
        <v>3</v>
      </c>
      <c r="O52" t="s">
        <v>145</v>
      </c>
      <c r="P52" t="s">
        <v>146</v>
      </c>
      <c r="Q52" t="s">
        <v>104</v>
      </c>
      <c r="R52" t="s">
        <v>150</v>
      </c>
      <c r="S52">
        <v>0</v>
      </c>
      <c r="T52">
        <v>13</v>
      </c>
    </row>
    <row r="53" spans="1:20" x14ac:dyDescent="0.25">
      <c r="A53" t="s">
        <v>700</v>
      </c>
      <c r="B53">
        <v>30</v>
      </c>
      <c r="C53" t="s">
        <v>63</v>
      </c>
      <c r="D53">
        <v>1</v>
      </c>
      <c r="F53">
        <v>3</v>
      </c>
      <c r="G53" t="s">
        <v>145</v>
      </c>
      <c r="H53" t="s">
        <v>146</v>
      </c>
      <c r="I53" t="s">
        <v>104</v>
      </c>
      <c r="K53" t="s">
        <v>45</v>
      </c>
      <c r="L53">
        <v>3</v>
      </c>
      <c r="N53">
        <v>1</v>
      </c>
      <c r="O53" t="s">
        <v>86</v>
      </c>
      <c r="P53" t="s">
        <v>141</v>
      </c>
      <c r="Q53" t="s">
        <v>93</v>
      </c>
      <c r="R53" t="s">
        <v>143</v>
      </c>
      <c r="S53">
        <v>0</v>
      </c>
      <c r="T53">
        <v>12</v>
      </c>
    </row>
    <row r="54" spans="1:20" x14ac:dyDescent="0.25">
      <c r="A54" t="s">
        <v>673</v>
      </c>
      <c r="B54">
        <v>31</v>
      </c>
      <c r="C54" t="s">
        <v>45</v>
      </c>
      <c r="D54">
        <v>3</v>
      </c>
      <c r="F54">
        <v>1</v>
      </c>
      <c r="G54" t="s">
        <v>140</v>
      </c>
      <c r="H54" t="s">
        <v>76</v>
      </c>
      <c r="K54" t="s">
        <v>38</v>
      </c>
      <c r="L54">
        <v>1</v>
      </c>
      <c r="M54">
        <v>1</v>
      </c>
      <c r="N54">
        <v>2</v>
      </c>
      <c r="O54" t="s">
        <v>39</v>
      </c>
      <c r="P54" t="s">
        <v>96</v>
      </c>
      <c r="Q54" t="s">
        <v>153</v>
      </c>
      <c r="S54">
        <v>0</v>
      </c>
      <c r="T54">
        <v>8</v>
      </c>
    </row>
    <row r="55" spans="1:20" x14ac:dyDescent="0.25">
      <c r="A55" t="s">
        <v>701</v>
      </c>
      <c r="B55">
        <v>31</v>
      </c>
      <c r="C55" t="s">
        <v>38</v>
      </c>
      <c r="D55">
        <v>1</v>
      </c>
      <c r="E55">
        <v>1</v>
      </c>
      <c r="F55">
        <v>2</v>
      </c>
      <c r="G55" t="s">
        <v>39</v>
      </c>
      <c r="H55" t="s">
        <v>96</v>
      </c>
      <c r="I55" t="s">
        <v>153</v>
      </c>
      <c r="K55" t="s">
        <v>45</v>
      </c>
      <c r="L55">
        <v>3</v>
      </c>
      <c r="N55">
        <v>1</v>
      </c>
      <c r="O55" t="s">
        <v>86</v>
      </c>
      <c r="P55" t="s">
        <v>76</v>
      </c>
      <c r="S55">
        <v>0</v>
      </c>
      <c r="T55">
        <v>9</v>
      </c>
    </row>
    <row r="56" spans="1:20" x14ac:dyDescent="0.25">
      <c r="A56" t="s">
        <v>702</v>
      </c>
      <c r="B56">
        <v>33</v>
      </c>
      <c r="C56" t="s">
        <v>63</v>
      </c>
      <c r="D56">
        <v>3</v>
      </c>
      <c r="F56">
        <v>1</v>
      </c>
      <c r="G56" t="s">
        <v>103</v>
      </c>
      <c r="H56" t="s">
        <v>91</v>
      </c>
      <c r="I56" t="s">
        <v>147</v>
      </c>
      <c r="J56" t="s">
        <v>151</v>
      </c>
      <c r="K56" t="s">
        <v>38</v>
      </c>
      <c r="L56">
        <v>2</v>
      </c>
      <c r="M56">
        <v>1</v>
      </c>
      <c r="N56">
        <v>3</v>
      </c>
      <c r="O56" t="s">
        <v>39</v>
      </c>
      <c r="P56" t="s">
        <v>96</v>
      </c>
      <c r="Q56" t="s">
        <v>154</v>
      </c>
      <c r="R56" t="s">
        <v>42</v>
      </c>
      <c r="S56">
        <v>0</v>
      </c>
      <c r="T56">
        <v>14</v>
      </c>
    </row>
    <row r="57" spans="1:20" x14ac:dyDescent="0.25">
      <c r="A57" t="s">
        <v>674</v>
      </c>
      <c r="B57">
        <v>33</v>
      </c>
      <c r="C57" t="s">
        <v>38</v>
      </c>
      <c r="D57">
        <v>1</v>
      </c>
      <c r="E57">
        <v>1</v>
      </c>
      <c r="F57">
        <v>3</v>
      </c>
      <c r="G57" t="s">
        <v>39</v>
      </c>
      <c r="H57" t="s">
        <v>96</v>
      </c>
      <c r="I57" t="s">
        <v>154</v>
      </c>
      <c r="J57" t="s">
        <v>155</v>
      </c>
      <c r="K57" t="s">
        <v>63</v>
      </c>
      <c r="L57">
        <v>3</v>
      </c>
      <c r="N57">
        <v>1</v>
      </c>
      <c r="O57" t="s">
        <v>103</v>
      </c>
      <c r="P57" t="s">
        <v>91</v>
      </c>
      <c r="Q57" t="s">
        <v>147</v>
      </c>
      <c r="R57" t="s">
        <v>151</v>
      </c>
      <c r="S57">
        <v>0</v>
      </c>
      <c r="T57">
        <v>13</v>
      </c>
    </row>
  </sheetData>
  <phoneticPr fontId="3" type="noConversion"/>
  <conditionalFormatting sqref="B58:B1048576 B1">
    <cfRule type="duplicateValues" dxfId="13" priority="6"/>
  </conditionalFormatting>
  <conditionalFormatting sqref="B2:B57">
    <cfRule type="duplicateValues" dxfId="12" priority="3545"/>
  </conditionalFormatting>
  <conditionalFormatting sqref="A2:B57">
    <cfRule type="duplicateValues" dxfId="11" priority="354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6" t="s">
        <v>78</v>
      </c>
      <c r="B1" s="37"/>
      <c r="C1" s="37"/>
      <c r="D1" s="37"/>
      <c r="E1" s="38"/>
      <c r="G1" s="36" t="s">
        <v>82</v>
      </c>
      <c r="H1" s="37"/>
      <c r="I1" s="37"/>
      <c r="J1" s="38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12</v>
      </c>
      <c r="J3" s="3">
        <f>IF(ScenarioTeams2[[#This Row],[battles]],ScenarioTeams2[[#This Row],[wins]]/ScenarioTeams2[[#This Row],[battles]],0)</f>
        <v>0.8571428571428571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9</v>
      </c>
      <c r="J4" s="3">
        <f>IF(ScenarioTeams2[[#This Row],[battles]],ScenarioTeams2[[#This Row],[wins]]/ScenarioTeams2[[#This Row],[battles]],0)</f>
        <v>0.6428571428571429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10</v>
      </c>
      <c r="J5" s="3">
        <f>IF(ScenarioTeams2[[#This Row],[battles]],ScenarioTeams2[[#This Row],[wins]]/ScenarioTeams2[[#This Row],[battles]],0)</f>
        <v>0.7142857142857143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K6" s="3"/>
      <c r="L6" s="5" t="s">
        <v>108</v>
      </c>
      <c r="M6" s="31">
        <f>AVERAGE(Scenario2[turns])</f>
        <v>12.857142857142858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33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2</v>
      </c>
      <c r="C8" t="s">
        <v>63</v>
      </c>
      <c r="D8">
        <f>COUNTIFS(Scenario2[winner1],ScenarioStat2[[#This Row],[hero-2]],Scenario2[loser1],ScenarioStat2[[#This Row],[hero-1]])</f>
        <v>0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0.42857142857142855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2</v>
      </c>
      <c r="J9" s="3">
        <f>IF(ScenarioTeams2[[#This Row],[battles]],ScenarioTeams2[[#This Row],[wins]]/ScenarioTeams2[[#This Row],[battles]],0)</f>
        <v>0.14285714285714285</v>
      </c>
      <c r="K9" s="3"/>
      <c r="L9" s="4" t="s">
        <v>185</v>
      </c>
      <c r="M9" s="30">
        <f>120000*$M$6/1000/60</f>
        <v>25.714285714285715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6</v>
      </c>
      <c r="J10" s="3">
        <f>IF(ScenarioTeams2[[#This Row],[battles]],ScenarioTeams2[[#This Row],[wins]]/ScenarioTeams2[[#This Row],[battles]],0)</f>
        <v>0.42857142857142855</v>
      </c>
      <c r="K10" s="3"/>
      <c r="L10" s="5" t="s">
        <v>186</v>
      </c>
      <c r="M10" s="6">
        <f>M9*COUNTA(ScenarioStat2[hero-1])/60/24*2</f>
        <v>1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2</v>
      </c>
      <c r="C11" t="s">
        <v>33</v>
      </c>
      <c r="D11">
        <f>COUNTIFS(Scenario2[winner1],ScenarioStat2[[#This Row],[hero-2]],Scenario2[loser1],ScenarioStat2[[#This Row],[hero-1]])</f>
        <v>0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2</v>
      </c>
      <c r="C13" t="s">
        <v>45</v>
      </c>
      <c r="D13">
        <f>COUNTIFS(Scenario2[winner1],ScenarioStat2[[#This Row],[hero-2]],Scenario2[loser1],ScenarioStat2[[#This Row],[hero-1]])</f>
        <v>0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2</v>
      </c>
      <c r="C14" t="s">
        <v>63</v>
      </c>
      <c r="D14">
        <f>COUNTIFS(Scenario2[winner1],ScenarioStat2[[#This Row],[hero-2]],Scenario2[loser1],ScenarioStat2[[#This Row],[hero-1]])</f>
        <v>0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0</v>
      </c>
      <c r="C15" t="s">
        <v>38</v>
      </c>
      <c r="D15">
        <f>COUNTIFS(Scenario2[winner1],ScenarioStat2[[#This Row],[hero-2]],Scenario2[loser1],ScenarioStat2[[#This Row],[hero-1]])</f>
        <v>2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1</v>
      </c>
      <c r="C29" t="s">
        <v>38</v>
      </c>
      <c r="D29">
        <f>COUNTIFS(Scenario2[winner1],ScenarioStat2[[#This Row],[hero-2]],Scenario2[loser1],ScenarioStat2[[#This Row],[hero-1]])</f>
        <v>1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1</v>
      </c>
      <c r="C30" t="s">
        <v>38</v>
      </c>
      <c r="D30">
        <f>COUNTIFS(Scenario2[winner1],ScenarioStat2[[#This Row],[hero-2]],Scenario2[loser1],ScenarioStat2[[#This Row],[hero-1]])</f>
        <v>1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D3" sqref="AD3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703</v>
      </c>
      <c r="B2">
        <v>0</v>
      </c>
      <c r="C2" t="s">
        <v>48</v>
      </c>
      <c r="D2">
        <v>3</v>
      </c>
      <c r="F2">
        <v>3</v>
      </c>
      <c r="G2" t="s">
        <v>126</v>
      </c>
      <c r="H2" t="s">
        <v>84</v>
      </c>
      <c r="I2" t="s">
        <v>90</v>
      </c>
      <c r="J2" t="s">
        <v>128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55</v>
      </c>
      <c r="Q2" t="s">
        <v>97</v>
      </c>
      <c r="R2" t="s">
        <v>115</v>
      </c>
      <c r="S2" t="s">
        <v>56</v>
      </c>
      <c r="T2">
        <v>3</v>
      </c>
      <c r="V2">
        <v>3</v>
      </c>
      <c r="W2" t="s">
        <v>120</v>
      </c>
      <c r="X2" t="s">
        <v>69</v>
      </c>
      <c r="Y2" t="s">
        <v>85</v>
      </c>
      <c r="Z2" t="s">
        <v>125</v>
      </c>
      <c r="AA2">
        <v>0</v>
      </c>
      <c r="AB2">
        <v>52</v>
      </c>
    </row>
    <row r="3" spans="1:28" x14ac:dyDescent="0.25">
      <c r="A3" t="s">
        <v>704</v>
      </c>
      <c r="B3">
        <v>1</v>
      </c>
      <c r="C3" t="s">
        <v>33</v>
      </c>
      <c r="D3">
        <v>3</v>
      </c>
      <c r="F3">
        <v>3</v>
      </c>
      <c r="G3" t="s">
        <v>34</v>
      </c>
      <c r="H3" t="s">
        <v>130</v>
      </c>
      <c r="I3" t="s">
        <v>132</v>
      </c>
      <c r="J3" t="s">
        <v>37</v>
      </c>
      <c r="K3" t="s">
        <v>53</v>
      </c>
      <c r="L3">
        <v>1</v>
      </c>
      <c r="M3">
        <v>3</v>
      </c>
      <c r="N3">
        <v>2</v>
      </c>
      <c r="O3" t="s">
        <v>112</v>
      </c>
      <c r="P3" t="s">
        <v>55</v>
      </c>
      <c r="S3" t="s">
        <v>56</v>
      </c>
      <c r="T3">
        <v>3</v>
      </c>
      <c r="V3">
        <v>3</v>
      </c>
      <c r="W3" t="s">
        <v>120</v>
      </c>
      <c r="X3" t="s">
        <v>69</v>
      </c>
      <c r="Y3" t="s">
        <v>87</v>
      </c>
      <c r="AA3">
        <v>0</v>
      </c>
      <c r="AB3">
        <v>20</v>
      </c>
    </row>
    <row r="4" spans="1:28" x14ac:dyDescent="0.25">
      <c r="A4" t="s">
        <v>705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69</v>
      </c>
      <c r="I4" t="s">
        <v>87</v>
      </c>
      <c r="J4" t="s">
        <v>88</v>
      </c>
      <c r="K4" t="s">
        <v>53</v>
      </c>
      <c r="L4">
        <v>2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115</v>
      </c>
      <c r="S4" t="s">
        <v>43</v>
      </c>
      <c r="T4">
        <v>3</v>
      </c>
      <c r="V4">
        <v>3</v>
      </c>
      <c r="W4" t="s">
        <v>135</v>
      </c>
      <c r="X4" t="s">
        <v>136</v>
      </c>
      <c r="Y4" t="s">
        <v>137</v>
      </c>
      <c r="Z4" t="s">
        <v>139</v>
      </c>
      <c r="AA4">
        <v>0</v>
      </c>
      <c r="AB4">
        <v>30</v>
      </c>
    </row>
    <row r="5" spans="1:28" x14ac:dyDescent="0.25">
      <c r="A5" t="s">
        <v>706</v>
      </c>
      <c r="B5">
        <v>3</v>
      </c>
      <c r="C5" t="s">
        <v>45</v>
      </c>
      <c r="D5">
        <v>3</v>
      </c>
      <c r="F5">
        <v>3</v>
      </c>
      <c r="G5" t="s">
        <v>86</v>
      </c>
      <c r="H5" t="s">
        <v>76</v>
      </c>
      <c r="I5" t="s">
        <v>142</v>
      </c>
      <c r="J5" t="s">
        <v>143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115</v>
      </c>
      <c r="S5" t="s">
        <v>56</v>
      </c>
      <c r="T5">
        <v>3</v>
      </c>
      <c r="V5">
        <v>3</v>
      </c>
      <c r="W5" t="s">
        <v>120</v>
      </c>
      <c r="X5" t="s">
        <v>69</v>
      </c>
      <c r="Y5" t="s">
        <v>123</v>
      </c>
      <c r="Z5" t="s">
        <v>88</v>
      </c>
      <c r="AA5">
        <v>0</v>
      </c>
      <c r="AB5">
        <v>39</v>
      </c>
    </row>
    <row r="6" spans="1:28" x14ac:dyDescent="0.25">
      <c r="A6" t="s">
        <v>707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125</v>
      </c>
      <c r="S6" t="s">
        <v>63</v>
      </c>
      <c r="T6">
        <v>3</v>
      </c>
      <c r="V6">
        <v>3</v>
      </c>
      <c r="W6" t="s">
        <v>103</v>
      </c>
      <c r="X6" t="s">
        <v>91</v>
      </c>
      <c r="Y6" t="s">
        <v>148</v>
      </c>
      <c r="Z6" t="s">
        <v>151</v>
      </c>
      <c r="AA6">
        <v>0</v>
      </c>
      <c r="AB6">
        <v>42</v>
      </c>
    </row>
    <row r="7" spans="1:28" x14ac:dyDescent="0.25">
      <c r="A7" t="s">
        <v>708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55</v>
      </c>
      <c r="I7" t="s">
        <v>97</v>
      </c>
      <c r="J7" t="s">
        <v>98</v>
      </c>
      <c r="K7" t="s">
        <v>56</v>
      </c>
      <c r="L7">
        <v>3</v>
      </c>
      <c r="N7">
        <v>3</v>
      </c>
      <c r="O7" t="s">
        <v>120</v>
      </c>
      <c r="P7" t="s">
        <v>69</v>
      </c>
      <c r="Q7" t="s">
        <v>87</v>
      </c>
      <c r="R7" t="s">
        <v>124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70</v>
      </c>
      <c r="Y7" t="s">
        <v>153</v>
      </c>
      <c r="Z7" t="s">
        <v>42</v>
      </c>
      <c r="AA7">
        <v>0</v>
      </c>
      <c r="AB7">
        <v>43</v>
      </c>
    </row>
    <row r="8" spans="1:28" x14ac:dyDescent="0.25">
      <c r="A8" t="s">
        <v>709</v>
      </c>
      <c r="B8">
        <v>7</v>
      </c>
      <c r="C8" t="s">
        <v>33</v>
      </c>
      <c r="D8">
        <v>3</v>
      </c>
      <c r="F8">
        <v>2</v>
      </c>
      <c r="G8" t="s">
        <v>34</v>
      </c>
      <c r="H8" t="s">
        <v>130</v>
      </c>
      <c r="I8" t="s">
        <v>36</v>
      </c>
      <c r="J8" t="s">
        <v>37</v>
      </c>
      <c r="K8" t="s">
        <v>53</v>
      </c>
      <c r="L8">
        <v>1</v>
      </c>
      <c r="M8">
        <v>3</v>
      </c>
      <c r="N8">
        <v>2</v>
      </c>
      <c r="O8" t="s">
        <v>112</v>
      </c>
      <c r="P8" t="s">
        <v>55</v>
      </c>
      <c r="Q8" t="s">
        <v>97</v>
      </c>
      <c r="S8" t="s">
        <v>48</v>
      </c>
      <c r="T8">
        <v>3</v>
      </c>
      <c r="V8">
        <v>1</v>
      </c>
      <c r="W8" t="s">
        <v>126</v>
      </c>
      <c r="X8" t="s">
        <v>84</v>
      </c>
      <c r="AA8">
        <v>0</v>
      </c>
      <c r="AB8">
        <v>17</v>
      </c>
    </row>
    <row r="9" spans="1:28" x14ac:dyDescent="0.25">
      <c r="A9" t="s">
        <v>710</v>
      </c>
      <c r="B9">
        <v>8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83</v>
      </c>
      <c r="I9" t="s">
        <v>97</v>
      </c>
      <c r="J9" t="s">
        <v>115</v>
      </c>
      <c r="K9" t="s">
        <v>48</v>
      </c>
      <c r="L9">
        <v>3</v>
      </c>
      <c r="N9">
        <v>3</v>
      </c>
      <c r="O9" t="s">
        <v>126</v>
      </c>
      <c r="P9" t="s">
        <v>84</v>
      </c>
      <c r="Q9" t="s">
        <v>90</v>
      </c>
      <c r="R9" t="s">
        <v>128</v>
      </c>
      <c r="S9" t="s">
        <v>43</v>
      </c>
      <c r="T9">
        <v>3</v>
      </c>
      <c r="V9">
        <v>3</v>
      </c>
      <c r="W9" t="s">
        <v>135</v>
      </c>
      <c r="X9" t="s">
        <v>74</v>
      </c>
      <c r="Y9" t="s">
        <v>100</v>
      </c>
      <c r="Z9" t="s">
        <v>101</v>
      </c>
      <c r="AA9">
        <v>0</v>
      </c>
      <c r="AB9">
        <v>45</v>
      </c>
    </row>
    <row r="10" spans="1:28" x14ac:dyDescent="0.25">
      <c r="A10" t="s">
        <v>711</v>
      </c>
      <c r="B10">
        <v>9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55</v>
      </c>
      <c r="I10" t="s">
        <v>97</v>
      </c>
      <c r="J10" t="s">
        <v>115</v>
      </c>
      <c r="K10" t="s">
        <v>48</v>
      </c>
      <c r="L10">
        <v>3</v>
      </c>
      <c r="N10">
        <v>3</v>
      </c>
      <c r="O10" t="s">
        <v>126</v>
      </c>
      <c r="P10" t="s">
        <v>84</v>
      </c>
      <c r="Q10" t="s">
        <v>90</v>
      </c>
      <c r="R10" t="s">
        <v>128</v>
      </c>
      <c r="S10" t="s">
        <v>45</v>
      </c>
      <c r="T10">
        <v>3</v>
      </c>
      <c r="V10">
        <v>3</v>
      </c>
      <c r="W10" t="s">
        <v>86</v>
      </c>
      <c r="X10" t="s">
        <v>141</v>
      </c>
      <c r="Y10" t="s">
        <v>102</v>
      </c>
      <c r="Z10" t="s">
        <v>143</v>
      </c>
      <c r="AA10">
        <v>0</v>
      </c>
      <c r="AB10">
        <v>46</v>
      </c>
    </row>
    <row r="11" spans="1:28" x14ac:dyDescent="0.25">
      <c r="A11" t="s">
        <v>712</v>
      </c>
      <c r="B11">
        <v>10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115</v>
      </c>
      <c r="K11" t="s">
        <v>48</v>
      </c>
      <c r="L11">
        <v>3</v>
      </c>
      <c r="N11">
        <v>3</v>
      </c>
      <c r="O11" t="s">
        <v>126</v>
      </c>
      <c r="P11" t="s">
        <v>84</v>
      </c>
      <c r="Q11" t="s">
        <v>90</v>
      </c>
      <c r="R11" t="s">
        <v>128</v>
      </c>
      <c r="S11" t="s">
        <v>63</v>
      </c>
      <c r="T11">
        <v>3</v>
      </c>
      <c r="V11">
        <v>3</v>
      </c>
      <c r="W11" t="s">
        <v>103</v>
      </c>
      <c r="X11" t="s">
        <v>91</v>
      </c>
      <c r="Y11" t="s">
        <v>148</v>
      </c>
      <c r="Z11" t="s">
        <v>151</v>
      </c>
      <c r="AA11">
        <v>0</v>
      </c>
      <c r="AB11">
        <v>48</v>
      </c>
    </row>
    <row r="12" spans="1:28" x14ac:dyDescent="0.25">
      <c r="A12" t="s">
        <v>713</v>
      </c>
      <c r="B12">
        <v>11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97</v>
      </c>
      <c r="J12" t="s">
        <v>115</v>
      </c>
      <c r="K12" t="s">
        <v>48</v>
      </c>
      <c r="L12">
        <v>3</v>
      </c>
      <c r="N12">
        <v>3</v>
      </c>
      <c r="O12" t="s">
        <v>126</v>
      </c>
      <c r="P12" t="s">
        <v>84</v>
      </c>
      <c r="Q12" t="s">
        <v>90</v>
      </c>
      <c r="R12" t="s">
        <v>128</v>
      </c>
      <c r="S12" t="s">
        <v>38</v>
      </c>
      <c r="T12">
        <v>3</v>
      </c>
      <c r="U12">
        <v>3</v>
      </c>
      <c r="V12">
        <v>3</v>
      </c>
      <c r="W12" t="s">
        <v>39</v>
      </c>
      <c r="X12" t="s">
        <v>70</v>
      </c>
      <c r="Y12" t="s">
        <v>41</v>
      </c>
      <c r="Z12" t="s">
        <v>156</v>
      </c>
      <c r="AA12">
        <v>0</v>
      </c>
      <c r="AB12">
        <v>49</v>
      </c>
    </row>
    <row r="13" spans="1:28" x14ac:dyDescent="0.25">
      <c r="A13" t="s">
        <v>714</v>
      </c>
      <c r="B13">
        <v>13</v>
      </c>
      <c r="C13" t="s">
        <v>33</v>
      </c>
      <c r="D13">
        <v>2</v>
      </c>
      <c r="F13">
        <v>3</v>
      </c>
      <c r="G13" t="s">
        <v>34</v>
      </c>
      <c r="H13" t="s">
        <v>130</v>
      </c>
      <c r="I13" t="s">
        <v>132</v>
      </c>
      <c r="J13" t="s">
        <v>37</v>
      </c>
      <c r="K13" t="s">
        <v>53</v>
      </c>
      <c r="L13">
        <v>1</v>
      </c>
      <c r="M13">
        <v>3</v>
      </c>
      <c r="N13">
        <v>2</v>
      </c>
      <c r="O13" t="s">
        <v>112</v>
      </c>
      <c r="S13" t="s">
        <v>43</v>
      </c>
      <c r="T13">
        <v>3</v>
      </c>
      <c r="V13">
        <v>2</v>
      </c>
      <c r="W13" t="s">
        <v>135</v>
      </c>
      <c r="X13" t="s">
        <v>136</v>
      </c>
      <c r="Y13" t="s">
        <v>100</v>
      </c>
      <c r="Z13" t="s">
        <v>101</v>
      </c>
      <c r="AA13">
        <v>0</v>
      </c>
      <c r="AB13">
        <v>19</v>
      </c>
    </row>
    <row r="14" spans="1:28" x14ac:dyDescent="0.25">
      <c r="A14" t="s">
        <v>715</v>
      </c>
      <c r="B14">
        <v>14</v>
      </c>
      <c r="C14" t="s">
        <v>33</v>
      </c>
      <c r="D14">
        <v>2</v>
      </c>
      <c r="F14">
        <v>3</v>
      </c>
      <c r="G14" t="s">
        <v>34</v>
      </c>
      <c r="H14" t="s">
        <v>130</v>
      </c>
      <c r="I14" t="s">
        <v>36</v>
      </c>
      <c r="J14" t="s">
        <v>37</v>
      </c>
      <c r="K14" t="s">
        <v>53</v>
      </c>
      <c r="L14">
        <v>1</v>
      </c>
      <c r="M14">
        <v>3</v>
      </c>
      <c r="N14">
        <v>2</v>
      </c>
      <c r="O14" t="s">
        <v>112</v>
      </c>
      <c r="P14" t="s">
        <v>83</v>
      </c>
      <c r="Q14" t="s">
        <v>97</v>
      </c>
      <c r="S14" t="s">
        <v>45</v>
      </c>
      <c r="T14">
        <v>3</v>
      </c>
      <c r="V14">
        <v>1</v>
      </c>
      <c r="W14" t="s">
        <v>86</v>
      </c>
      <c r="X14" t="s">
        <v>141</v>
      </c>
      <c r="AA14">
        <v>0</v>
      </c>
      <c r="AB14">
        <v>17</v>
      </c>
    </row>
    <row r="15" spans="1:28" x14ac:dyDescent="0.25">
      <c r="A15" t="s">
        <v>716</v>
      </c>
      <c r="B15">
        <v>15</v>
      </c>
      <c r="C15" t="s">
        <v>33</v>
      </c>
      <c r="D15">
        <v>3</v>
      </c>
      <c r="F15">
        <v>3</v>
      </c>
      <c r="G15" t="s">
        <v>34</v>
      </c>
      <c r="H15" t="s">
        <v>66</v>
      </c>
      <c r="I15" t="s">
        <v>131</v>
      </c>
      <c r="J15" t="s">
        <v>37</v>
      </c>
      <c r="K15" t="s">
        <v>53</v>
      </c>
      <c r="L15">
        <v>2</v>
      </c>
      <c r="M15">
        <v>3</v>
      </c>
      <c r="N15">
        <v>2</v>
      </c>
      <c r="O15" t="s">
        <v>112</v>
      </c>
      <c r="P15" t="s">
        <v>55</v>
      </c>
      <c r="S15" t="s">
        <v>63</v>
      </c>
      <c r="T15">
        <v>2</v>
      </c>
      <c r="V15">
        <v>3</v>
      </c>
      <c r="W15" t="s">
        <v>145</v>
      </c>
      <c r="X15" t="s">
        <v>146</v>
      </c>
      <c r="Y15" t="s">
        <v>148</v>
      </c>
      <c r="Z15" t="s">
        <v>151</v>
      </c>
      <c r="AA15">
        <v>0</v>
      </c>
      <c r="AB15">
        <v>21</v>
      </c>
    </row>
    <row r="16" spans="1:28" x14ac:dyDescent="0.25">
      <c r="A16" t="s">
        <v>717</v>
      </c>
      <c r="B16">
        <v>16</v>
      </c>
      <c r="C16" t="s">
        <v>33</v>
      </c>
      <c r="D16">
        <v>2</v>
      </c>
      <c r="F16">
        <v>2</v>
      </c>
      <c r="G16" t="s">
        <v>34</v>
      </c>
      <c r="H16" t="s">
        <v>130</v>
      </c>
      <c r="I16" t="s">
        <v>132</v>
      </c>
      <c r="J16" t="s">
        <v>134</v>
      </c>
      <c r="K16" t="s">
        <v>53</v>
      </c>
      <c r="L16">
        <v>2</v>
      </c>
      <c r="M16">
        <v>3</v>
      </c>
      <c r="N16">
        <v>2</v>
      </c>
      <c r="O16" t="s">
        <v>112</v>
      </c>
      <c r="S16" t="s">
        <v>38</v>
      </c>
      <c r="T16">
        <v>1</v>
      </c>
      <c r="U16">
        <v>1</v>
      </c>
      <c r="V16">
        <v>1</v>
      </c>
      <c r="W16" t="s">
        <v>39</v>
      </c>
      <c r="X16" t="s">
        <v>40</v>
      </c>
      <c r="Y16" t="s">
        <v>153</v>
      </c>
      <c r="Z16" t="s">
        <v>155</v>
      </c>
      <c r="AA16">
        <v>0</v>
      </c>
      <c r="AB16">
        <v>17</v>
      </c>
    </row>
    <row r="17" spans="1:28" x14ac:dyDescent="0.25">
      <c r="A17" t="s">
        <v>718</v>
      </c>
      <c r="B17">
        <v>18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83</v>
      </c>
      <c r="I17" t="s">
        <v>114</v>
      </c>
      <c r="J17" t="s">
        <v>98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75</v>
      </c>
      <c r="R17" t="s">
        <v>138</v>
      </c>
      <c r="S17" t="s">
        <v>45</v>
      </c>
      <c r="T17">
        <v>3</v>
      </c>
      <c r="V17">
        <v>3</v>
      </c>
      <c r="W17" t="s">
        <v>86</v>
      </c>
      <c r="X17" t="s">
        <v>76</v>
      </c>
      <c r="Y17" t="s">
        <v>142</v>
      </c>
      <c r="Z17" t="s">
        <v>94</v>
      </c>
      <c r="AA17">
        <v>0</v>
      </c>
      <c r="AB17">
        <v>35</v>
      </c>
    </row>
    <row r="18" spans="1:28" x14ac:dyDescent="0.25">
      <c r="A18" t="s">
        <v>719</v>
      </c>
      <c r="B18">
        <v>19</v>
      </c>
      <c r="C18" t="s">
        <v>43</v>
      </c>
      <c r="D18">
        <v>3</v>
      </c>
      <c r="F18">
        <v>3</v>
      </c>
      <c r="G18" t="s">
        <v>135</v>
      </c>
      <c r="H18" t="s">
        <v>74</v>
      </c>
      <c r="I18" t="s">
        <v>137</v>
      </c>
      <c r="J18" t="s">
        <v>139</v>
      </c>
      <c r="K18" t="s">
        <v>53</v>
      </c>
      <c r="L18">
        <v>1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S18" t="s">
        <v>63</v>
      </c>
      <c r="T18">
        <v>3</v>
      </c>
      <c r="V18">
        <v>3</v>
      </c>
      <c r="W18" t="s">
        <v>103</v>
      </c>
      <c r="X18" t="s">
        <v>91</v>
      </c>
      <c r="Y18" t="s">
        <v>148</v>
      </c>
      <c r="Z18" t="s">
        <v>151</v>
      </c>
      <c r="AA18">
        <v>0</v>
      </c>
      <c r="AB18">
        <v>26</v>
      </c>
    </row>
    <row r="19" spans="1:28" x14ac:dyDescent="0.25">
      <c r="A19" t="s">
        <v>720</v>
      </c>
      <c r="B19">
        <v>20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97</v>
      </c>
      <c r="J19" t="s">
        <v>115</v>
      </c>
      <c r="K19" t="s">
        <v>43</v>
      </c>
      <c r="L19">
        <v>3</v>
      </c>
      <c r="N19">
        <v>3</v>
      </c>
      <c r="O19" t="s">
        <v>135</v>
      </c>
      <c r="P19" t="s">
        <v>74</v>
      </c>
      <c r="Q19" t="s">
        <v>137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41</v>
      </c>
      <c r="Z19" t="s">
        <v>156</v>
      </c>
      <c r="AA19">
        <v>0</v>
      </c>
      <c r="AB19">
        <v>46</v>
      </c>
    </row>
    <row r="20" spans="1:28" x14ac:dyDescent="0.25">
      <c r="A20" t="s">
        <v>721</v>
      </c>
      <c r="B20">
        <v>22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97</v>
      </c>
      <c r="J20" t="s">
        <v>115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102</v>
      </c>
      <c r="R20" t="s">
        <v>94</v>
      </c>
      <c r="S20" t="s">
        <v>63</v>
      </c>
      <c r="T20">
        <v>3</v>
      </c>
      <c r="V20">
        <v>3</v>
      </c>
      <c r="W20" t="s">
        <v>103</v>
      </c>
      <c r="X20" t="s">
        <v>91</v>
      </c>
      <c r="Y20" t="s">
        <v>148</v>
      </c>
      <c r="Z20" t="s">
        <v>151</v>
      </c>
      <c r="AA20">
        <v>0</v>
      </c>
      <c r="AB20">
        <v>42</v>
      </c>
    </row>
    <row r="21" spans="1:28" x14ac:dyDescent="0.25">
      <c r="A21" t="s">
        <v>722</v>
      </c>
      <c r="B21">
        <v>23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97</v>
      </c>
      <c r="J21" t="s">
        <v>115</v>
      </c>
      <c r="K21" t="s">
        <v>45</v>
      </c>
      <c r="L21">
        <v>3</v>
      </c>
      <c r="N21">
        <v>3</v>
      </c>
      <c r="O21" t="s">
        <v>86</v>
      </c>
      <c r="P21" t="s">
        <v>141</v>
      </c>
      <c r="Q21" t="s">
        <v>93</v>
      </c>
      <c r="R21" t="s">
        <v>94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41</v>
      </c>
      <c r="Z21" t="s">
        <v>156</v>
      </c>
      <c r="AA21">
        <v>0</v>
      </c>
      <c r="AB21">
        <v>39</v>
      </c>
    </row>
    <row r="22" spans="1:28" x14ac:dyDescent="0.25">
      <c r="A22" t="s">
        <v>723</v>
      </c>
      <c r="B22">
        <v>25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97</v>
      </c>
      <c r="J22" t="s">
        <v>115</v>
      </c>
      <c r="K22" t="s">
        <v>63</v>
      </c>
      <c r="L22">
        <v>3</v>
      </c>
      <c r="N22">
        <v>3</v>
      </c>
      <c r="O22" t="s">
        <v>103</v>
      </c>
      <c r="P22" t="s">
        <v>91</v>
      </c>
      <c r="Q22" t="s">
        <v>148</v>
      </c>
      <c r="R22" t="s">
        <v>151</v>
      </c>
      <c r="S22" t="s">
        <v>38</v>
      </c>
      <c r="T22">
        <v>3</v>
      </c>
      <c r="U22">
        <v>3</v>
      </c>
      <c r="V22">
        <v>2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42</v>
      </c>
    </row>
    <row r="23" spans="1:28" x14ac:dyDescent="0.25">
      <c r="A23" t="s">
        <v>724</v>
      </c>
      <c r="B23">
        <v>28</v>
      </c>
      <c r="C23" t="s">
        <v>56</v>
      </c>
      <c r="D23">
        <v>3</v>
      </c>
      <c r="F23">
        <v>2</v>
      </c>
      <c r="G23" t="s">
        <v>120</v>
      </c>
      <c r="H23" t="s">
        <v>69</v>
      </c>
      <c r="I23" t="s">
        <v>87</v>
      </c>
      <c r="K23" t="s">
        <v>48</v>
      </c>
      <c r="L23">
        <v>3</v>
      </c>
      <c r="N23">
        <v>1</v>
      </c>
      <c r="O23" t="s">
        <v>126</v>
      </c>
      <c r="S23" t="s">
        <v>33</v>
      </c>
      <c r="T23">
        <v>2</v>
      </c>
      <c r="V23">
        <v>2</v>
      </c>
      <c r="W23" t="s">
        <v>34</v>
      </c>
      <c r="X23" t="s">
        <v>130</v>
      </c>
      <c r="Y23" t="s">
        <v>132</v>
      </c>
      <c r="Z23" t="s">
        <v>37</v>
      </c>
      <c r="AA23">
        <v>0</v>
      </c>
      <c r="AB23">
        <v>16</v>
      </c>
    </row>
    <row r="24" spans="1:28" x14ac:dyDescent="0.25">
      <c r="A24" t="s">
        <v>725</v>
      </c>
      <c r="B24">
        <v>29</v>
      </c>
      <c r="C24" t="s">
        <v>48</v>
      </c>
      <c r="D24">
        <v>3</v>
      </c>
      <c r="F24">
        <v>3</v>
      </c>
      <c r="G24" t="s">
        <v>126</v>
      </c>
      <c r="H24" t="s">
        <v>84</v>
      </c>
      <c r="I24" t="s">
        <v>90</v>
      </c>
      <c r="J24" t="s">
        <v>128</v>
      </c>
      <c r="K24" t="s">
        <v>56</v>
      </c>
      <c r="L24">
        <v>3</v>
      </c>
      <c r="N24">
        <v>3</v>
      </c>
      <c r="O24" t="s">
        <v>120</v>
      </c>
      <c r="P24" t="s">
        <v>121</v>
      </c>
      <c r="Q24" t="s">
        <v>87</v>
      </c>
      <c r="R24" t="s">
        <v>88</v>
      </c>
      <c r="S24" t="s">
        <v>43</v>
      </c>
      <c r="T24">
        <v>3</v>
      </c>
      <c r="V24">
        <v>3</v>
      </c>
      <c r="W24" t="s">
        <v>73</v>
      </c>
      <c r="X24" t="s">
        <v>74</v>
      </c>
      <c r="Y24" t="s">
        <v>75</v>
      </c>
      <c r="Z24" t="s">
        <v>139</v>
      </c>
      <c r="AA24">
        <v>0</v>
      </c>
      <c r="AB24">
        <v>38</v>
      </c>
    </row>
    <row r="25" spans="1:28" x14ac:dyDescent="0.25">
      <c r="A25" t="s">
        <v>726</v>
      </c>
      <c r="B25">
        <v>30</v>
      </c>
      <c r="C25" t="s">
        <v>56</v>
      </c>
      <c r="D25">
        <v>2</v>
      </c>
      <c r="F25">
        <v>3</v>
      </c>
      <c r="G25" t="s">
        <v>120</v>
      </c>
      <c r="H25" t="s">
        <v>69</v>
      </c>
      <c r="K25" t="s">
        <v>48</v>
      </c>
      <c r="L25">
        <v>1</v>
      </c>
      <c r="N25">
        <v>1</v>
      </c>
      <c r="O25" t="s">
        <v>126</v>
      </c>
      <c r="P25" t="s">
        <v>84</v>
      </c>
      <c r="Q25" t="s">
        <v>90</v>
      </c>
      <c r="S25" t="s">
        <v>45</v>
      </c>
      <c r="T25">
        <v>3</v>
      </c>
      <c r="V25">
        <v>1</v>
      </c>
      <c r="W25" t="s">
        <v>86</v>
      </c>
      <c r="X25" t="s">
        <v>141</v>
      </c>
      <c r="Y25" t="s">
        <v>93</v>
      </c>
      <c r="AA25">
        <v>0</v>
      </c>
      <c r="AB25">
        <v>13</v>
      </c>
    </row>
    <row r="26" spans="1:28" x14ac:dyDescent="0.25">
      <c r="A26" t="s">
        <v>727</v>
      </c>
      <c r="B26">
        <v>31</v>
      </c>
      <c r="C26" t="s">
        <v>56</v>
      </c>
      <c r="D26">
        <v>3</v>
      </c>
      <c r="F26">
        <v>2</v>
      </c>
      <c r="G26" t="s">
        <v>57</v>
      </c>
      <c r="H26" t="s">
        <v>122</v>
      </c>
      <c r="I26" t="s">
        <v>85</v>
      </c>
      <c r="J26" t="s">
        <v>88</v>
      </c>
      <c r="K26" t="s">
        <v>48</v>
      </c>
      <c r="L26">
        <v>1</v>
      </c>
      <c r="N26">
        <v>1</v>
      </c>
      <c r="O26" t="s">
        <v>126</v>
      </c>
      <c r="P26" t="s">
        <v>84</v>
      </c>
      <c r="Q26" t="s">
        <v>127</v>
      </c>
      <c r="R26" t="s">
        <v>52</v>
      </c>
      <c r="S26" t="s">
        <v>63</v>
      </c>
      <c r="T26">
        <v>3</v>
      </c>
      <c r="V26">
        <v>2</v>
      </c>
      <c r="W26" t="s">
        <v>103</v>
      </c>
      <c r="X26" t="s">
        <v>91</v>
      </c>
      <c r="Y26" t="s">
        <v>148</v>
      </c>
      <c r="Z26" t="s">
        <v>151</v>
      </c>
      <c r="AA26">
        <v>0</v>
      </c>
      <c r="AB26">
        <v>19</v>
      </c>
    </row>
    <row r="27" spans="1:28" x14ac:dyDescent="0.25">
      <c r="A27" t="s">
        <v>728</v>
      </c>
      <c r="B27">
        <v>32</v>
      </c>
      <c r="C27" t="s">
        <v>38</v>
      </c>
      <c r="D27">
        <v>1</v>
      </c>
      <c r="E27">
        <v>3</v>
      </c>
      <c r="F27">
        <v>2</v>
      </c>
      <c r="G27" t="s">
        <v>39</v>
      </c>
      <c r="H27" t="s">
        <v>40</v>
      </c>
      <c r="I27" t="s">
        <v>154</v>
      </c>
      <c r="J27" t="s">
        <v>156</v>
      </c>
      <c r="K27" t="s">
        <v>56</v>
      </c>
      <c r="L27">
        <v>3</v>
      </c>
      <c r="N27">
        <v>2</v>
      </c>
      <c r="O27" t="s">
        <v>120</v>
      </c>
      <c r="P27" t="s">
        <v>122</v>
      </c>
      <c r="Q27" t="s">
        <v>87</v>
      </c>
      <c r="S27" t="s">
        <v>48</v>
      </c>
      <c r="T27">
        <v>1</v>
      </c>
      <c r="V27">
        <v>1</v>
      </c>
      <c r="W27" t="s">
        <v>126</v>
      </c>
      <c r="X27" t="s">
        <v>84</v>
      </c>
      <c r="Y27" t="s">
        <v>127</v>
      </c>
      <c r="AA27">
        <v>0</v>
      </c>
      <c r="AB27">
        <v>16</v>
      </c>
    </row>
    <row r="28" spans="1:28" x14ac:dyDescent="0.25">
      <c r="A28" t="s">
        <v>729</v>
      </c>
      <c r="B28">
        <v>34</v>
      </c>
      <c r="C28" t="s">
        <v>43</v>
      </c>
      <c r="D28">
        <v>3</v>
      </c>
      <c r="F28">
        <v>2</v>
      </c>
      <c r="G28" t="s">
        <v>135</v>
      </c>
      <c r="H28" t="s">
        <v>136</v>
      </c>
      <c r="I28" t="s">
        <v>137</v>
      </c>
      <c r="J28" t="s">
        <v>138</v>
      </c>
      <c r="K28" t="s">
        <v>56</v>
      </c>
      <c r="L28">
        <v>3</v>
      </c>
      <c r="N28">
        <v>3</v>
      </c>
      <c r="O28" t="s">
        <v>120</v>
      </c>
      <c r="P28" t="s">
        <v>69</v>
      </c>
      <c r="Q28" t="s">
        <v>87</v>
      </c>
      <c r="S28" t="s">
        <v>33</v>
      </c>
      <c r="T28">
        <v>3</v>
      </c>
      <c r="V28">
        <v>3</v>
      </c>
      <c r="W28" t="s">
        <v>34</v>
      </c>
      <c r="AA28">
        <v>0</v>
      </c>
      <c r="AB28">
        <v>20</v>
      </c>
    </row>
    <row r="29" spans="1:28" x14ac:dyDescent="0.25">
      <c r="A29" t="s">
        <v>730</v>
      </c>
      <c r="B29">
        <v>35</v>
      </c>
      <c r="C29" t="s">
        <v>33</v>
      </c>
      <c r="D29">
        <v>2</v>
      </c>
      <c r="F29">
        <v>3</v>
      </c>
      <c r="G29" t="s">
        <v>34</v>
      </c>
      <c r="H29" t="s">
        <v>130</v>
      </c>
      <c r="I29" t="s">
        <v>132</v>
      </c>
      <c r="K29" t="s">
        <v>56</v>
      </c>
      <c r="L29">
        <v>3</v>
      </c>
      <c r="N29">
        <v>3</v>
      </c>
      <c r="O29" t="s">
        <v>120</v>
      </c>
      <c r="S29" t="s">
        <v>45</v>
      </c>
      <c r="T29">
        <v>3</v>
      </c>
      <c r="V29">
        <v>1</v>
      </c>
      <c r="W29" t="s">
        <v>86</v>
      </c>
      <c r="AA29">
        <v>0</v>
      </c>
      <c r="AB29">
        <v>14</v>
      </c>
    </row>
    <row r="30" spans="1:28" x14ac:dyDescent="0.25">
      <c r="A30" t="s">
        <v>731</v>
      </c>
      <c r="B30">
        <v>36</v>
      </c>
      <c r="C30" t="s">
        <v>56</v>
      </c>
      <c r="D30">
        <v>3</v>
      </c>
      <c r="F30">
        <v>1</v>
      </c>
      <c r="G30" t="s">
        <v>68</v>
      </c>
      <c r="K30" t="s">
        <v>33</v>
      </c>
      <c r="L30">
        <v>2</v>
      </c>
      <c r="N30">
        <v>2</v>
      </c>
      <c r="O30" t="s">
        <v>34</v>
      </c>
      <c r="P30" t="s">
        <v>35</v>
      </c>
      <c r="S30" t="s">
        <v>63</v>
      </c>
      <c r="T30">
        <v>1</v>
      </c>
      <c r="V30">
        <v>1</v>
      </c>
      <c r="W30" t="s">
        <v>145</v>
      </c>
      <c r="X30" t="s">
        <v>146</v>
      </c>
      <c r="AA30">
        <v>0</v>
      </c>
      <c r="AB30">
        <v>10</v>
      </c>
    </row>
    <row r="31" spans="1:28" x14ac:dyDescent="0.25">
      <c r="A31" t="s">
        <v>732</v>
      </c>
      <c r="B31">
        <v>37</v>
      </c>
      <c r="C31" t="s">
        <v>56</v>
      </c>
      <c r="D31">
        <v>2</v>
      </c>
      <c r="F31">
        <v>2</v>
      </c>
      <c r="G31" t="s">
        <v>120</v>
      </c>
      <c r="H31" t="s">
        <v>69</v>
      </c>
      <c r="I31" t="s">
        <v>87</v>
      </c>
      <c r="K31" t="s">
        <v>33</v>
      </c>
      <c r="L31">
        <v>3</v>
      </c>
      <c r="N31">
        <v>3</v>
      </c>
      <c r="O31" t="s">
        <v>46</v>
      </c>
      <c r="S31" t="s">
        <v>38</v>
      </c>
      <c r="T31">
        <v>1</v>
      </c>
      <c r="U31">
        <v>1</v>
      </c>
      <c r="V31">
        <v>2</v>
      </c>
      <c r="W31" t="s">
        <v>39</v>
      </c>
      <c r="X31" t="s">
        <v>40</v>
      </c>
      <c r="Y31" t="s">
        <v>153</v>
      </c>
      <c r="AA31">
        <v>0</v>
      </c>
      <c r="AB31">
        <v>14</v>
      </c>
    </row>
    <row r="32" spans="1:28" x14ac:dyDescent="0.25">
      <c r="A32" t="s">
        <v>733</v>
      </c>
      <c r="B32">
        <v>39</v>
      </c>
      <c r="C32" t="s">
        <v>56</v>
      </c>
      <c r="D32">
        <v>1</v>
      </c>
      <c r="F32">
        <v>3</v>
      </c>
      <c r="G32" t="s">
        <v>120</v>
      </c>
      <c r="H32" t="s">
        <v>69</v>
      </c>
      <c r="I32" t="s">
        <v>87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100</v>
      </c>
      <c r="S32" t="s">
        <v>45</v>
      </c>
      <c r="T32">
        <v>3</v>
      </c>
      <c r="V32">
        <v>1</v>
      </c>
      <c r="W32" t="s">
        <v>86</v>
      </c>
      <c r="X32" t="s">
        <v>141</v>
      </c>
      <c r="Y32" t="s">
        <v>102</v>
      </c>
      <c r="AA32">
        <v>0</v>
      </c>
      <c r="AB32">
        <v>14</v>
      </c>
    </row>
    <row r="33" spans="1:28" x14ac:dyDescent="0.25">
      <c r="A33" t="s">
        <v>734</v>
      </c>
      <c r="B33">
        <v>40</v>
      </c>
      <c r="C33" t="s">
        <v>56</v>
      </c>
      <c r="D33">
        <v>2</v>
      </c>
      <c r="F33">
        <v>1</v>
      </c>
      <c r="G33" t="s">
        <v>120</v>
      </c>
      <c r="H33" t="s">
        <v>69</v>
      </c>
      <c r="I33" t="s">
        <v>87</v>
      </c>
      <c r="J33" t="s">
        <v>125</v>
      </c>
      <c r="K33" t="s">
        <v>43</v>
      </c>
      <c r="L33">
        <v>2</v>
      </c>
      <c r="N33">
        <v>1</v>
      </c>
      <c r="O33" t="s">
        <v>135</v>
      </c>
      <c r="P33" t="s">
        <v>136</v>
      </c>
      <c r="Q33" t="s">
        <v>137</v>
      </c>
      <c r="R33" t="s">
        <v>138</v>
      </c>
      <c r="S33" t="s">
        <v>63</v>
      </c>
      <c r="T33">
        <v>1</v>
      </c>
      <c r="V33">
        <v>1</v>
      </c>
      <c r="W33" t="s">
        <v>145</v>
      </c>
      <c r="X33" t="s">
        <v>146</v>
      </c>
      <c r="Y33" t="s">
        <v>148</v>
      </c>
      <c r="AA33">
        <v>0</v>
      </c>
      <c r="AB33">
        <v>14</v>
      </c>
    </row>
    <row r="34" spans="1:28" x14ac:dyDescent="0.25">
      <c r="A34" t="s">
        <v>735</v>
      </c>
      <c r="B34">
        <v>41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125</v>
      </c>
      <c r="K34" t="s">
        <v>43</v>
      </c>
      <c r="L34">
        <v>3</v>
      </c>
      <c r="N34">
        <v>2</v>
      </c>
      <c r="O34" t="s">
        <v>73</v>
      </c>
      <c r="P34" t="s">
        <v>136</v>
      </c>
      <c r="Q34" t="s">
        <v>100</v>
      </c>
      <c r="R34" t="s">
        <v>139</v>
      </c>
      <c r="S34" t="s">
        <v>38</v>
      </c>
      <c r="T34">
        <v>1</v>
      </c>
      <c r="U34">
        <v>3</v>
      </c>
      <c r="V34">
        <v>3</v>
      </c>
      <c r="W34" t="s">
        <v>39</v>
      </c>
      <c r="X34" t="s">
        <v>40</v>
      </c>
      <c r="Y34" t="s">
        <v>153</v>
      </c>
      <c r="Z34" t="s">
        <v>156</v>
      </c>
      <c r="AA34">
        <v>0</v>
      </c>
      <c r="AB34">
        <v>23</v>
      </c>
    </row>
    <row r="35" spans="1:28" x14ac:dyDescent="0.25">
      <c r="A35" t="s">
        <v>736</v>
      </c>
      <c r="B35">
        <v>43</v>
      </c>
      <c r="C35" t="s">
        <v>56</v>
      </c>
      <c r="D35">
        <v>3</v>
      </c>
      <c r="F35">
        <v>3</v>
      </c>
      <c r="G35" t="s">
        <v>57</v>
      </c>
      <c r="H35" t="s">
        <v>69</v>
      </c>
      <c r="I35" t="s">
        <v>85</v>
      </c>
      <c r="J35" t="s">
        <v>125</v>
      </c>
      <c r="K35" t="s">
        <v>45</v>
      </c>
      <c r="L35">
        <v>3</v>
      </c>
      <c r="N35">
        <v>3</v>
      </c>
      <c r="O35" t="s">
        <v>86</v>
      </c>
      <c r="P35" t="s">
        <v>141</v>
      </c>
      <c r="Q35" t="s">
        <v>142</v>
      </c>
      <c r="R35" t="s">
        <v>144</v>
      </c>
      <c r="S35" t="s">
        <v>63</v>
      </c>
      <c r="T35">
        <v>2</v>
      </c>
      <c r="V35">
        <v>3</v>
      </c>
      <c r="W35" t="s">
        <v>145</v>
      </c>
      <c r="X35" t="s">
        <v>146</v>
      </c>
      <c r="Y35" t="s">
        <v>148</v>
      </c>
      <c r="Z35" t="s">
        <v>151</v>
      </c>
      <c r="AA35">
        <v>0</v>
      </c>
      <c r="AB35">
        <v>27</v>
      </c>
    </row>
    <row r="36" spans="1:28" x14ac:dyDescent="0.25">
      <c r="A36" t="s">
        <v>737</v>
      </c>
      <c r="B36">
        <v>44</v>
      </c>
      <c r="C36" t="s">
        <v>38</v>
      </c>
      <c r="D36">
        <v>3</v>
      </c>
      <c r="E36">
        <v>2</v>
      </c>
      <c r="F36">
        <v>2</v>
      </c>
      <c r="G36" t="s">
        <v>39</v>
      </c>
      <c r="H36" t="s">
        <v>96</v>
      </c>
      <c r="I36" t="s">
        <v>154</v>
      </c>
      <c r="J36" t="s">
        <v>156</v>
      </c>
      <c r="K36" t="s">
        <v>56</v>
      </c>
      <c r="L36">
        <v>2</v>
      </c>
      <c r="N36">
        <v>3</v>
      </c>
      <c r="O36" t="s">
        <v>120</v>
      </c>
      <c r="P36" t="s">
        <v>122</v>
      </c>
      <c r="Q36" t="s">
        <v>85</v>
      </c>
      <c r="R36" t="s">
        <v>124</v>
      </c>
      <c r="S36" t="s">
        <v>45</v>
      </c>
      <c r="T36">
        <v>3</v>
      </c>
      <c r="V36">
        <v>1</v>
      </c>
      <c r="W36" t="s">
        <v>86</v>
      </c>
      <c r="AA36">
        <v>0</v>
      </c>
      <c r="AB36">
        <v>18</v>
      </c>
    </row>
    <row r="37" spans="1:28" x14ac:dyDescent="0.25">
      <c r="A37" t="s">
        <v>738</v>
      </c>
      <c r="B37">
        <v>46</v>
      </c>
      <c r="C37" t="s">
        <v>56</v>
      </c>
      <c r="D37">
        <v>3</v>
      </c>
      <c r="F37">
        <v>3</v>
      </c>
      <c r="G37" t="s">
        <v>57</v>
      </c>
      <c r="H37" t="s">
        <v>122</v>
      </c>
      <c r="I37" t="s">
        <v>85</v>
      </c>
      <c r="J37" t="s">
        <v>125</v>
      </c>
      <c r="K37" t="s">
        <v>63</v>
      </c>
      <c r="L37">
        <v>2</v>
      </c>
      <c r="N37">
        <v>2</v>
      </c>
      <c r="O37" t="s">
        <v>103</v>
      </c>
      <c r="P37" t="s">
        <v>146</v>
      </c>
      <c r="Q37" t="s">
        <v>104</v>
      </c>
      <c r="R37" t="s">
        <v>151</v>
      </c>
      <c r="S37" t="s">
        <v>38</v>
      </c>
      <c r="T37">
        <v>3</v>
      </c>
      <c r="U37">
        <v>3</v>
      </c>
      <c r="V37">
        <v>3</v>
      </c>
      <c r="W37" t="s">
        <v>39</v>
      </c>
      <c r="X37" t="s">
        <v>96</v>
      </c>
      <c r="Y37" t="s">
        <v>154</v>
      </c>
      <c r="Z37" t="s">
        <v>156</v>
      </c>
      <c r="AA37">
        <v>0</v>
      </c>
      <c r="AB37">
        <v>26</v>
      </c>
    </row>
    <row r="38" spans="1:28" x14ac:dyDescent="0.25">
      <c r="A38" t="s">
        <v>739</v>
      </c>
      <c r="B38">
        <v>49</v>
      </c>
      <c r="C38" t="s">
        <v>33</v>
      </c>
      <c r="D38">
        <v>1</v>
      </c>
      <c r="F38">
        <v>3</v>
      </c>
      <c r="G38" t="s">
        <v>34</v>
      </c>
      <c r="H38" t="s">
        <v>130</v>
      </c>
      <c r="I38" t="s">
        <v>36</v>
      </c>
      <c r="K38" t="s">
        <v>48</v>
      </c>
      <c r="L38">
        <v>3</v>
      </c>
      <c r="N38">
        <v>1</v>
      </c>
      <c r="O38" t="s">
        <v>126</v>
      </c>
      <c r="S38" t="s">
        <v>43</v>
      </c>
      <c r="T38">
        <v>3</v>
      </c>
      <c r="V38">
        <v>2</v>
      </c>
      <c r="W38" t="s">
        <v>135</v>
      </c>
      <c r="AA38">
        <v>0</v>
      </c>
      <c r="AB38">
        <v>12</v>
      </c>
    </row>
    <row r="39" spans="1:28" x14ac:dyDescent="0.25">
      <c r="A39" t="s">
        <v>740</v>
      </c>
      <c r="B39">
        <v>50</v>
      </c>
      <c r="C39" t="s">
        <v>45</v>
      </c>
      <c r="D39">
        <v>3</v>
      </c>
      <c r="F39">
        <v>1</v>
      </c>
      <c r="G39" t="s">
        <v>47</v>
      </c>
      <c r="H39" t="s">
        <v>92</v>
      </c>
      <c r="I39" t="s">
        <v>142</v>
      </c>
      <c r="J39" t="s">
        <v>144</v>
      </c>
      <c r="K39" t="s">
        <v>48</v>
      </c>
      <c r="L39">
        <v>3</v>
      </c>
      <c r="N39">
        <v>1</v>
      </c>
      <c r="O39" t="s">
        <v>126</v>
      </c>
      <c r="P39" t="s">
        <v>84</v>
      </c>
      <c r="Q39" t="s">
        <v>127</v>
      </c>
      <c r="S39" t="s">
        <v>33</v>
      </c>
      <c r="T39">
        <v>1</v>
      </c>
      <c r="V39">
        <v>3</v>
      </c>
      <c r="W39" t="s">
        <v>34</v>
      </c>
      <c r="X39" t="s">
        <v>130</v>
      </c>
      <c r="Y39" t="s">
        <v>132</v>
      </c>
      <c r="AA39">
        <v>0</v>
      </c>
      <c r="AB39">
        <v>16</v>
      </c>
    </row>
    <row r="40" spans="1:28" x14ac:dyDescent="0.25">
      <c r="A40" t="s">
        <v>741</v>
      </c>
      <c r="B40">
        <v>51</v>
      </c>
      <c r="C40" t="s">
        <v>63</v>
      </c>
      <c r="D40">
        <v>3</v>
      </c>
      <c r="F40">
        <v>2</v>
      </c>
      <c r="G40" t="s">
        <v>145</v>
      </c>
      <c r="H40" t="s">
        <v>146</v>
      </c>
      <c r="I40" t="s">
        <v>148</v>
      </c>
      <c r="J40" t="s">
        <v>150</v>
      </c>
      <c r="K40" t="s">
        <v>48</v>
      </c>
      <c r="L40">
        <v>2</v>
      </c>
      <c r="N40">
        <v>2</v>
      </c>
      <c r="O40" t="s">
        <v>126</v>
      </c>
      <c r="P40" t="s">
        <v>84</v>
      </c>
      <c r="Q40" t="s">
        <v>90</v>
      </c>
      <c r="S40" t="s">
        <v>33</v>
      </c>
      <c r="T40">
        <v>3</v>
      </c>
      <c r="V40">
        <v>3</v>
      </c>
      <c r="W40" t="s">
        <v>34</v>
      </c>
      <c r="X40" t="s">
        <v>130</v>
      </c>
      <c r="Y40" t="s">
        <v>36</v>
      </c>
      <c r="Z40" t="s">
        <v>37</v>
      </c>
      <c r="AA40">
        <v>0</v>
      </c>
      <c r="AB40">
        <v>21</v>
      </c>
    </row>
    <row r="41" spans="1:28" x14ac:dyDescent="0.25">
      <c r="A41" t="s">
        <v>742</v>
      </c>
      <c r="B41">
        <v>52</v>
      </c>
      <c r="C41" t="s">
        <v>38</v>
      </c>
      <c r="D41">
        <v>1</v>
      </c>
      <c r="E41">
        <v>2</v>
      </c>
      <c r="F41">
        <v>3</v>
      </c>
      <c r="G41" t="s">
        <v>39</v>
      </c>
      <c r="H41" t="s">
        <v>40</v>
      </c>
      <c r="I41" t="s">
        <v>153</v>
      </c>
      <c r="J41" t="s">
        <v>156</v>
      </c>
      <c r="K41" t="s">
        <v>48</v>
      </c>
      <c r="L41">
        <v>3</v>
      </c>
      <c r="N41">
        <v>1</v>
      </c>
      <c r="O41" t="s">
        <v>126</v>
      </c>
      <c r="P41" t="s">
        <v>71</v>
      </c>
      <c r="Q41" t="s">
        <v>127</v>
      </c>
      <c r="R41" t="s">
        <v>128</v>
      </c>
      <c r="S41" t="s">
        <v>33</v>
      </c>
      <c r="T41">
        <v>1</v>
      </c>
      <c r="V41">
        <v>2</v>
      </c>
      <c r="W41" t="s">
        <v>34</v>
      </c>
      <c r="X41" t="s">
        <v>130</v>
      </c>
      <c r="Y41" t="s">
        <v>132</v>
      </c>
      <c r="Z41" t="s">
        <v>133</v>
      </c>
      <c r="AA41">
        <v>0</v>
      </c>
      <c r="AB41">
        <v>18</v>
      </c>
    </row>
    <row r="42" spans="1:28" x14ac:dyDescent="0.25">
      <c r="A42" t="s">
        <v>743</v>
      </c>
      <c r="B42">
        <v>54</v>
      </c>
      <c r="C42" t="s">
        <v>45</v>
      </c>
      <c r="D42">
        <v>3</v>
      </c>
      <c r="F42">
        <v>3</v>
      </c>
      <c r="G42" t="s">
        <v>86</v>
      </c>
      <c r="H42" t="s">
        <v>141</v>
      </c>
      <c r="I42" t="s">
        <v>102</v>
      </c>
      <c r="J42" t="s">
        <v>143</v>
      </c>
      <c r="K42" t="s">
        <v>48</v>
      </c>
      <c r="L42">
        <v>1</v>
      </c>
      <c r="N42">
        <v>1</v>
      </c>
      <c r="O42" t="s">
        <v>126</v>
      </c>
      <c r="P42" t="s">
        <v>84</v>
      </c>
      <c r="S42" t="s">
        <v>43</v>
      </c>
      <c r="T42">
        <v>2</v>
      </c>
      <c r="V42">
        <v>3</v>
      </c>
      <c r="W42" t="s">
        <v>73</v>
      </c>
      <c r="X42" t="s">
        <v>74</v>
      </c>
      <c r="Y42" t="s">
        <v>100</v>
      </c>
      <c r="Z42" t="s">
        <v>101</v>
      </c>
      <c r="AA42">
        <v>0</v>
      </c>
      <c r="AB42">
        <v>18</v>
      </c>
    </row>
    <row r="43" spans="1:28" x14ac:dyDescent="0.25">
      <c r="A43" t="s">
        <v>744</v>
      </c>
      <c r="B43">
        <v>55</v>
      </c>
      <c r="C43" t="s">
        <v>63</v>
      </c>
      <c r="D43">
        <v>3</v>
      </c>
      <c r="F43">
        <v>3</v>
      </c>
      <c r="G43" t="s">
        <v>145</v>
      </c>
      <c r="H43" t="s">
        <v>146</v>
      </c>
      <c r="I43" t="s">
        <v>148</v>
      </c>
      <c r="J43" t="s">
        <v>149</v>
      </c>
      <c r="K43" t="s">
        <v>48</v>
      </c>
      <c r="L43">
        <v>3</v>
      </c>
      <c r="N43">
        <v>3</v>
      </c>
      <c r="O43" t="s">
        <v>126</v>
      </c>
      <c r="P43" t="s">
        <v>84</v>
      </c>
      <c r="Q43" t="s">
        <v>90</v>
      </c>
      <c r="R43" t="s">
        <v>128</v>
      </c>
      <c r="S43" t="s">
        <v>43</v>
      </c>
      <c r="T43">
        <v>3</v>
      </c>
      <c r="V43">
        <v>3</v>
      </c>
      <c r="W43" t="s">
        <v>73</v>
      </c>
      <c r="X43" t="s">
        <v>74</v>
      </c>
      <c r="Y43" t="s">
        <v>100</v>
      </c>
      <c r="Z43" t="s">
        <v>101</v>
      </c>
      <c r="AA43">
        <v>0</v>
      </c>
      <c r="AB43">
        <v>39</v>
      </c>
    </row>
    <row r="44" spans="1:28" x14ac:dyDescent="0.25">
      <c r="A44" t="s">
        <v>745</v>
      </c>
      <c r="B44">
        <v>56</v>
      </c>
      <c r="C44" t="s">
        <v>48</v>
      </c>
      <c r="D44">
        <v>3</v>
      </c>
      <c r="F44">
        <v>3</v>
      </c>
      <c r="G44" t="s">
        <v>126</v>
      </c>
      <c r="H44" t="s">
        <v>84</v>
      </c>
      <c r="I44" t="s">
        <v>90</v>
      </c>
      <c r="J44" t="s">
        <v>128</v>
      </c>
      <c r="K44" t="s">
        <v>43</v>
      </c>
      <c r="L44">
        <v>3</v>
      </c>
      <c r="N44">
        <v>1</v>
      </c>
      <c r="O44" t="s">
        <v>135</v>
      </c>
      <c r="P44" t="s">
        <v>74</v>
      </c>
      <c r="Q44" t="s">
        <v>137</v>
      </c>
      <c r="R44" t="s">
        <v>139</v>
      </c>
      <c r="S44" t="s">
        <v>38</v>
      </c>
      <c r="T44">
        <v>3</v>
      </c>
      <c r="U44">
        <v>3</v>
      </c>
      <c r="V44">
        <v>3</v>
      </c>
      <c r="W44" t="s">
        <v>39</v>
      </c>
      <c r="X44" t="s">
        <v>40</v>
      </c>
      <c r="Y44" t="s">
        <v>154</v>
      </c>
      <c r="Z44" t="s">
        <v>156</v>
      </c>
      <c r="AA44">
        <v>0</v>
      </c>
      <c r="AB44">
        <v>36</v>
      </c>
    </row>
    <row r="45" spans="1:28" x14ac:dyDescent="0.25">
      <c r="A45" t="s">
        <v>746</v>
      </c>
      <c r="B45">
        <v>58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127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102</v>
      </c>
      <c r="R45" t="s">
        <v>144</v>
      </c>
      <c r="S45" t="s">
        <v>63</v>
      </c>
      <c r="T45">
        <v>1</v>
      </c>
      <c r="V45">
        <v>1</v>
      </c>
      <c r="W45" t="s">
        <v>145</v>
      </c>
      <c r="X45" t="s">
        <v>91</v>
      </c>
      <c r="Y45" t="s">
        <v>148</v>
      </c>
      <c r="Z45" t="s">
        <v>151</v>
      </c>
      <c r="AA45">
        <v>0</v>
      </c>
      <c r="AB45">
        <v>24</v>
      </c>
    </row>
    <row r="46" spans="1:28" x14ac:dyDescent="0.25">
      <c r="A46" t="s">
        <v>747</v>
      </c>
      <c r="B46">
        <v>59</v>
      </c>
      <c r="C46" t="s">
        <v>48</v>
      </c>
      <c r="D46">
        <v>3</v>
      </c>
      <c r="F46">
        <v>3</v>
      </c>
      <c r="G46" t="s">
        <v>126</v>
      </c>
      <c r="H46" t="s">
        <v>84</v>
      </c>
      <c r="I46" t="s">
        <v>90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93</v>
      </c>
      <c r="R46" t="s">
        <v>94</v>
      </c>
      <c r="S46" t="s">
        <v>38</v>
      </c>
      <c r="T46">
        <v>3</v>
      </c>
      <c r="U46">
        <v>3</v>
      </c>
      <c r="V46">
        <v>3</v>
      </c>
      <c r="W46" t="s">
        <v>39</v>
      </c>
      <c r="X46" t="s">
        <v>40</v>
      </c>
      <c r="Y46" t="s">
        <v>41</v>
      </c>
      <c r="Z46" t="s">
        <v>156</v>
      </c>
      <c r="AA46">
        <v>0</v>
      </c>
      <c r="AB46">
        <v>39</v>
      </c>
    </row>
    <row r="47" spans="1:28" x14ac:dyDescent="0.25">
      <c r="A47" t="s">
        <v>748</v>
      </c>
      <c r="B47">
        <v>61</v>
      </c>
      <c r="C47" t="s">
        <v>38</v>
      </c>
      <c r="D47">
        <v>3</v>
      </c>
      <c r="E47">
        <v>3</v>
      </c>
      <c r="F47">
        <v>3</v>
      </c>
      <c r="G47" t="s">
        <v>39</v>
      </c>
      <c r="H47" t="s">
        <v>40</v>
      </c>
      <c r="I47" t="s">
        <v>153</v>
      </c>
      <c r="J47" t="s">
        <v>156</v>
      </c>
      <c r="K47" t="s">
        <v>48</v>
      </c>
      <c r="L47">
        <v>3</v>
      </c>
      <c r="N47">
        <v>3</v>
      </c>
      <c r="O47" t="s">
        <v>126</v>
      </c>
      <c r="P47" t="s">
        <v>84</v>
      </c>
      <c r="Q47" t="s">
        <v>127</v>
      </c>
      <c r="R47" t="s">
        <v>52</v>
      </c>
      <c r="S47" t="s">
        <v>63</v>
      </c>
      <c r="T47">
        <v>3</v>
      </c>
      <c r="V47">
        <v>3</v>
      </c>
      <c r="W47" t="s">
        <v>103</v>
      </c>
      <c r="X47" t="s">
        <v>91</v>
      </c>
      <c r="Y47" t="s">
        <v>148</v>
      </c>
      <c r="Z47" t="s">
        <v>151</v>
      </c>
      <c r="AA47">
        <v>0</v>
      </c>
      <c r="AB47">
        <v>52</v>
      </c>
    </row>
    <row r="48" spans="1:28" x14ac:dyDescent="0.25">
      <c r="A48" t="s">
        <v>749</v>
      </c>
      <c r="B48">
        <v>64</v>
      </c>
      <c r="C48" t="s">
        <v>45</v>
      </c>
      <c r="D48">
        <v>3</v>
      </c>
      <c r="F48">
        <v>1</v>
      </c>
      <c r="G48" t="s">
        <v>86</v>
      </c>
      <c r="H48" t="s">
        <v>76</v>
      </c>
      <c r="I48" t="s">
        <v>142</v>
      </c>
      <c r="K48" t="s">
        <v>33</v>
      </c>
      <c r="L48">
        <v>1</v>
      </c>
      <c r="N48">
        <v>3</v>
      </c>
      <c r="O48" t="s">
        <v>34</v>
      </c>
      <c r="S48" t="s">
        <v>43</v>
      </c>
      <c r="T48">
        <v>3</v>
      </c>
      <c r="V48">
        <v>1</v>
      </c>
      <c r="W48" t="s">
        <v>135</v>
      </c>
      <c r="X48" t="s">
        <v>99</v>
      </c>
      <c r="Y48" t="s">
        <v>100</v>
      </c>
      <c r="AA48">
        <v>0</v>
      </c>
      <c r="AB48">
        <v>14</v>
      </c>
    </row>
    <row r="49" spans="1:28" x14ac:dyDescent="0.25">
      <c r="A49" t="s">
        <v>750</v>
      </c>
      <c r="B49">
        <v>65</v>
      </c>
      <c r="C49" t="s">
        <v>33</v>
      </c>
      <c r="D49">
        <v>3</v>
      </c>
      <c r="F49">
        <v>3</v>
      </c>
      <c r="G49" t="s">
        <v>34</v>
      </c>
      <c r="H49" t="s">
        <v>66</v>
      </c>
      <c r="I49" t="s">
        <v>132</v>
      </c>
      <c r="J49" t="s">
        <v>37</v>
      </c>
      <c r="K49" t="s">
        <v>43</v>
      </c>
      <c r="L49">
        <v>3</v>
      </c>
      <c r="N49">
        <v>3</v>
      </c>
      <c r="O49" t="s">
        <v>135</v>
      </c>
      <c r="P49" t="s">
        <v>136</v>
      </c>
      <c r="S49" t="s">
        <v>63</v>
      </c>
      <c r="T49">
        <v>2</v>
      </c>
      <c r="V49">
        <v>3</v>
      </c>
      <c r="W49" t="s">
        <v>145</v>
      </c>
      <c r="X49" t="s">
        <v>146</v>
      </c>
      <c r="Y49" t="s">
        <v>148</v>
      </c>
      <c r="Z49" t="s">
        <v>151</v>
      </c>
      <c r="AA49">
        <v>0</v>
      </c>
      <c r="AB49">
        <v>21</v>
      </c>
    </row>
    <row r="50" spans="1:28" x14ac:dyDescent="0.25">
      <c r="A50" t="s">
        <v>751</v>
      </c>
      <c r="B50">
        <v>66</v>
      </c>
      <c r="C50" t="s">
        <v>38</v>
      </c>
      <c r="D50">
        <v>1</v>
      </c>
      <c r="E50">
        <v>1</v>
      </c>
      <c r="F50">
        <v>2</v>
      </c>
      <c r="G50" t="s">
        <v>39</v>
      </c>
      <c r="H50" t="s">
        <v>70</v>
      </c>
      <c r="I50" t="s">
        <v>153</v>
      </c>
      <c r="J50" t="s">
        <v>155</v>
      </c>
      <c r="K50" t="s">
        <v>33</v>
      </c>
      <c r="L50">
        <v>1</v>
      </c>
      <c r="N50">
        <v>3</v>
      </c>
      <c r="O50" t="s">
        <v>34</v>
      </c>
      <c r="S50" t="s">
        <v>43</v>
      </c>
      <c r="T50">
        <v>3</v>
      </c>
      <c r="V50">
        <v>1</v>
      </c>
      <c r="W50" t="s">
        <v>135</v>
      </c>
      <c r="X50" t="s">
        <v>136</v>
      </c>
      <c r="Y50" t="s">
        <v>75</v>
      </c>
      <c r="AA50">
        <v>0</v>
      </c>
      <c r="AB50">
        <v>13</v>
      </c>
    </row>
    <row r="51" spans="1:28" x14ac:dyDescent="0.25">
      <c r="A51" t="s">
        <v>752</v>
      </c>
      <c r="B51">
        <v>68</v>
      </c>
      <c r="C51" t="s">
        <v>45</v>
      </c>
      <c r="D51">
        <v>3</v>
      </c>
      <c r="F51">
        <v>3</v>
      </c>
      <c r="G51" t="s">
        <v>86</v>
      </c>
      <c r="H51" t="s">
        <v>141</v>
      </c>
      <c r="I51" t="s">
        <v>142</v>
      </c>
      <c r="J51" t="s">
        <v>143</v>
      </c>
      <c r="K51" t="s">
        <v>33</v>
      </c>
      <c r="L51">
        <v>2</v>
      </c>
      <c r="N51">
        <v>3</v>
      </c>
      <c r="O51" t="s">
        <v>34</v>
      </c>
      <c r="P51" t="s">
        <v>130</v>
      </c>
      <c r="Q51" t="s">
        <v>131</v>
      </c>
      <c r="R51" t="s">
        <v>37</v>
      </c>
      <c r="S51" t="s">
        <v>63</v>
      </c>
      <c r="T51">
        <v>3</v>
      </c>
      <c r="V51">
        <v>3</v>
      </c>
      <c r="W51" t="s">
        <v>145</v>
      </c>
      <c r="X51" t="s">
        <v>146</v>
      </c>
      <c r="Y51" t="s">
        <v>104</v>
      </c>
      <c r="Z51" t="s">
        <v>150</v>
      </c>
      <c r="AA51">
        <v>0</v>
      </c>
      <c r="AB51">
        <v>24</v>
      </c>
    </row>
    <row r="52" spans="1:28" x14ac:dyDescent="0.25">
      <c r="A52" t="s">
        <v>753</v>
      </c>
      <c r="B52">
        <v>69</v>
      </c>
      <c r="C52" t="s">
        <v>45</v>
      </c>
      <c r="D52">
        <v>3</v>
      </c>
      <c r="F52">
        <v>1</v>
      </c>
      <c r="G52" t="s">
        <v>86</v>
      </c>
      <c r="H52" t="s">
        <v>76</v>
      </c>
      <c r="K52" t="s">
        <v>33</v>
      </c>
      <c r="L52">
        <v>1</v>
      </c>
      <c r="N52">
        <v>2</v>
      </c>
      <c r="O52" t="s">
        <v>34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96</v>
      </c>
      <c r="Y52" t="s">
        <v>153</v>
      </c>
      <c r="AA52">
        <v>0</v>
      </c>
      <c r="AB52">
        <v>10</v>
      </c>
    </row>
    <row r="53" spans="1:28" x14ac:dyDescent="0.25">
      <c r="A53" t="s">
        <v>754</v>
      </c>
      <c r="B53">
        <v>71</v>
      </c>
      <c r="C53" t="s">
        <v>33</v>
      </c>
      <c r="D53">
        <v>2</v>
      </c>
      <c r="F53">
        <v>3</v>
      </c>
      <c r="G53" t="s">
        <v>34</v>
      </c>
      <c r="H53" t="s">
        <v>35</v>
      </c>
      <c r="I53" t="s">
        <v>132</v>
      </c>
      <c r="K53" t="s">
        <v>63</v>
      </c>
      <c r="L53">
        <v>3</v>
      </c>
      <c r="N53">
        <v>1</v>
      </c>
      <c r="O53" t="s">
        <v>72</v>
      </c>
      <c r="P53" t="s">
        <v>95</v>
      </c>
      <c r="Q53" t="s">
        <v>147</v>
      </c>
      <c r="S53" t="s">
        <v>38</v>
      </c>
      <c r="T53">
        <v>1</v>
      </c>
      <c r="U53">
        <v>1</v>
      </c>
      <c r="V53">
        <v>2</v>
      </c>
      <c r="W53" t="s">
        <v>39</v>
      </c>
      <c r="X53" t="s">
        <v>96</v>
      </c>
      <c r="Y53" t="s">
        <v>153</v>
      </c>
      <c r="AA53">
        <v>0</v>
      </c>
      <c r="AB53">
        <v>15</v>
      </c>
    </row>
    <row r="54" spans="1:28" x14ac:dyDescent="0.25">
      <c r="A54" t="s">
        <v>755</v>
      </c>
      <c r="B54">
        <v>74</v>
      </c>
      <c r="C54" t="s">
        <v>63</v>
      </c>
      <c r="D54">
        <v>3</v>
      </c>
      <c r="F54">
        <v>3</v>
      </c>
      <c r="G54" t="s">
        <v>145</v>
      </c>
      <c r="H54" t="s">
        <v>146</v>
      </c>
      <c r="I54" t="s">
        <v>148</v>
      </c>
      <c r="J54" t="s">
        <v>150</v>
      </c>
      <c r="K54" t="s">
        <v>43</v>
      </c>
      <c r="L54">
        <v>1</v>
      </c>
      <c r="N54">
        <v>3</v>
      </c>
      <c r="O54" t="s">
        <v>135</v>
      </c>
      <c r="P54" t="s">
        <v>136</v>
      </c>
      <c r="Q54" t="s">
        <v>100</v>
      </c>
      <c r="R54" t="s">
        <v>139</v>
      </c>
      <c r="S54" t="s">
        <v>45</v>
      </c>
      <c r="T54">
        <v>3</v>
      </c>
      <c r="V54">
        <v>3</v>
      </c>
      <c r="W54" t="s">
        <v>47</v>
      </c>
      <c r="X54" t="s">
        <v>141</v>
      </c>
      <c r="Y54" t="s">
        <v>102</v>
      </c>
      <c r="Z54" t="s">
        <v>144</v>
      </c>
      <c r="AA54">
        <v>0</v>
      </c>
      <c r="AB54">
        <v>25</v>
      </c>
    </row>
    <row r="55" spans="1:28" x14ac:dyDescent="0.25">
      <c r="A55" t="s">
        <v>756</v>
      </c>
      <c r="B55">
        <v>75</v>
      </c>
      <c r="C55" t="s">
        <v>43</v>
      </c>
      <c r="D55">
        <v>3</v>
      </c>
      <c r="F55">
        <v>3</v>
      </c>
      <c r="G55" t="s">
        <v>135</v>
      </c>
      <c r="H55" t="s">
        <v>74</v>
      </c>
      <c r="I55" t="s">
        <v>100</v>
      </c>
      <c r="J55" t="s">
        <v>138</v>
      </c>
      <c r="K55" t="s">
        <v>45</v>
      </c>
      <c r="L55">
        <v>3</v>
      </c>
      <c r="N55">
        <v>3</v>
      </c>
      <c r="O55" t="s">
        <v>86</v>
      </c>
      <c r="P55" t="s">
        <v>141</v>
      </c>
      <c r="Q55" t="s">
        <v>142</v>
      </c>
      <c r="R55" t="s">
        <v>144</v>
      </c>
      <c r="S55" t="s">
        <v>38</v>
      </c>
      <c r="T55">
        <v>3</v>
      </c>
      <c r="U55">
        <v>3</v>
      </c>
      <c r="V55">
        <v>3</v>
      </c>
      <c r="W55" t="s">
        <v>39</v>
      </c>
      <c r="X55" t="s">
        <v>40</v>
      </c>
      <c r="Y55" t="s">
        <v>153</v>
      </c>
      <c r="Z55" t="s">
        <v>156</v>
      </c>
      <c r="AA55">
        <v>0</v>
      </c>
      <c r="AB55">
        <v>35</v>
      </c>
    </row>
    <row r="56" spans="1:28" x14ac:dyDescent="0.25">
      <c r="A56" t="s">
        <v>757</v>
      </c>
      <c r="B56">
        <v>77</v>
      </c>
      <c r="C56" t="s">
        <v>63</v>
      </c>
      <c r="D56">
        <v>3</v>
      </c>
      <c r="F56">
        <v>3</v>
      </c>
      <c r="G56" t="s">
        <v>103</v>
      </c>
      <c r="H56" t="s">
        <v>146</v>
      </c>
      <c r="I56" t="s">
        <v>104</v>
      </c>
      <c r="J56" t="s">
        <v>151</v>
      </c>
      <c r="K56" t="s">
        <v>43</v>
      </c>
      <c r="L56">
        <v>3</v>
      </c>
      <c r="N56">
        <v>3</v>
      </c>
      <c r="O56" t="s">
        <v>135</v>
      </c>
      <c r="P56" t="s">
        <v>136</v>
      </c>
      <c r="Q56" t="s">
        <v>137</v>
      </c>
      <c r="R56" t="s">
        <v>139</v>
      </c>
      <c r="S56" t="s">
        <v>38</v>
      </c>
      <c r="T56">
        <v>3</v>
      </c>
      <c r="U56">
        <v>3</v>
      </c>
      <c r="V56">
        <v>3</v>
      </c>
      <c r="W56" t="s">
        <v>39</v>
      </c>
      <c r="X56" t="s">
        <v>40</v>
      </c>
      <c r="Y56" t="s">
        <v>153</v>
      </c>
      <c r="Z56" t="s">
        <v>156</v>
      </c>
      <c r="AA56">
        <v>0</v>
      </c>
      <c r="AB56">
        <v>40</v>
      </c>
    </row>
    <row r="57" spans="1:28" x14ac:dyDescent="0.25">
      <c r="A57" t="s">
        <v>758</v>
      </c>
      <c r="B57">
        <v>80</v>
      </c>
      <c r="C57" t="s">
        <v>63</v>
      </c>
      <c r="D57">
        <v>3</v>
      </c>
      <c r="F57">
        <v>3</v>
      </c>
      <c r="G57" t="s">
        <v>103</v>
      </c>
      <c r="H57" t="s">
        <v>146</v>
      </c>
      <c r="I57" t="s">
        <v>147</v>
      </c>
      <c r="J57" t="s">
        <v>151</v>
      </c>
      <c r="K57" t="s">
        <v>45</v>
      </c>
      <c r="L57">
        <v>3</v>
      </c>
      <c r="N57">
        <v>3</v>
      </c>
      <c r="O57" t="s">
        <v>86</v>
      </c>
      <c r="P57" t="s">
        <v>92</v>
      </c>
      <c r="Q57" t="s">
        <v>93</v>
      </c>
      <c r="R57" t="s">
        <v>143</v>
      </c>
      <c r="S57" t="s">
        <v>38</v>
      </c>
      <c r="T57">
        <v>3</v>
      </c>
      <c r="U57">
        <v>1</v>
      </c>
      <c r="V57">
        <v>3</v>
      </c>
      <c r="W57" t="s">
        <v>39</v>
      </c>
      <c r="X57" t="s">
        <v>96</v>
      </c>
      <c r="Y57" t="s">
        <v>153</v>
      </c>
      <c r="Z57" t="s">
        <v>42</v>
      </c>
      <c r="AA57">
        <v>0</v>
      </c>
      <c r="AB57">
        <v>28</v>
      </c>
    </row>
  </sheetData>
  <phoneticPr fontId="3" type="noConversion"/>
  <conditionalFormatting sqref="B58:B1048576 B1">
    <cfRule type="duplicateValues" dxfId="10" priority="5"/>
  </conditionalFormatting>
  <conditionalFormatting sqref="B2:B57">
    <cfRule type="duplicateValues" dxfId="9" priority="3553"/>
  </conditionalFormatting>
  <conditionalFormatting sqref="A2:B57">
    <cfRule type="duplicateValues" dxfId="8" priority="355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K21" sqref="K21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8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1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3" s="3">
        <f>IF(ScenarioTeams3[[#This Row],[battles]],ScenarioTeams3[[#This Row],[wins]]/ScenarioTeams3[[#This Row],[battles]],0)</f>
        <v>0.52380952380952384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4" s="3">
        <f>IF(ScenarioTeams3[[#This Row],[battles]],ScenarioTeams3[[#This Row],[wins]]/ScenarioTeams3[[#This Row],[battles]],0)</f>
        <v>0.52380952380952384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5" s="3">
        <f>IF(ScenarioTeams3[[#This Row],[battles]],ScenarioTeams3[[#This Row],[wins]]/ScenarioTeams3[[#This Row],[battles]],0)</f>
        <v>0.23809523809523808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1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6" s="3">
        <f>IF(ScenarioTeams3[[#This Row],[battles]],ScenarioTeams3[[#This Row],[wins]]/ScenarioTeams3[[#This Row],[battles]],0)</f>
        <v>0.47619047619047616</v>
      </c>
      <c r="N6" s="5" t="s">
        <v>108</v>
      </c>
      <c r="O6" s="31">
        <f>AVERAGE(Scenario3[turns])</f>
        <v>27.089285714285715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3</v>
      </c>
      <c r="L7" s="3">
        <f>IF(ScenarioTeams3[[#This Row],[battles]],ScenarioTeams3[[#This Row],[wins]]/ScenarioTeams3[[#This Row],[battles]],0)</f>
        <v>0.14285714285714285</v>
      </c>
      <c r="N7" s="5" t="s">
        <v>160</v>
      </c>
      <c r="O7" s="31">
        <f>MAX(Scenario3[turns])</f>
        <v>52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1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8" s="3">
        <f>IF(ScenarioTeams3[[#This Row],[battles]],ScenarioTeams3[[#This Row],[wins]]/ScenarioTeams3[[#This Row],[battles]],0)</f>
        <v>0.2857142857142857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9" s="3">
        <f>IF(ScenarioTeams3[[#This Row],[battles]],ScenarioTeams3[[#This Row],[wins]]/ScenarioTeams3[[#This Row],[battles]],0)</f>
        <v>0.23809523809523808</v>
      </c>
      <c r="N9" s="4" t="s">
        <v>185</v>
      </c>
      <c r="O9" s="30">
        <f>120000*$O$6/1000/60</f>
        <v>54.178571428571431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10" s="3">
        <f>IF(ScenarioTeams3[[#This Row],[battles]],ScenarioTeams3[[#This Row],[wins]]/ScenarioTeams3[[#This Row],[battles]],0)</f>
        <v>0.23809523809523808</v>
      </c>
      <c r="N10" s="5" t="s">
        <v>186</v>
      </c>
      <c r="O10" s="6">
        <f>O9*COUNTA(ScenarioStat3[hero-1])/60/24*2</f>
        <v>4.2138888888888895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1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1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1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1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1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1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1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1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1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1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1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1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1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1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1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workbookViewId="0">
      <selection activeCell="AL6" sqref="AL6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759</v>
      </c>
      <c r="B2">
        <v>0</v>
      </c>
      <c r="C2" t="s">
        <v>33</v>
      </c>
      <c r="D2">
        <v>3</v>
      </c>
      <c r="F2">
        <v>3</v>
      </c>
      <c r="G2" t="s">
        <v>34</v>
      </c>
      <c r="H2" t="s">
        <v>130</v>
      </c>
      <c r="I2" t="s">
        <v>36</v>
      </c>
      <c r="J2" t="s">
        <v>37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83</v>
      </c>
      <c r="S2" t="s">
        <v>56</v>
      </c>
      <c r="T2">
        <v>3</v>
      </c>
      <c r="V2">
        <v>3</v>
      </c>
      <c r="W2" t="s">
        <v>120</v>
      </c>
      <c r="X2" t="s">
        <v>69</v>
      </c>
      <c r="Y2" t="s">
        <v>87</v>
      </c>
      <c r="Z2" t="s">
        <v>88</v>
      </c>
      <c r="AA2" t="s">
        <v>48</v>
      </c>
      <c r="AB2">
        <v>3</v>
      </c>
      <c r="AD2">
        <v>2</v>
      </c>
      <c r="AE2" t="s">
        <v>126</v>
      </c>
      <c r="AF2" t="s">
        <v>84</v>
      </c>
      <c r="AG2" t="s">
        <v>90</v>
      </c>
      <c r="AI2">
        <v>0</v>
      </c>
      <c r="AJ2">
        <v>31</v>
      </c>
    </row>
    <row r="3" spans="1:36" x14ac:dyDescent="0.25">
      <c r="A3" t="s">
        <v>760</v>
      </c>
      <c r="B3">
        <v>1</v>
      </c>
      <c r="C3" t="s">
        <v>56</v>
      </c>
      <c r="D3">
        <v>3</v>
      </c>
      <c r="F3">
        <v>3</v>
      </c>
      <c r="G3" t="s">
        <v>68</v>
      </c>
      <c r="H3" t="s">
        <v>122</v>
      </c>
      <c r="I3" t="s">
        <v>85</v>
      </c>
      <c r="J3" t="s">
        <v>124</v>
      </c>
      <c r="K3" t="s">
        <v>53</v>
      </c>
      <c r="L3">
        <v>3</v>
      </c>
      <c r="M3">
        <v>3</v>
      </c>
      <c r="N3">
        <v>3</v>
      </c>
      <c r="O3" t="s">
        <v>112</v>
      </c>
      <c r="P3" t="s">
        <v>83</v>
      </c>
      <c r="Q3" t="s">
        <v>97</v>
      </c>
      <c r="R3" t="s">
        <v>115</v>
      </c>
      <c r="S3" t="s">
        <v>48</v>
      </c>
      <c r="T3">
        <v>3</v>
      </c>
      <c r="V3">
        <v>3</v>
      </c>
      <c r="W3" t="s">
        <v>126</v>
      </c>
      <c r="X3" t="s">
        <v>84</v>
      </c>
      <c r="Y3" t="s">
        <v>90</v>
      </c>
      <c r="Z3" t="s">
        <v>128</v>
      </c>
      <c r="AA3" t="s">
        <v>43</v>
      </c>
      <c r="AB3">
        <v>3</v>
      </c>
      <c r="AD3">
        <v>1</v>
      </c>
      <c r="AE3" t="s">
        <v>73</v>
      </c>
      <c r="AF3" t="s">
        <v>74</v>
      </c>
      <c r="AG3" t="s">
        <v>100</v>
      </c>
      <c r="AH3" t="s">
        <v>139</v>
      </c>
      <c r="AI3">
        <v>0</v>
      </c>
      <c r="AJ3">
        <v>56</v>
      </c>
    </row>
    <row r="4" spans="1:36" x14ac:dyDescent="0.25">
      <c r="A4" t="s">
        <v>761</v>
      </c>
      <c r="B4">
        <v>2</v>
      </c>
      <c r="C4" t="s">
        <v>48</v>
      </c>
      <c r="D4">
        <v>3</v>
      </c>
      <c r="F4">
        <v>3</v>
      </c>
      <c r="G4" t="s">
        <v>126</v>
      </c>
      <c r="H4" t="s">
        <v>84</v>
      </c>
      <c r="I4" t="s">
        <v>90</v>
      </c>
      <c r="J4" t="s">
        <v>128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55</v>
      </c>
      <c r="Q4" t="s">
        <v>97</v>
      </c>
      <c r="R4" t="s">
        <v>115</v>
      </c>
      <c r="S4" t="s">
        <v>56</v>
      </c>
      <c r="T4">
        <v>3</v>
      </c>
      <c r="V4">
        <v>3</v>
      </c>
      <c r="W4" t="s">
        <v>57</v>
      </c>
      <c r="X4" t="s">
        <v>121</v>
      </c>
      <c r="Y4" t="s">
        <v>85</v>
      </c>
      <c r="Z4" t="s">
        <v>125</v>
      </c>
      <c r="AA4" t="s">
        <v>45</v>
      </c>
      <c r="AB4">
        <v>1</v>
      </c>
      <c r="AD4">
        <v>2</v>
      </c>
      <c r="AE4" t="s">
        <v>86</v>
      </c>
      <c r="AF4" t="s">
        <v>76</v>
      </c>
      <c r="AG4" t="s">
        <v>102</v>
      </c>
      <c r="AI4">
        <v>0</v>
      </c>
      <c r="AJ4">
        <v>51</v>
      </c>
    </row>
    <row r="5" spans="1:36" x14ac:dyDescent="0.25">
      <c r="A5" t="s">
        <v>762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115</v>
      </c>
      <c r="K5" t="s">
        <v>56</v>
      </c>
      <c r="L5">
        <v>3</v>
      </c>
      <c r="N5">
        <v>3</v>
      </c>
      <c r="O5" t="s">
        <v>120</v>
      </c>
      <c r="P5" t="s">
        <v>69</v>
      </c>
      <c r="Q5" t="s">
        <v>85</v>
      </c>
      <c r="R5" t="s">
        <v>125</v>
      </c>
      <c r="S5" t="s">
        <v>48</v>
      </c>
      <c r="T5">
        <v>3</v>
      </c>
      <c r="V5">
        <v>3</v>
      </c>
      <c r="W5" t="s">
        <v>126</v>
      </c>
      <c r="X5" t="s">
        <v>84</v>
      </c>
      <c r="Y5" t="s">
        <v>90</v>
      </c>
      <c r="Z5" t="s">
        <v>128</v>
      </c>
      <c r="AA5" t="s">
        <v>63</v>
      </c>
      <c r="AB5">
        <v>3</v>
      </c>
      <c r="AD5">
        <v>3</v>
      </c>
      <c r="AE5" t="s">
        <v>145</v>
      </c>
      <c r="AF5" t="s">
        <v>91</v>
      </c>
      <c r="AG5" t="s">
        <v>148</v>
      </c>
      <c r="AH5" t="s">
        <v>151</v>
      </c>
      <c r="AI5">
        <v>0</v>
      </c>
      <c r="AJ5">
        <v>68</v>
      </c>
    </row>
    <row r="6" spans="1:36" x14ac:dyDescent="0.25">
      <c r="A6" t="s">
        <v>763</v>
      </c>
      <c r="B6">
        <v>4</v>
      </c>
      <c r="C6" t="s">
        <v>56</v>
      </c>
      <c r="D6">
        <v>3</v>
      </c>
      <c r="F6">
        <v>3</v>
      </c>
      <c r="G6" t="s">
        <v>57</v>
      </c>
      <c r="H6" t="s">
        <v>69</v>
      </c>
      <c r="I6" t="s">
        <v>85</v>
      </c>
      <c r="J6" t="s">
        <v>125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115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90</v>
      </c>
      <c r="Z6" t="s">
        <v>128</v>
      </c>
      <c r="AA6" t="s">
        <v>38</v>
      </c>
      <c r="AB6">
        <v>3</v>
      </c>
      <c r="AC6">
        <v>3</v>
      </c>
      <c r="AD6">
        <v>3</v>
      </c>
      <c r="AE6" t="s">
        <v>39</v>
      </c>
      <c r="AF6" t="s">
        <v>40</v>
      </c>
      <c r="AG6" t="s">
        <v>153</v>
      </c>
      <c r="AH6" t="s">
        <v>156</v>
      </c>
      <c r="AI6">
        <v>0</v>
      </c>
      <c r="AJ6">
        <v>66</v>
      </c>
    </row>
    <row r="7" spans="1:36" x14ac:dyDescent="0.25">
      <c r="A7" t="s">
        <v>764</v>
      </c>
      <c r="B7">
        <v>6</v>
      </c>
      <c r="C7" t="s">
        <v>56</v>
      </c>
      <c r="D7">
        <v>3</v>
      </c>
      <c r="F7">
        <v>3</v>
      </c>
      <c r="G7" t="s">
        <v>120</v>
      </c>
      <c r="H7" t="s">
        <v>69</v>
      </c>
      <c r="I7" t="s">
        <v>87</v>
      </c>
      <c r="K7" t="s">
        <v>53</v>
      </c>
      <c r="L7">
        <v>1</v>
      </c>
      <c r="M7">
        <v>3</v>
      </c>
      <c r="N7">
        <v>1</v>
      </c>
      <c r="O7" t="s">
        <v>112</v>
      </c>
      <c r="S7" t="s">
        <v>33</v>
      </c>
      <c r="T7">
        <v>1</v>
      </c>
      <c r="V7">
        <v>3</v>
      </c>
      <c r="W7" t="s">
        <v>34</v>
      </c>
      <c r="X7" t="s">
        <v>130</v>
      </c>
      <c r="Y7" t="s">
        <v>131</v>
      </c>
      <c r="Z7" t="s">
        <v>37</v>
      </c>
      <c r="AA7" t="s">
        <v>43</v>
      </c>
      <c r="AB7">
        <v>3</v>
      </c>
      <c r="AD7">
        <v>3</v>
      </c>
      <c r="AE7" t="s">
        <v>135</v>
      </c>
      <c r="AF7" t="s">
        <v>74</v>
      </c>
      <c r="AG7" t="s">
        <v>75</v>
      </c>
      <c r="AI7">
        <v>0</v>
      </c>
      <c r="AJ7">
        <v>23</v>
      </c>
    </row>
    <row r="8" spans="1:36" x14ac:dyDescent="0.25">
      <c r="A8" t="s">
        <v>765</v>
      </c>
      <c r="B8">
        <v>7</v>
      </c>
      <c r="C8" t="s">
        <v>45</v>
      </c>
      <c r="D8">
        <v>3</v>
      </c>
      <c r="F8">
        <v>3</v>
      </c>
      <c r="G8" t="s">
        <v>86</v>
      </c>
      <c r="H8" t="s">
        <v>76</v>
      </c>
      <c r="I8" t="s">
        <v>142</v>
      </c>
      <c r="J8" t="s">
        <v>144</v>
      </c>
      <c r="K8" t="s">
        <v>53</v>
      </c>
      <c r="L8">
        <v>1</v>
      </c>
      <c r="M8">
        <v>3</v>
      </c>
      <c r="N8">
        <v>1</v>
      </c>
      <c r="O8" t="s">
        <v>112</v>
      </c>
      <c r="S8" t="s">
        <v>56</v>
      </c>
      <c r="T8">
        <v>3</v>
      </c>
      <c r="V8">
        <v>3</v>
      </c>
      <c r="W8" t="s">
        <v>120</v>
      </c>
      <c r="X8" t="s">
        <v>69</v>
      </c>
      <c r="Y8" t="s">
        <v>87</v>
      </c>
      <c r="Z8" t="s">
        <v>125</v>
      </c>
      <c r="AA8" t="s">
        <v>33</v>
      </c>
      <c r="AB8">
        <v>3</v>
      </c>
      <c r="AD8">
        <v>3</v>
      </c>
      <c r="AE8" t="s">
        <v>34</v>
      </c>
      <c r="AF8" t="s">
        <v>130</v>
      </c>
      <c r="AG8" t="s">
        <v>132</v>
      </c>
      <c r="AH8" t="s">
        <v>37</v>
      </c>
      <c r="AI8">
        <v>0</v>
      </c>
      <c r="AJ8">
        <v>28</v>
      </c>
    </row>
    <row r="9" spans="1:36" x14ac:dyDescent="0.25">
      <c r="A9" t="s">
        <v>766</v>
      </c>
      <c r="B9">
        <v>8</v>
      </c>
      <c r="C9" t="s">
        <v>33</v>
      </c>
      <c r="D9">
        <v>3</v>
      </c>
      <c r="F9">
        <v>3</v>
      </c>
      <c r="G9" t="s">
        <v>34</v>
      </c>
      <c r="H9" t="s">
        <v>66</v>
      </c>
      <c r="I9" t="s">
        <v>132</v>
      </c>
      <c r="J9" t="s">
        <v>133</v>
      </c>
      <c r="K9" t="s">
        <v>53</v>
      </c>
      <c r="L9">
        <v>1</v>
      </c>
      <c r="M9">
        <v>3</v>
      </c>
      <c r="N9">
        <v>2</v>
      </c>
      <c r="O9" t="s">
        <v>112</v>
      </c>
      <c r="S9" t="s">
        <v>56</v>
      </c>
      <c r="T9">
        <v>3</v>
      </c>
      <c r="V9">
        <v>3</v>
      </c>
      <c r="W9" t="s">
        <v>120</v>
      </c>
      <c r="X9" t="s">
        <v>122</v>
      </c>
      <c r="Y9" t="s">
        <v>87</v>
      </c>
      <c r="Z9" t="s">
        <v>88</v>
      </c>
      <c r="AA9" t="s">
        <v>63</v>
      </c>
      <c r="AB9">
        <v>2</v>
      </c>
      <c r="AD9">
        <v>2</v>
      </c>
      <c r="AE9" t="s">
        <v>145</v>
      </c>
      <c r="AF9" t="s">
        <v>146</v>
      </c>
      <c r="AG9" t="s">
        <v>148</v>
      </c>
      <c r="AH9" t="s">
        <v>150</v>
      </c>
      <c r="AI9">
        <v>0</v>
      </c>
      <c r="AJ9">
        <v>27</v>
      </c>
    </row>
    <row r="10" spans="1:36" x14ac:dyDescent="0.25">
      <c r="A10" t="s">
        <v>767</v>
      </c>
      <c r="B10">
        <v>9</v>
      </c>
      <c r="C10" t="s">
        <v>56</v>
      </c>
      <c r="D10">
        <v>3</v>
      </c>
      <c r="F10">
        <v>3</v>
      </c>
      <c r="G10" t="s">
        <v>120</v>
      </c>
      <c r="H10" t="s">
        <v>69</v>
      </c>
      <c r="I10" t="s">
        <v>87</v>
      </c>
      <c r="J10" t="s">
        <v>125</v>
      </c>
      <c r="K10" t="s">
        <v>53</v>
      </c>
      <c r="L10">
        <v>1</v>
      </c>
      <c r="M10">
        <v>3</v>
      </c>
      <c r="N10">
        <v>3</v>
      </c>
      <c r="O10" t="s">
        <v>112</v>
      </c>
      <c r="P10" t="s">
        <v>83</v>
      </c>
      <c r="S10" t="s">
        <v>33</v>
      </c>
      <c r="T10">
        <v>3</v>
      </c>
      <c r="V10">
        <v>3</v>
      </c>
      <c r="W10" t="s">
        <v>34</v>
      </c>
      <c r="X10" t="s">
        <v>130</v>
      </c>
      <c r="Y10" t="s">
        <v>131</v>
      </c>
      <c r="Z10" t="s">
        <v>133</v>
      </c>
      <c r="AA10" t="s">
        <v>38</v>
      </c>
      <c r="AB10">
        <v>2</v>
      </c>
      <c r="AC10">
        <v>3</v>
      </c>
      <c r="AD10">
        <v>3</v>
      </c>
      <c r="AE10" t="s">
        <v>39</v>
      </c>
      <c r="AF10" t="s">
        <v>96</v>
      </c>
      <c r="AG10" t="s">
        <v>153</v>
      </c>
      <c r="AH10" t="s">
        <v>156</v>
      </c>
      <c r="AI10">
        <v>0</v>
      </c>
      <c r="AJ10">
        <v>35</v>
      </c>
    </row>
    <row r="11" spans="1:36" x14ac:dyDescent="0.25">
      <c r="A11" t="s">
        <v>768</v>
      </c>
      <c r="B11">
        <v>11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83</v>
      </c>
      <c r="I11" t="s">
        <v>105</v>
      </c>
      <c r="J11" t="s">
        <v>115</v>
      </c>
      <c r="K11" t="s">
        <v>56</v>
      </c>
      <c r="L11">
        <v>3</v>
      </c>
      <c r="N11">
        <v>3</v>
      </c>
      <c r="O11" t="s">
        <v>120</v>
      </c>
      <c r="P11" t="s">
        <v>69</v>
      </c>
      <c r="Q11" t="s">
        <v>87</v>
      </c>
      <c r="R11" t="s">
        <v>125</v>
      </c>
      <c r="S11" t="s">
        <v>43</v>
      </c>
      <c r="T11">
        <v>3</v>
      </c>
      <c r="V11">
        <v>3</v>
      </c>
      <c r="W11" t="s">
        <v>73</v>
      </c>
      <c r="X11" t="s">
        <v>74</v>
      </c>
      <c r="Y11" t="s">
        <v>100</v>
      </c>
      <c r="Z11" t="s">
        <v>139</v>
      </c>
      <c r="AA11" t="s">
        <v>45</v>
      </c>
      <c r="AB11">
        <v>3</v>
      </c>
      <c r="AD11">
        <v>3</v>
      </c>
      <c r="AE11" t="s">
        <v>86</v>
      </c>
      <c r="AF11" t="s">
        <v>141</v>
      </c>
      <c r="AG11" t="s">
        <v>142</v>
      </c>
      <c r="AH11" t="s">
        <v>94</v>
      </c>
      <c r="AI11">
        <v>0</v>
      </c>
      <c r="AJ11">
        <v>51</v>
      </c>
    </row>
    <row r="12" spans="1:36" x14ac:dyDescent="0.25">
      <c r="A12" t="s">
        <v>769</v>
      </c>
      <c r="B12">
        <v>12</v>
      </c>
      <c r="C12" t="s">
        <v>56</v>
      </c>
      <c r="D12">
        <v>3</v>
      </c>
      <c r="F12">
        <v>3</v>
      </c>
      <c r="G12" t="s">
        <v>120</v>
      </c>
      <c r="H12" t="s">
        <v>121</v>
      </c>
      <c r="I12" t="s">
        <v>87</v>
      </c>
      <c r="J12" t="s">
        <v>88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83</v>
      </c>
      <c r="Q12" t="s">
        <v>97</v>
      </c>
      <c r="R12" t="s">
        <v>115</v>
      </c>
      <c r="S12" t="s">
        <v>43</v>
      </c>
      <c r="T12">
        <v>3</v>
      </c>
      <c r="V12">
        <v>3</v>
      </c>
      <c r="W12" t="s">
        <v>73</v>
      </c>
      <c r="X12" t="s">
        <v>136</v>
      </c>
      <c r="Y12" t="s">
        <v>100</v>
      </c>
      <c r="Z12" t="s">
        <v>101</v>
      </c>
      <c r="AA12" t="s">
        <v>63</v>
      </c>
      <c r="AB12">
        <v>3</v>
      </c>
      <c r="AD12">
        <v>2</v>
      </c>
      <c r="AE12" t="s">
        <v>103</v>
      </c>
      <c r="AF12" t="s">
        <v>91</v>
      </c>
      <c r="AG12" t="s">
        <v>148</v>
      </c>
      <c r="AH12" t="s">
        <v>151</v>
      </c>
      <c r="AI12">
        <v>0</v>
      </c>
      <c r="AJ12">
        <v>37</v>
      </c>
    </row>
    <row r="13" spans="1:36" x14ac:dyDescent="0.25">
      <c r="A13" t="s">
        <v>770</v>
      </c>
      <c r="B13">
        <v>13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41</v>
      </c>
      <c r="J13" t="s">
        <v>156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97</v>
      </c>
      <c r="R13" t="s">
        <v>115</v>
      </c>
      <c r="S13" t="s">
        <v>56</v>
      </c>
      <c r="T13">
        <v>3</v>
      </c>
      <c r="V13">
        <v>3</v>
      </c>
      <c r="W13" t="s">
        <v>120</v>
      </c>
      <c r="X13" t="s">
        <v>121</v>
      </c>
      <c r="Y13" t="s">
        <v>123</v>
      </c>
      <c r="Z13" t="s">
        <v>124</v>
      </c>
      <c r="AA13" t="s">
        <v>43</v>
      </c>
      <c r="AB13">
        <v>3</v>
      </c>
      <c r="AD13">
        <v>3</v>
      </c>
      <c r="AE13" t="s">
        <v>73</v>
      </c>
      <c r="AF13" t="s">
        <v>74</v>
      </c>
      <c r="AG13" t="s">
        <v>100</v>
      </c>
      <c r="AH13" t="s">
        <v>139</v>
      </c>
      <c r="AI13">
        <v>0</v>
      </c>
      <c r="AJ13">
        <v>49</v>
      </c>
    </row>
    <row r="14" spans="1:36" x14ac:dyDescent="0.25">
      <c r="A14" t="s">
        <v>771</v>
      </c>
      <c r="B14">
        <v>15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97</v>
      </c>
      <c r="J14" t="s">
        <v>98</v>
      </c>
      <c r="K14" t="s">
        <v>56</v>
      </c>
      <c r="L14">
        <v>3</v>
      </c>
      <c r="N14">
        <v>3</v>
      </c>
      <c r="O14" t="s">
        <v>120</v>
      </c>
      <c r="P14" t="s">
        <v>69</v>
      </c>
      <c r="Q14" t="s">
        <v>87</v>
      </c>
      <c r="R14" t="s">
        <v>124</v>
      </c>
      <c r="S14" t="s">
        <v>45</v>
      </c>
      <c r="T14">
        <v>3</v>
      </c>
      <c r="V14">
        <v>3</v>
      </c>
      <c r="W14" t="s">
        <v>86</v>
      </c>
      <c r="X14" t="s">
        <v>141</v>
      </c>
      <c r="Y14" t="s">
        <v>93</v>
      </c>
      <c r="Z14" t="s">
        <v>144</v>
      </c>
      <c r="AA14" t="s">
        <v>63</v>
      </c>
      <c r="AB14">
        <v>3</v>
      </c>
      <c r="AD14">
        <v>3</v>
      </c>
      <c r="AE14" t="s">
        <v>103</v>
      </c>
      <c r="AF14" t="s">
        <v>91</v>
      </c>
      <c r="AG14" t="s">
        <v>148</v>
      </c>
      <c r="AH14" t="s">
        <v>151</v>
      </c>
      <c r="AI14">
        <v>0</v>
      </c>
      <c r="AJ14">
        <v>59</v>
      </c>
    </row>
    <row r="15" spans="1:36" x14ac:dyDescent="0.25">
      <c r="A15" t="s">
        <v>772</v>
      </c>
      <c r="B15">
        <v>16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83</v>
      </c>
      <c r="I15" t="s">
        <v>97</v>
      </c>
      <c r="J15" t="s">
        <v>115</v>
      </c>
      <c r="K15" t="s">
        <v>56</v>
      </c>
      <c r="L15">
        <v>3</v>
      </c>
      <c r="N15">
        <v>3</v>
      </c>
      <c r="O15" t="s">
        <v>120</v>
      </c>
      <c r="P15" t="s">
        <v>69</v>
      </c>
      <c r="Q15" t="s">
        <v>87</v>
      </c>
      <c r="R15" t="s">
        <v>124</v>
      </c>
      <c r="S15" t="s">
        <v>45</v>
      </c>
      <c r="T15">
        <v>3</v>
      </c>
      <c r="V15">
        <v>3</v>
      </c>
      <c r="W15" t="s">
        <v>47</v>
      </c>
      <c r="X15" t="s">
        <v>76</v>
      </c>
      <c r="Y15" t="s">
        <v>93</v>
      </c>
      <c r="Z15" t="s">
        <v>94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153</v>
      </c>
      <c r="AH15" t="s">
        <v>156</v>
      </c>
      <c r="AI15">
        <v>0</v>
      </c>
      <c r="AJ15">
        <v>55</v>
      </c>
    </row>
    <row r="16" spans="1:36" x14ac:dyDescent="0.25">
      <c r="A16" t="s">
        <v>773</v>
      </c>
      <c r="B16">
        <v>18</v>
      </c>
      <c r="C16" t="s">
        <v>56</v>
      </c>
      <c r="D16">
        <v>3</v>
      </c>
      <c r="F16">
        <v>3</v>
      </c>
      <c r="G16" t="s">
        <v>120</v>
      </c>
      <c r="H16" t="s">
        <v>121</v>
      </c>
      <c r="I16" t="s">
        <v>123</v>
      </c>
      <c r="J16" t="s">
        <v>88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83</v>
      </c>
      <c r="Q16" t="s">
        <v>97</v>
      </c>
      <c r="R16" t="s">
        <v>115</v>
      </c>
      <c r="S16" t="s">
        <v>63</v>
      </c>
      <c r="T16">
        <v>3</v>
      </c>
      <c r="V16">
        <v>3</v>
      </c>
      <c r="W16" t="s">
        <v>103</v>
      </c>
      <c r="X16" t="s">
        <v>91</v>
      </c>
      <c r="Y16" t="s">
        <v>148</v>
      </c>
      <c r="Z16" t="s">
        <v>151</v>
      </c>
      <c r="AA16" t="s">
        <v>38</v>
      </c>
      <c r="AB16">
        <v>3</v>
      </c>
      <c r="AC16">
        <v>3</v>
      </c>
      <c r="AD16">
        <v>3</v>
      </c>
      <c r="AE16" t="s">
        <v>39</v>
      </c>
      <c r="AF16" t="s">
        <v>40</v>
      </c>
      <c r="AG16" t="s">
        <v>41</v>
      </c>
      <c r="AH16" t="s">
        <v>156</v>
      </c>
      <c r="AI16">
        <v>0</v>
      </c>
      <c r="AJ16">
        <v>70</v>
      </c>
    </row>
    <row r="17" spans="1:36" x14ac:dyDescent="0.25">
      <c r="A17" t="s">
        <v>774</v>
      </c>
      <c r="B17">
        <v>21</v>
      </c>
      <c r="C17" t="s">
        <v>33</v>
      </c>
      <c r="D17">
        <v>3</v>
      </c>
      <c r="F17">
        <v>3</v>
      </c>
      <c r="G17" t="s">
        <v>34</v>
      </c>
      <c r="H17" t="s">
        <v>130</v>
      </c>
      <c r="I17" t="s">
        <v>131</v>
      </c>
      <c r="J17" t="s">
        <v>37</v>
      </c>
      <c r="K17" t="s">
        <v>53</v>
      </c>
      <c r="L17">
        <v>1</v>
      </c>
      <c r="M17">
        <v>3</v>
      </c>
      <c r="N17">
        <v>3</v>
      </c>
      <c r="O17" t="s">
        <v>112</v>
      </c>
      <c r="P17" t="s">
        <v>83</v>
      </c>
      <c r="Q17" t="s">
        <v>97</v>
      </c>
      <c r="S17" t="s">
        <v>48</v>
      </c>
      <c r="T17">
        <v>3</v>
      </c>
      <c r="V17">
        <v>1</v>
      </c>
      <c r="W17" t="s">
        <v>126</v>
      </c>
      <c r="X17" t="s">
        <v>84</v>
      </c>
      <c r="Y17" t="s">
        <v>90</v>
      </c>
      <c r="AA17" t="s">
        <v>43</v>
      </c>
      <c r="AB17">
        <v>3</v>
      </c>
      <c r="AD17">
        <v>3</v>
      </c>
      <c r="AE17" t="s">
        <v>73</v>
      </c>
      <c r="AF17" t="s">
        <v>136</v>
      </c>
      <c r="AG17" t="s">
        <v>100</v>
      </c>
      <c r="AH17" t="s">
        <v>101</v>
      </c>
      <c r="AI17">
        <v>0</v>
      </c>
      <c r="AJ17">
        <v>29</v>
      </c>
    </row>
    <row r="18" spans="1:36" x14ac:dyDescent="0.25">
      <c r="A18" t="s">
        <v>775</v>
      </c>
      <c r="B18">
        <v>22</v>
      </c>
      <c r="C18" t="s">
        <v>48</v>
      </c>
      <c r="D18">
        <v>3</v>
      </c>
      <c r="F18">
        <v>3</v>
      </c>
      <c r="G18" t="s">
        <v>126</v>
      </c>
      <c r="H18" t="s">
        <v>84</v>
      </c>
      <c r="I18" t="s">
        <v>127</v>
      </c>
      <c r="J18" t="s">
        <v>128</v>
      </c>
      <c r="K18" t="s">
        <v>53</v>
      </c>
      <c r="L18">
        <v>1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S18" t="s">
        <v>33</v>
      </c>
      <c r="T18">
        <v>3</v>
      </c>
      <c r="V18">
        <v>3</v>
      </c>
      <c r="W18" t="s">
        <v>34</v>
      </c>
      <c r="X18" t="s">
        <v>130</v>
      </c>
      <c r="Y18" t="s">
        <v>131</v>
      </c>
      <c r="Z18" t="s">
        <v>133</v>
      </c>
      <c r="AA18" t="s">
        <v>45</v>
      </c>
      <c r="AB18">
        <v>3</v>
      </c>
      <c r="AD18">
        <v>3</v>
      </c>
      <c r="AE18" t="s">
        <v>47</v>
      </c>
      <c r="AF18" t="s">
        <v>76</v>
      </c>
      <c r="AG18" t="s">
        <v>142</v>
      </c>
      <c r="AH18" t="s">
        <v>94</v>
      </c>
      <c r="AI18">
        <v>0</v>
      </c>
      <c r="AJ18">
        <v>35</v>
      </c>
    </row>
    <row r="19" spans="1:36" x14ac:dyDescent="0.25">
      <c r="A19" t="s">
        <v>776</v>
      </c>
      <c r="B19">
        <v>23</v>
      </c>
      <c r="C19" t="s">
        <v>63</v>
      </c>
      <c r="D19">
        <v>3</v>
      </c>
      <c r="F19">
        <v>3</v>
      </c>
      <c r="G19" t="s">
        <v>145</v>
      </c>
      <c r="H19" t="s">
        <v>91</v>
      </c>
      <c r="I19" t="s">
        <v>148</v>
      </c>
      <c r="J19" t="s">
        <v>151</v>
      </c>
      <c r="K19" t="s">
        <v>53</v>
      </c>
      <c r="L19">
        <v>1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98</v>
      </c>
      <c r="S19" t="s">
        <v>48</v>
      </c>
      <c r="T19">
        <v>2</v>
      </c>
      <c r="V19">
        <v>2</v>
      </c>
      <c r="W19" t="s">
        <v>126</v>
      </c>
      <c r="X19" t="s">
        <v>84</v>
      </c>
      <c r="Y19" t="s">
        <v>127</v>
      </c>
      <c r="AA19" t="s">
        <v>33</v>
      </c>
      <c r="AB19">
        <v>3</v>
      </c>
      <c r="AD19">
        <v>3</v>
      </c>
      <c r="AE19" t="s">
        <v>34</v>
      </c>
      <c r="AF19" t="s">
        <v>130</v>
      </c>
      <c r="AG19" t="s">
        <v>132</v>
      </c>
      <c r="AH19" t="s">
        <v>133</v>
      </c>
      <c r="AI19">
        <v>0</v>
      </c>
      <c r="AJ19">
        <v>33</v>
      </c>
    </row>
    <row r="20" spans="1:36" x14ac:dyDescent="0.25">
      <c r="A20" t="s">
        <v>777</v>
      </c>
      <c r="B20">
        <v>24</v>
      </c>
      <c r="C20" t="s">
        <v>33</v>
      </c>
      <c r="D20">
        <v>3</v>
      </c>
      <c r="F20">
        <v>3</v>
      </c>
      <c r="G20" t="s">
        <v>34</v>
      </c>
      <c r="H20" t="s">
        <v>130</v>
      </c>
      <c r="I20" t="s">
        <v>132</v>
      </c>
      <c r="J20" t="s">
        <v>133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83</v>
      </c>
      <c r="Q20" t="s">
        <v>97</v>
      </c>
      <c r="R20" t="s">
        <v>115</v>
      </c>
      <c r="S20" t="s">
        <v>48</v>
      </c>
      <c r="T20">
        <v>3</v>
      </c>
      <c r="V20">
        <v>3</v>
      </c>
      <c r="W20" t="s">
        <v>126</v>
      </c>
      <c r="X20" t="s">
        <v>84</v>
      </c>
      <c r="Y20" t="s">
        <v>90</v>
      </c>
      <c r="Z20" t="s">
        <v>128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41</v>
      </c>
      <c r="AH20" t="s">
        <v>156</v>
      </c>
      <c r="AI20">
        <v>0</v>
      </c>
      <c r="AJ20">
        <v>47</v>
      </c>
    </row>
    <row r="21" spans="1:36" x14ac:dyDescent="0.25">
      <c r="A21" t="s">
        <v>778</v>
      </c>
      <c r="B21">
        <v>26</v>
      </c>
      <c r="C21" t="s">
        <v>48</v>
      </c>
      <c r="D21">
        <v>3</v>
      </c>
      <c r="F21">
        <v>3</v>
      </c>
      <c r="G21" t="s">
        <v>126</v>
      </c>
      <c r="H21" t="s">
        <v>84</v>
      </c>
      <c r="I21" t="s">
        <v>90</v>
      </c>
      <c r="J21" t="s">
        <v>52</v>
      </c>
      <c r="K21" t="s">
        <v>53</v>
      </c>
      <c r="L21">
        <v>3</v>
      </c>
      <c r="M21">
        <v>3</v>
      </c>
      <c r="N21">
        <v>3</v>
      </c>
      <c r="O21" t="s">
        <v>112</v>
      </c>
      <c r="P21" t="s">
        <v>55</v>
      </c>
      <c r="Q21" t="s">
        <v>97</v>
      </c>
      <c r="R21" t="s">
        <v>98</v>
      </c>
      <c r="S21" t="s">
        <v>43</v>
      </c>
      <c r="T21">
        <v>1</v>
      </c>
      <c r="V21">
        <v>1</v>
      </c>
      <c r="W21" t="s">
        <v>135</v>
      </c>
      <c r="X21" t="s">
        <v>136</v>
      </c>
      <c r="Y21" t="s">
        <v>137</v>
      </c>
      <c r="Z21" t="s">
        <v>101</v>
      </c>
      <c r="AA21" t="s">
        <v>45</v>
      </c>
      <c r="AB21">
        <v>3</v>
      </c>
      <c r="AD21">
        <v>3</v>
      </c>
      <c r="AE21" t="s">
        <v>86</v>
      </c>
      <c r="AF21" t="s">
        <v>141</v>
      </c>
      <c r="AG21" t="s">
        <v>102</v>
      </c>
      <c r="AH21" t="s">
        <v>143</v>
      </c>
      <c r="AI21">
        <v>0</v>
      </c>
      <c r="AJ21">
        <v>52</v>
      </c>
    </row>
    <row r="22" spans="1:36" x14ac:dyDescent="0.25">
      <c r="A22" t="s">
        <v>779</v>
      </c>
      <c r="B22">
        <v>27</v>
      </c>
      <c r="C22" t="s">
        <v>63</v>
      </c>
      <c r="D22">
        <v>3</v>
      </c>
      <c r="F22">
        <v>3</v>
      </c>
      <c r="G22" t="s">
        <v>145</v>
      </c>
      <c r="H22" t="s">
        <v>91</v>
      </c>
      <c r="I22" t="s">
        <v>148</v>
      </c>
      <c r="J22" t="s">
        <v>151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55</v>
      </c>
      <c r="Q22" t="s">
        <v>97</v>
      </c>
      <c r="R22" t="s">
        <v>115</v>
      </c>
      <c r="S22" t="s">
        <v>48</v>
      </c>
      <c r="T22">
        <v>3</v>
      </c>
      <c r="V22">
        <v>3</v>
      </c>
      <c r="W22" t="s">
        <v>126</v>
      </c>
      <c r="X22" t="s">
        <v>84</v>
      </c>
      <c r="Y22" t="s">
        <v>90</v>
      </c>
      <c r="Z22" t="s">
        <v>52</v>
      </c>
      <c r="AA22" t="s">
        <v>43</v>
      </c>
      <c r="AB22">
        <v>3</v>
      </c>
      <c r="AD22">
        <v>3</v>
      </c>
      <c r="AE22" t="s">
        <v>135</v>
      </c>
      <c r="AF22" t="s">
        <v>74</v>
      </c>
      <c r="AG22" t="s">
        <v>100</v>
      </c>
      <c r="AH22" t="s">
        <v>139</v>
      </c>
      <c r="AI22">
        <v>0</v>
      </c>
      <c r="AJ22">
        <v>66</v>
      </c>
    </row>
    <row r="23" spans="1:36" x14ac:dyDescent="0.25">
      <c r="A23" t="s">
        <v>780</v>
      </c>
      <c r="B23">
        <v>28</v>
      </c>
      <c r="C23" t="s">
        <v>43</v>
      </c>
      <c r="D23">
        <v>3</v>
      </c>
      <c r="F23">
        <v>1</v>
      </c>
      <c r="G23" t="s">
        <v>73</v>
      </c>
      <c r="H23" t="s">
        <v>74</v>
      </c>
      <c r="I23" t="s">
        <v>75</v>
      </c>
      <c r="J23" t="s">
        <v>139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55</v>
      </c>
      <c r="Q23" t="s">
        <v>97</v>
      </c>
      <c r="R23" t="s">
        <v>98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90</v>
      </c>
      <c r="Z23" t="s">
        <v>128</v>
      </c>
      <c r="AA23" t="s">
        <v>38</v>
      </c>
      <c r="AB23">
        <v>2</v>
      </c>
      <c r="AC23">
        <v>1</v>
      </c>
      <c r="AD23">
        <v>2</v>
      </c>
      <c r="AE23" t="s">
        <v>39</v>
      </c>
      <c r="AF23" t="s">
        <v>40</v>
      </c>
      <c r="AG23" t="s">
        <v>41</v>
      </c>
      <c r="AH23" t="s">
        <v>155</v>
      </c>
      <c r="AI23">
        <v>0</v>
      </c>
      <c r="AJ23">
        <v>52</v>
      </c>
    </row>
    <row r="24" spans="1:36" x14ac:dyDescent="0.25">
      <c r="A24" t="s">
        <v>781</v>
      </c>
      <c r="B24">
        <v>30</v>
      </c>
      <c r="C24" t="s">
        <v>63</v>
      </c>
      <c r="D24">
        <v>3</v>
      </c>
      <c r="F24">
        <v>3</v>
      </c>
      <c r="G24" t="s">
        <v>103</v>
      </c>
      <c r="H24" t="s">
        <v>91</v>
      </c>
      <c r="I24" t="s">
        <v>148</v>
      </c>
      <c r="J24" t="s">
        <v>151</v>
      </c>
      <c r="K24" t="s">
        <v>53</v>
      </c>
      <c r="L24">
        <v>3</v>
      </c>
      <c r="M24">
        <v>3</v>
      </c>
      <c r="N24">
        <v>3</v>
      </c>
      <c r="O24" t="s">
        <v>112</v>
      </c>
      <c r="P24" t="s">
        <v>83</v>
      </c>
      <c r="Q24" t="s">
        <v>97</v>
      </c>
      <c r="R24" t="s">
        <v>115</v>
      </c>
      <c r="S24" t="s">
        <v>48</v>
      </c>
      <c r="T24">
        <v>3</v>
      </c>
      <c r="V24">
        <v>3</v>
      </c>
      <c r="W24" t="s">
        <v>126</v>
      </c>
      <c r="X24" t="s">
        <v>84</v>
      </c>
      <c r="Y24" t="s">
        <v>90</v>
      </c>
      <c r="Z24" t="s">
        <v>128</v>
      </c>
      <c r="AA24" t="s">
        <v>45</v>
      </c>
      <c r="AB24">
        <v>3</v>
      </c>
      <c r="AD24">
        <v>3</v>
      </c>
      <c r="AE24" t="s">
        <v>47</v>
      </c>
      <c r="AF24" t="s">
        <v>141</v>
      </c>
      <c r="AG24" t="s">
        <v>93</v>
      </c>
      <c r="AH24" t="s">
        <v>143</v>
      </c>
      <c r="AI24">
        <v>0</v>
      </c>
      <c r="AJ24">
        <v>65</v>
      </c>
    </row>
    <row r="25" spans="1:36" x14ac:dyDescent="0.25">
      <c r="A25" t="s">
        <v>782</v>
      </c>
      <c r="B25">
        <v>31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55</v>
      </c>
      <c r="I25" t="s">
        <v>97</v>
      </c>
      <c r="J25" t="s">
        <v>115</v>
      </c>
      <c r="K25" t="s">
        <v>48</v>
      </c>
      <c r="L25">
        <v>3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3</v>
      </c>
      <c r="W25" t="s">
        <v>86</v>
      </c>
      <c r="X25" t="s">
        <v>141</v>
      </c>
      <c r="Y25" t="s">
        <v>142</v>
      </c>
      <c r="Z25" t="s">
        <v>144</v>
      </c>
      <c r="AA25" t="s">
        <v>38</v>
      </c>
      <c r="AB25">
        <v>2</v>
      </c>
      <c r="AC25">
        <v>2</v>
      </c>
      <c r="AD25">
        <v>1</v>
      </c>
      <c r="AE25" t="s">
        <v>39</v>
      </c>
      <c r="AF25" t="s">
        <v>40</v>
      </c>
      <c r="AG25" t="s">
        <v>41</v>
      </c>
      <c r="AH25" t="s">
        <v>42</v>
      </c>
      <c r="AI25">
        <v>0</v>
      </c>
      <c r="AJ25">
        <v>57</v>
      </c>
    </row>
    <row r="26" spans="1:36" x14ac:dyDescent="0.25">
      <c r="A26" t="s">
        <v>783</v>
      </c>
      <c r="B26">
        <v>33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83</v>
      </c>
      <c r="I26" t="s">
        <v>97</v>
      </c>
      <c r="J26" t="s">
        <v>115</v>
      </c>
      <c r="K26" t="s">
        <v>48</v>
      </c>
      <c r="L26">
        <v>3</v>
      </c>
      <c r="N26">
        <v>3</v>
      </c>
      <c r="O26" t="s">
        <v>126</v>
      </c>
      <c r="P26" t="s">
        <v>84</v>
      </c>
      <c r="Q26" t="s">
        <v>90</v>
      </c>
      <c r="R26" t="s">
        <v>128</v>
      </c>
      <c r="S26" t="s">
        <v>63</v>
      </c>
      <c r="T26">
        <v>3</v>
      </c>
      <c r="V26">
        <v>3</v>
      </c>
      <c r="W26" t="s">
        <v>103</v>
      </c>
      <c r="X26" t="s">
        <v>91</v>
      </c>
      <c r="Y26" t="s">
        <v>148</v>
      </c>
      <c r="Z26" t="s">
        <v>151</v>
      </c>
      <c r="AA26" t="s">
        <v>38</v>
      </c>
      <c r="AB26">
        <v>1</v>
      </c>
      <c r="AC26">
        <v>3</v>
      </c>
      <c r="AD26">
        <v>1</v>
      </c>
      <c r="AE26" t="s">
        <v>39</v>
      </c>
      <c r="AF26" t="s">
        <v>96</v>
      </c>
      <c r="AG26" t="s">
        <v>153</v>
      </c>
      <c r="AH26" t="s">
        <v>42</v>
      </c>
      <c r="AI26">
        <v>0</v>
      </c>
      <c r="AJ26">
        <v>56</v>
      </c>
    </row>
    <row r="27" spans="1:36" x14ac:dyDescent="0.25">
      <c r="A27" t="s">
        <v>784</v>
      </c>
      <c r="B27">
        <v>36</v>
      </c>
      <c r="C27" t="s">
        <v>33</v>
      </c>
      <c r="D27">
        <v>3</v>
      </c>
      <c r="F27">
        <v>3</v>
      </c>
      <c r="G27" t="s">
        <v>34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83</v>
      </c>
      <c r="Q27" t="s">
        <v>97</v>
      </c>
      <c r="R27" t="s">
        <v>98</v>
      </c>
      <c r="S27" t="s">
        <v>43</v>
      </c>
      <c r="T27">
        <v>1</v>
      </c>
      <c r="V27">
        <v>1</v>
      </c>
      <c r="W27" t="s">
        <v>135</v>
      </c>
      <c r="X27" t="s">
        <v>136</v>
      </c>
      <c r="AA27" t="s">
        <v>45</v>
      </c>
      <c r="AB27">
        <v>3</v>
      </c>
      <c r="AD27">
        <v>3</v>
      </c>
      <c r="AE27" t="s">
        <v>47</v>
      </c>
      <c r="AF27" t="s">
        <v>76</v>
      </c>
      <c r="AG27" t="s">
        <v>142</v>
      </c>
      <c r="AH27" t="s">
        <v>144</v>
      </c>
      <c r="AI27">
        <v>0</v>
      </c>
      <c r="AJ27">
        <v>37</v>
      </c>
    </row>
    <row r="28" spans="1:36" x14ac:dyDescent="0.25">
      <c r="A28" t="s">
        <v>785</v>
      </c>
      <c r="B28">
        <v>37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132</v>
      </c>
      <c r="J28" t="s">
        <v>134</v>
      </c>
      <c r="K28" t="s">
        <v>53</v>
      </c>
      <c r="L28">
        <v>1</v>
      </c>
      <c r="M28">
        <v>3</v>
      </c>
      <c r="N28">
        <v>3</v>
      </c>
      <c r="O28" t="s">
        <v>112</v>
      </c>
      <c r="P28" t="s">
        <v>83</v>
      </c>
      <c r="Q28" t="s">
        <v>97</v>
      </c>
      <c r="S28" t="s">
        <v>43</v>
      </c>
      <c r="T28">
        <v>3</v>
      </c>
      <c r="V28">
        <v>3</v>
      </c>
      <c r="W28" t="s">
        <v>135</v>
      </c>
      <c r="X28" t="s">
        <v>74</v>
      </c>
      <c r="AA28" t="s">
        <v>63</v>
      </c>
      <c r="AB28">
        <v>1</v>
      </c>
      <c r="AD28">
        <v>1</v>
      </c>
      <c r="AE28" t="s">
        <v>145</v>
      </c>
      <c r="AF28" t="s">
        <v>91</v>
      </c>
      <c r="AG28" t="s">
        <v>148</v>
      </c>
      <c r="AH28" t="s">
        <v>151</v>
      </c>
      <c r="AI28">
        <v>0</v>
      </c>
      <c r="AJ28">
        <v>25</v>
      </c>
    </row>
    <row r="29" spans="1:36" x14ac:dyDescent="0.25">
      <c r="A29" t="s">
        <v>786</v>
      </c>
      <c r="B29">
        <v>38</v>
      </c>
      <c r="C29" t="s">
        <v>43</v>
      </c>
      <c r="D29">
        <v>3</v>
      </c>
      <c r="F29">
        <v>3</v>
      </c>
      <c r="G29" t="s">
        <v>135</v>
      </c>
      <c r="H29" t="s">
        <v>136</v>
      </c>
      <c r="I29" t="s">
        <v>137</v>
      </c>
      <c r="K29" t="s">
        <v>53</v>
      </c>
      <c r="L29">
        <v>1</v>
      </c>
      <c r="M29">
        <v>3</v>
      </c>
      <c r="N29">
        <v>3</v>
      </c>
      <c r="O29" t="s">
        <v>112</v>
      </c>
      <c r="P29" t="s">
        <v>55</v>
      </c>
      <c r="S29" t="s">
        <v>33</v>
      </c>
      <c r="T29">
        <v>3</v>
      </c>
      <c r="V29">
        <v>3</v>
      </c>
      <c r="W29" t="s">
        <v>34</v>
      </c>
      <c r="X29" t="s">
        <v>130</v>
      </c>
      <c r="Y29" t="s">
        <v>131</v>
      </c>
      <c r="AA29" t="s">
        <v>38</v>
      </c>
      <c r="AB29">
        <v>1</v>
      </c>
      <c r="AC29">
        <v>1</v>
      </c>
      <c r="AD29">
        <v>3</v>
      </c>
      <c r="AE29" t="s">
        <v>39</v>
      </c>
      <c r="AF29" t="s">
        <v>96</v>
      </c>
      <c r="AG29" t="s">
        <v>41</v>
      </c>
      <c r="AI29">
        <v>0</v>
      </c>
      <c r="AJ29">
        <v>27</v>
      </c>
    </row>
    <row r="30" spans="1:36" x14ac:dyDescent="0.25">
      <c r="A30" t="s">
        <v>787</v>
      </c>
      <c r="B30">
        <v>40</v>
      </c>
      <c r="C30" t="s">
        <v>45</v>
      </c>
      <c r="D30">
        <v>3</v>
      </c>
      <c r="F30">
        <v>3</v>
      </c>
      <c r="G30" t="s">
        <v>86</v>
      </c>
      <c r="H30" t="s">
        <v>141</v>
      </c>
      <c r="I30" t="s">
        <v>142</v>
      </c>
      <c r="J30" t="s">
        <v>144</v>
      </c>
      <c r="K30" t="s">
        <v>53</v>
      </c>
      <c r="L30">
        <v>1</v>
      </c>
      <c r="M30">
        <v>3</v>
      </c>
      <c r="N30">
        <v>2</v>
      </c>
      <c r="O30" t="s">
        <v>112</v>
      </c>
      <c r="S30" t="s">
        <v>33</v>
      </c>
      <c r="T30">
        <v>3</v>
      </c>
      <c r="V30">
        <v>3</v>
      </c>
      <c r="W30" t="s">
        <v>34</v>
      </c>
      <c r="X30" t="s">
        <v>130</v>
      </c>
      <c r="Y30" t="s">
        <v>131</v>
      </c>
      <c r="Z30" t="s">
        <v>133</v>
      </c>
      <c r="AA30" t="s">
        <v>63</v>
      </c>
      <c r="AB30">
        <v>2</v>
      </c>
      <c r="AD30">
        <v>3</v>
      </c>
      <c r="AE30" t="s">
        <v>145</v>
      </c>
      <c r="AF30" t="s">
        <v>91</v>
      </c>
      <c r="AG30" t="s">
        <v>148</v>
      </c>
      <c r="AH30" t="s">
        <v>151</v>
      </c>
      <c r="AI30">
        <v>0</v>
      </c>
      <c r="AJ30">
        <v>33</v>
      </c>
    </row>
    <row r="31" spans="1:36" x14ac:dyDescent="0.25">
      <c r="A31" t="s">
        <v>788</v>
      </c>
      <c r="B31">
        <v>41</v>
      </c>
      <c r="C31" t="s">
        <v>33</v>
      </c>
      <c r="D31">
        <v>3</v>
      </c>
      <c r="F31">
        <v>3</v>
      </c>
      <c r="G31" t="s">
        <v>34</v>
      </c>
      <c r="H31" t="s">
        <v>130</v>
      </c>
      <c r="I31" t="s">
        <v>36</v>
      </c>
      <c r="J31" t="s">
        <v>37</v>
      </c>
      <c r="K31" t="s">
        <v>53</v>
      </c>
      <c r="L31">
        <v>2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R31" t="s">
        <v>115</v>
      </c>
      <c r="S31" t="s">
        <v>45</v>
      </c>
      <c r="T31">
        <v>3</v>
      </c>
      <c r="V31">
        <v>1</v>
      </c>
      <c r="W31" t="s">
        <v>86</v>
      </c>
      <c r="X31" t="s">
        <v>141</v>
      </c>
      <c r="AA31" t="s">
        <v>38</v>
      </c>
      <c r="AB31">
        <v>1</v>
      </c>
      <c r="AC31">
        <v>1</v>
      </c>
      <c r="AD31">
        <v>3</v>
      </c>
      <c r="AE31" t="s">
        <v>39</v>
      </c>
      <c r="AI31">
        <v>0</v>
      </c>
      <c r="AJ31">
        <v>26</v>
      </c>
    </row>
    <row r="32" spans="1:36" x14ac:dyDescent="0.25">
      <c r="A32" t="s">
        <v>789</v>
      </c>
      <c r="B32">
        <v>43</v>
      </c>
      <c r="C32" t="s">
        <v>33</v>
      </c>
      <c r="D32">
        <v>3</v>
      </c>
      <c r="F32">
        <v>3</v>
      </c>
      <c r="G32" t="s">
        <v>34</v>
      </c>
      <c r="H32" t="s">
        <v>66</v>
      </c>
      <c r="I32" t="s">
        <v>132</v>
      </c>
      <c r="J32" t="s">
        <v>133</v>
      </c>
      <c r="K32" t="s">
        <v>53</v>
      </c>
      <c r="L32">
        <v>2</v>
      </c>
      <c r="M32">
        <v>3</v>
      </c>
      <c r="N32">
        <v>3</v>
      </c>
      <c r="O32" t="s">
        <v>112</v>
      </c>
      <c r="P32" t="s">
        <v>83</v>
      </c>
      <c r="Q32" t="s">
        <v>97</v>
      </c>
      <c r="S32" t="s">
        <v>63</v>
      </c>
      <c r="T32">
        <v>2</v>
      </c>
      <c r="V32">
        <v>2</v>
      </c>
      <c r="W32" t="s">
        <v>145</v>
      </c>
      <c r="X32" t="s">
        <v>91</v>
      </c>
      <c r="Y32" t="s">
        <v>148</v>
      </c>
      <c r="Z32" t="s">
        <v>151</v>
      </c>
      <c r="AA32" t="s">
        <v>38</v>
      </c>
      <c r="AB32">
        <v>3</v>
      </c>
      <c r="AC32">
        <v>3</v>
      </c>
      <c r="AD32">
        <v>3</v>
      </c>
      <c r="AE32" t="s">
        <v>39</v>
      </c>
      <c r="AF32" t="s">
        <v>40</v>
      </c>
      <c r="AG32" t="s">
        <v>153</v>
      </c>
      <c r="AH32" t="s">
        <v>156</v>
      </c>
      <c r="AI32">
        <v>0</v>
      </c>
      <c r="AJ32">
        <v>43</v>
      </c>
    </row>
    <row r="33" spans="1:36" x14ac:dyDescent="0.25">
      <c r="A33" t="s">
        <v>790</v>
      </c>
      <c r="B33">
        <v>46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73</v>
      </c>
      <c r="P33" t="s">
        <v>136</v>
      </c>
      <c r="Q33" t="s">
        <v>100</v>
      </c>
      <c r="R33" t="s">
        <v>139</v>
      </c>
      <c r="S33" t="s">
        <v>45</v>
      </c>
      <c r="T33">
        <v>3</v>
      </c>
      <c r="V33">
        <v>3</v>
      </c>
      <c r="W33" t="s">
        <v>86</v>
      </c>
      <c r="X33" t="s">
        <v>92</v>
      </c>
      <c r="Y33" t="s">
        <v>93</v>
      </c>
      <c r="Z33" t="s">
        <v>143</v>
      </c>
      <c r="AA33" t="s">
        <v>63</v>
      </c>
      <c r="AB33">
        <v>3</v>
      </c>
      <c r="AD33">
        <v>3</v>
      </c>
      <c r="AE33" t="s">
        <v>103</v>
      </c>
      <c r="AF33" t="s">
        <v>91</v>
      </c>
      <c r="AG33" t="s">
        <v>148</v>
      </c>
      <c r="AH33" t="s">
        <v>151</v>
      </c>
      <c r="AI33">
        <v>0</v>
      </c>
      <c r="AJ33">
        <v>51</v>
      </c>
    </row>
    <row r="34" spans="1:36" x14ac:dyDescent="0.25">
      <c r="A34" t="s">
        <v>791</v>
      </c>
      <c r="B34">
        <v>47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97</v>
      </c>
      <c r="J34" t="s">
        <v>115</v>
      </c>
      <c r="K34" t="s">
        <v>43</v>
      </c>
      <c r="L34">
        <v>3</v>
      </c>
      <c r="N34">
        <v>2</v>
      </c>
      <c r="O34" t="s">
        <v>73</v>
      </c>
      <c r="P34" t="s">
        <v>74</v>
      </c>
      <c r="Q34" t="s">
        <v>75</v>
      </c>
      <c r="R34" t="s">
        <v>138</v>
      </c>
      <c r="S34" t="s">
        <v>45</v>
      </c>
      <c r="T34">
        <v>3</v>
      </c>
      <c r="V34">
        <v>3</v>
      </c>
      <c r="W34" t="s">
        <v>47</v>
      </c>
      <c r="X34" t="s">
        <v>141</v>
      </c>
      <c r="Y34" t="s">
        <v>142</v>
      </c>
      <c r="Z34" t="s">
        <v>94</v>
      </c>
      <c r="AA34" t="s">
        <v>38</v>
      </c>
      <c r="AB34">
        <v>3</v>
      </c>
      <c r="AC34">
        <v>3</v>
      </c>
      <c r="AD34">
        <v>3</v>
      </c>
      <c r="AE34" t="s">
        <v>39</v>
      </c>
      <c r="AF34" t="s">
        <v>40</v>
      </c>
      <c r="AG34" t="s">
        <v>153</v>
      </c>
      <c r="AH34" t="s">
        <v>155</v>
      </c>
      <c r="AI34">
        <v>0</v>
      </c>
      <c r="AJ34">
        <v>41</v>
      </c>
    </row>
    <row r="35" spans="1:36" x14ac:dyDescent="0.25">
      <c r="A35" t="s">
        <v>792</v>
      </c>
      <c r="B35">
        <v>49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96</v>
      </c>
      <c r="I35" t="s">
        <v>41</v>
      </c>
      <c r="J35" t="s">
        <v>156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55</v>
      </c>
      <c r="Q35" t="s">
        <v>97</v>
      </c>
      <c r="S35" t="s">
        <v>43</v>
      </c>
      <c r="T35">
        <v>3</v>
      </c>
      <c r="V35">
        <v>3</v>
      </c>
      <c r="W35" t="s">
        <v>135</v>
      </c>
      <c r="X35" t="s">
        <v>74</v>
      </c>
      <c r="Y35" t="s">
        <v>100</v>
      </c>
      <c r="Z35" t="s">
        <v>139</v>
      </c>
      <c r="AA35" t="s">
        <v>63</v>
      </c>
      <c r="AB35">
        <v>3</v>
      </c>
      <c r="AD35">
        <v>3</v>
      </c>
      <c r="AE35" t="s">
        <v>103</v>
      </c>
      <c r="AF35" t="s">
        <v>91</v>
      </c>
      <c r="AG35" t="s">
        <v>148</v>
      </c>
      <c r="AH35" t="s">
        <v>151</v>
      </c>
      <c r="AI35">
        <v>0</v>
      </c>
      <c r="AJ35">
        <v>51</v>
      </c>
    </row>
    <row r="36" spans="1:36" x14ac:dyDescent="0.25">
      <c r="A36" t="s">
        <v>793</v>
      </c>
      <c r="B36">
        <v>52</v>
      </c>
      <c r="C36" t="s">
        <v>63</v>
      </c>
      <c r="D36">
        <v>3</v>
      </c>
      <c r="F36">
        <v>3</v>
      </c>
      <c r="G36" t="s">
        <v>103</v>
      </c>
      <c r="H36" t="s">
        <v>91</v>
      </c>
      <c r="I36" t="s">
        <v>148</v>
      </c>
      <c r="J36" t="s">
        <v>151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97</v>
      </c>
      <c r="R36" t="s">
        <v>115</v>
      </c>
      <c r="S36" t="s">
        <v>45</v>
      </c>
      <c r="T36">
        <v>3</v>
      </c>
      <c r="V36">
        <v>3</v>
      </c>
      <c r="W36" t="s">
        <v>86</v>
      </c>
      <c r="X36" t="s">
        <v>92</v>
      </c>
      <c r="Y36" t="s">
        <v>93</v>
      </c>
      <c r="Z36" t="s">
        <v>143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41</v>
      </c>
      <c r="AH36" t="s">
        <v>156</v>
      </c>
      <c r="AI36">
        <v>0</v>
      </c>
      <c r="AJ36">
        <v>55</v>
      </c>
    </row>
    <row r="37" spans="1:36" x14ac:dyDescent="0.25">
      <c r="A37" t="s">
        <v>794</v>
      </c>
      <c r="B37">
        <v>56</v>
      </c>
      <c r="C37" t="s">
        <v>56</v>
      </c>
      <c r="D37">
        <v>3</v>
      </c>
      <c r="F37">
        <v>3</v>
      </c>
      <c r="G37" t="s">
        <v>120</v>
      </c>
      <c r="H37" t="s">
        <v>69</v>
      </c>
      <c r="K37" t="s">
        <v>48</v>
      </c>
      <c r="L37">
        <v>2</v>
      </c>
      <c r="N37">
        <v>1</v>
      </c>
      <c r="O37" t="s">
        <v>126</v>
      </c>
      <c r="P37" t="s">
        <v>84</v>
      </c>
      <c r="Q37" t="s">
        <v>90</v>
      </c>
      <c r="S37" t="s">
        <v>33</v>
      </c>
      <c r="T37">
        <v>1</v>
      </c>
      <c r="V37">
        <v>2</v>
      </c>
      <c r="W37" t="s">
        <v>34</v>
      </c>
      <c r="X37" t="s">
        <v>130</v>
      </c>
      <c r="Y37" t="s">
        <v>131</v>
      </c>
      <c r="Z37" t="s">
        <v>37</v>
      </c>
      <c r="AA37" t="s">
        <v>43</v>
      </c>
      <c r="AB37">
        <v>3</v>
      </c>
      <c r="AD37">
        <v>3</v>
      </c>
      <c r="AE37" t="s">
        <v>73</v>
      </c>
      <c r="AF37" t="s">
        <v>99</v>
      </c>
      <c r="AG37" t="s">
        <v>137</v>
      </c>
      <c r="AI37">
        <v>0</v>
      </c>
      <c r="AJ37">
        <v>23</v>
      </c>
    </row>
    <row r="38" spans="1:36" x14ac:dyDescent="0.25">
      <c r="A38" t="s">
        <v>795</v>
      </c>
      <c r="B38">
        <v>57</v>
      </c>
      <c r="C38" t="s">
        <v>45</v>
      </c>
      <c r="D38">
        <v>3</v>
      </c>
      <c r="F38">
        <v>3</v>
      </c>
      <c r="G38" t="s">
        <v>86</v>
      </c>
      <c r="H38" t="s">
        <v>141</v>
      </c>
      <c r="I38" t="s">
        <v>142</v>
      </c>
      <c r="J38" t="s">
        <v>144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124</v>
      </c>
      <c r="S38" t="s">
        <v>48</v>
      </c>
      <c r="T38">
        <v>1</v>
      </c>
      <c r="V38">
        <v>2</v>
      </c>
      <c r="W38" t="s">
        <v>126</v>
      </c>
      <c r="X38" t="s">
        <v>84</v>
      </c>
      <c r="Y38" t="s">
        <v>90</v>
      </c>
      <c r="AA38" t="s">
        <v>33</v>
      </c>
      <c r="AB38">
        <v>3</v>
      </c>
      <c r="AD38">
        <v>3</v>
      </c>
      <c r="AE38" t="s">
        <v>34</v>
      </c>
      <c r="AF38" t="s">
        <v>130</v>
      </c>
      <c r="AG38" t="s">
        <v>36</v>
      </c>
      <c r="AH38" t="s">
        <v>37</v>
      </c>
      <c r="AI38">
        <v>0</v>
      </c>
      <c r="AJ38">
        <v>29</v>
      </c>
    </row>
    <row r="39" spans="1:36" x14ac:dyDescent="0.25">
      <c r="A39" t="s">
        <v>796</v>
      </c>
      <c r="B39">
        <v>58</v>
      </c>
      <c r="C39" t="s">
        <v>33</v>
      </c>
      <c r="D39">
        <v>2</v>
      </c>
      <c r="F39">
        <v>3</v>
      </c>
      <c r="G39" t="s">
        <v>34</v>
      </c>
      <c r="H39" t="s">
        <v>130</v>
      </c>
      <c r="I39" t="s">
        <v>132</v>
      </c>
      <c r="J39" t="s">
        <v>37</v>
      </c>
      <c r="K39" t="s">
        <v>56</v>
      </c>
      <c r="L39">
        <v>3</v>
      </c>
      <c r="N39">
        <v>2</v>
      </c>
      <c r="O39" t="s">
        <v>120</v>
      </c>
      <c r="P39" t="s">
        <v>69</v>
      </c>
      <c r="Q39" t="s">
        <v>87</v>
      </c>
      <c r="R39" t="s">
        <v>125</v>
      </c>
      <c r="S39" t="s">
        <v>48</v>
      </c>
      <c r="T39">
        <v>1</v>
      </c>
      <c r="V39">
        <v>1</v>
      </c>
      <c r="W39" t="s">
        <v>126</v>
      </c>
      <c r="X39" t="s">
        <v>84</v>
      </c>
      <c r="Y39" t="s">
        <v>127</v>
      </c>
      <c r="AA39" t="s">
        <v>63</v>
      </c>
      <c r="AB39">
        <v>1</v>
      </c>
      <c r="AD39">
        <v>3</v>
      </c>
      <c r="AE39" t="s">
        <v>145</v>
      </c>
      <c r="AF39" t="s">
        <v>91</v>
      </c>
      <c r="AG39" t="s">
        <v>148</v>
      </c>
      <c r="AH39" t="s">
        <v>151</v>
      </c>
      <c r="AI39">
        <v>0</v>
      </c>
      <c r="AJ39">
        <v>28</v>
      </c>
    </row>
    <row r="40" spans="1:36" x14ac:dyDescent="0.25">
      <c r="A40" t="s">
        <v>797</v>
      </c>
      <c r="B40">
        <v>59</v>
      </c>
      <c r="C40" t="s">
        <v>56</v>
      </c>
      <c r="D40">
        <v>3</v>
      </c>
      <c r="F40">
        <v>3</v>
      </c>
      <c r="G40" t="s">
        <v>120</v>
      </c>
      <c r="H40" t="s">
        <v>122</v>
      </c>
      <c r="K40" t="s">
        <v>48</v>
      </c>
      <c r="L40">
        <v>3</v>
      </c>
      <c r="N40">
        <v>1</v>
      </c>
      <c r="O40" t="s">
        <v>126</v>
      </c>
      <c r="P40" t="s">
        <v>71</v>
      </c>
      <c r="Q40" t="s">
        <v>127</v>
      </c>
      <c r="R40" t="s">
        <v>52</v>
      </c>
      <c r="S40" t="s">
        <v>33</v>
      </c>
      <c r="T40">
        <v>2</v>
      </c>
      <c r="V40">
        <v>2</v>
      </c>
      <c r="W40" t="s">
        <v>34</v>
      </c>
      <c r="X40" t="s">
        <v>130</v>
      </c>
      <c r="AA40" t="s">
        <v>38</v>
      </c>
      <c r="AB40">
        <v>1</v>
      </c>
      <c r="AC40">
        <v>1</v>
      </c>
      <c r="AD40">
        <v>3</v>
      </c>
      <c r="AE40" t="s">
        <v>39</v>
      </c>
      <c r="AF40" t="s">
        <v>40</v>
      </c>
      <c r="AG40" t="s">
        <v>154</v>
      </c>
      <c r="AI40">
        <v>0</v>
      </c>
      <c r="AJ40">
        <v>21</v>
      </c>
    </row>
    <row r="41" spans="1:36" x14ac:dyDescent="0.25">
      <c r="A41" t="s">
        <v>798</v>
      </c>
      <c r="B41">
        <v>61</v>
      </c>
      <c r="C41" t="s">
        <v>43</v>
      </c>
      <c r="D41">
        <v>3</v>
      </c>
      <c r="F41">
        <v>3</v>
      </c>
      <c r="G41" t="s">
        <v>73</v>
      </c>
      <c r="H41" t="s">
        <v>74</v>
      </c>
      <c r="I41" t="s">
        <v>100</v>
      </c>
      <c r="J41" t="s">
        <v>138</v>
      </c>
      <c r="K41" t="s">
        <v>56</v>
      </c>
      <c r="L41">
        <v>3</v>
      </c>
      <c r="N41">
        <v>3</v>
      </c>
      <c r="O41" t="s">
        <v>120</v>
      </c>
      <c r="P41" t="s">
        <v>121</v>
      </c>
      <c r="Q41" t="s">
        <v>85</v>
      </c>
      <c r="R41" t="s">
        <v>125</v>
      </c>
      <c r="S41" t="s">
        <v>48</v>
      </c>
      <c r="T41">
        <v>2</v>
      </c>
      <c r="V41">
        <v>1</v>
      </c>
      <c r="W41" t="s">
        <v>126</v>
      </c>
      <c r="X41" t="s">
        <v>84</v>
      </c>
      <c r="Y41" t="s">
        <v>90</v>
      </c>
      <c r="Z41" t="s">
        <v>128</v>
      </c>
      <c r="AA41" t="s">
        <v>45</v>
      </c>
      <c r="AB41">
        <v>3</v>
      </c>
      <c r="AD41">
        <v>3</v>
      </c>
      <c r="AE41" t="s">
        <v>86</v>
      </c>
      <c r="AF41" t="s">
        <v>141</v>
      </c>
      <c r="AG41" t="s">
        <v>102</v>
      </c>
      <c r="AH41" t="s">
        <v>143</v>
      </c>
      <c r="AI41">
        <v>0</v>
      </c>
      <c r="AJ41">
        <v>32</v>
      </c>
    </row>
    <row r="42" spans="1:36" x14ac:dyDescent="0.25">
      <c r="A42" t="s">
        <v>799</v>
      </c>
      <c r="B42">
        <v>62</v>
      </c>
      <c r="C42" t="s">
        <v>43</v>
      </c>
      <c r="D42">
        <v>3</v>
      </c>
      <c r="F42">
        <v>3</v>
      </c>
      <c r="G42" t="s">
        <v>73</v>
      </c>
      <c r="H42" t="s">
        <v>74</v>
      </c>
      <c r="I42" t="s">
        <v>100</v>
      </c>
      <c r="J42" t="s">
        <v>139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48</v>
      </c>
      <c r="T42">
        <v>2</v>
      </c>
      <c r="V42">
        <v>3</v>
      </c>
      <c r="W42" t="s">
        <v>126</v>
      </c>
      <c r="X42" t="s">
        <v>84</v>
      </c>
      <c r="Y42" t="s">
        <v>90</v>
      </c>
      <c r="Z42" t="s">
        <v>128</v>
      </c>
      <c r="AA42" t="s">
        <v>63</v>
      </c>
      <c r="AB42">
        <v>2</v>
      </c>
      <c r="AD42">
        <v>2</v>
      </c>
      <c r="AE42" t="s">
        <v>145</v>
      </c>
      <c r="AF42" t="s">
        <v>91</v>
      </c>
      <c r="AG42" t="s">
        <v>148</v>
      </c>
      <c r="AH42" t="s">
        <v>151</v>
      </c>
      <c r="AI42">
        <v>0</v>
      </c>
      <c r="AJ42">
        <v>32</v>
      </c>
    </row>
    <row r="43" spans="1:36" x14ac:dyDescent="0.25">
      <c r="A43" t="s">
        <v>800</v>
      </c>
      <c r="B43">
        <v>63</v>
      </c>
      <c r="C43" t="s">
        <v>48</v>
      </c>
      <c r="D43">
        <v>3</v>
      </c>
      <c r="F43">
        <v>3</v>
      </c>
      <c r="G43" t="s">
        <v>126</v>
      </c>
      <c r="H43" t="s">
        <v>84</v>
      </c>
      <c r="I43" t="s">
        <v>90</v>
      </c>
      <c r="J43" t="s">
        <v>128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124</v>
      </c>
      <c r="S43" t="s">
        <v>43</v>
      </c>
      <c r="T43">
        <v>3</v>
      </c>
      <c r="V43">
        <v>3</v>
      </c>
      <c r="W43" t="s">
        <v>73</v>
      </c>
      <c r="X43" t="s">
        <v>74</v>
      </c>
      <c r="Y43" t="s">
        <v>100</v>
      </c>
      <c r="Z43" t="s">
        <v>139</v>
      </c>
      <c r="AA43" t="s">
        <v>38</v>
      </c>
      <c r="AB43">
        <v>3</v>
      </c>
      <c r="AC43">
        <v>3</v>
      </c>
      <c r="AD43">
        <v>3</v>
      </c>
      <c r="AE43" t="s">
        <v>39</v>
      </c>
      <c r="AF43" t="s">
        <v>40</v>
      </c>
      <c r="AG43" t="s">
        <v>153</v>
      </c>
      <c r="AH43" t="s">
        <v>156</v>
      </c>
      <c r="AI43">
        <v>0</v>
      </c>
      <c r="AJ43">
        <v>48</v>
      </c>
    </row>
    <row r="44" spans="1:36" x14ac:dyDescent="0.25">
      <c r="A44" t="s">
        <v>801</v>
      </c>
      <c r="B44">
        <v>65</v>
      </c>
      <c r="C44" t="s">
        <v>45</v>
      </c>
      <c r="D44">
        <v>3</v>
      </c>
      <c r="F44">
        <v>3</v>
      </c>
      <c r="G44" t="s">
        <v>86</v>
      </c>
      <c r="H44" t="s">
        <v>76</v>
      </c>
      <c r="I44" t="s">
        <v>93</v>
      </c>
      <c r="J44" t="s">
        <v>144</v>
      </c>
      <c r="K44" t="s">
        <v>56</v>
      </c>
      <c r="L44">
        <v>3</v>
      </c>
      <c r="N44">
        <v>3</v>
      </c>
      <c r="O44" t="s">
        <v>120</v>
      </c>
      <c r="P44" t="s">
        <v>69</v>
      </c>
      <c r="Q44" t="s">
        <v>87</v>
      </c>
      <c r="R44" t="s">
        <v>125</v>
      </c>
      <c r="S44" t="s">
        <v>48</v>
      </c>
      <c r="T44">
        <v>3</v>
      </c>
      <c r="V44">
        <v>2</v>
      </c>
      <c r="W44" t="s">
        <v>126</v>
      </c>
      <c r="X44" t="s">
        <v>84</v>
      </c>
      <c r="Y44" t="s">
        <v>127</v>
      </c>
      <c r="Z44" t="s">
        <v>128</v>
      </c>
      <c r="AA44" t="s">
        <v>63</v>
      </c>
      <c r="AB44">
        <v>1</v>
      </c>
      <c r="AD44">
        <v>1</v>
      </c>
      <c r="AE44" t="s">
        <v>145</v>
      </c>
      <c r="AF44" t="s">
        <v>91</v>
      </c>
      <c r="AG44" t="s">
        <v>148</v>
      </c>
      <c r="AH44" t="s">
        <v>151</v>
      </c>
      <c r="AI44">
        <v>0</v>
      </c>
      <c r="AJ44">
        <v>28</v>
      </c>
    </row>
    <row r="45" spans="1:36" x14ac:dyDescent="0.25">
      <c r="A45" t="s">
        <v>802</v>
      </c>
      <c r="B45">
        <v>66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127</v>
      </c>
      <c r="J45" t="s">
        <v>128</v>
      </c>
      <c r="K45" t="s">
        <v>56</v>
      </c>
      <c r="L45">
        <v>3</v>
      </c>
      <c r="N45">
        <v>3</v>
      </c>
      <c r="O45" t="s">
        <v>120</v>
      </c>
      <c r="P45" t="s">
        <v>121</v>
      </c>
      <c r="Q45" t="s">
        <v>87</v>
      </c>
      <c r="R45" t="s">
        <v>88</v>
      </c>
      <c r="S45" t="s">
        <v>45</v>
      </c>
      <c r="T45">
        <v>3</v>
      </c>
      <c r="V45">
        <v>1</v>
      </c>
      <c r="W45" t="s">
        <v>86</v>
      </c>
      <c r="X45" t="s">
        <v>76</v>
      </c>
      <c r="AA45" t="s">
        <v>38</v>
      </c>
      <c r="AB45">
        <v>2</v>
      </c>
      <c r="AC45">
        <v>3</v>
      </c>
      <c r="AD45">
        <v>3</v>
      </c>
      <c r="AE45" t="s">
        <v>39</v>
      </c>
      <c r="AF45" t="s">
        <v>96</v>
      </c>
      <c r="AG45" t="s">
        <v>153</v>
      </c>
      <c r="AH45" t="s">
        <v>156</v>
      </c>
      <c r="AI45">
        <v>0</v>
      </c>
      <c r="AJ45">
        <v>30</v>
      </c>
    </row>
    <row r="46" spans="1:36" x14ac:dyDescent="0.25">
      <c r="A46" t="s">
        <v>803</v>
      </c>
      <c r="B46">
        <v>68</v>
      </c>
      <c r="C46" t="s">
        <v>48</v>
      </c>
      <c r="D46">
        <v>3</v>
      </c>
      <c r="F46">
        <v>3</v>
      </c>
      <c r="G46" t="s">
        <v>126</v>
      </c>
      <c r="H46" t="s">
        <v>84</v>
      </c>
      <c r="I46" t="s">
        <v>127</v>
      </c>
      <c r="J46" t="s">
        <v>52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87</v>
      </c>
      <c r="R46" t="s">
        <v>88</v>
      </c>
      <c r="S46" t="s">
        <v>63</v>
      </c>
      <c r="T46">
        <v>1</v>
      </c>
      <c r="V46">
        <v>1</v>
      </c>
      <c r="W46" t="s">
        <v>145</v>
      </c>
      <c r="X46" t="s">
        <v>91</v>
      </c>
      <c r="Y46" t="s">
        <v>148</v>
      </c>
      <c r="Z46" t="s">
        <v>151</v>
      </c>
      <c r="AA46" t="s">
        <v>38</v>
      </c>
      <c r="AB46">
        <v>1</v>
      </c>
      <c r="AC46">
        <v>2</v>
      </c>
      <c r="AD46">
        <v>3</v>
      </c>
      <c r="AE46" t="s">
        <v>39</v>
      </c>
      <c r="AF46" t="s">
        <v>40</v>
      </c>
      <c r="AG46" t="s">
        <v>153</v>
      </c>
      <c r="AI46">
        <v>0</v>
      </c>
      <c r="AJ46">
        <v>35</v>
      </c>
    </row>
    <row r="47" spans="1:36" x14ac:dyDescent="0.25">
      <c r="A47" t="s">
        <v>804</v>
      </c>
      <c r="B47">
        <v>71</v>
      </c>
      <c r="C47" t="s">
        <v>56</v>
      </c>
      <c r="D47">
        <v>3</v>
      </c>
      <c r="F47">
        <v>3</v>
      </c>
      <c r="G47" t="s">
        <v>120</v>
      </c>
      <c r="H47" t="s">
        <v>122</v>
      </c>
      <c r="I47" t="s">
        <v>87</v>
      </c>
      <c r="J47" t="s">
        <v>88</v>
      </c>
      <c r="K47" t="s">
        <v>33</v>
      </c>
      <c r="L47">
        <v>2</v>
      </c>
      <c r="N47">
        <v>3</v>
      </c>
      <c r="O47" t="s">
        <v>34</v>
      </c>
      <c r="S47" t="s">
        <v>43</v>
      </c>
      <c r="T47">
        <v>1</v>
      </c>
      <c r="V47">
        <v>2</v>
      </c>
      <c r="W47" t="s">
        <v>135</v>
      </c>
      <c r="X47" t="s">
        <v>136</v>
      </c>
      <c r="Y47" t="s">
        <v>100</v>
      </c>
      <c r="Z47" t="s">
        <v>138</v>
      </c>
      <c r="AA47" t="s">
        <v>45</v>
      </c>
      <c r="AB47">
        <v>3</v>
      </c>
      <c r="AD47">
        <v>3</v>
      </c>
      <c r="AE47" t="s">
        <v>86</v>
      </c>
      <c r="AF47" t="s">
        <v>141</v>
      </c>
      <c r="AG47" t="s">
        <v>142</v>
      </c>
      <c r="AH47" t="s">
        <v>144</v>
      </c>
      <c r="AI47">
        <v>0</v>
      </c>
      <c r="AJ47">
        <v>27</v>
      </c>
    </row>
    <row r="48" spans="1:36" x14ac:dyDescent="0.25">
      <c r="A48" t="s">
        <v>805</v>
      </c>
      <c r="B48">
        <v>72</v>
      </c>
      <c r="C48" t="s">
        <v>43</v>
      </c>
      <c r="D48">
        <v>3</v>
      </c>
      <c r="F48">
        <v>2</v>
      </c>
      <c r="G48" t="s">
        <v>135</v>
      </c>
      <c r="H48" t="s">
        <v>136</v>
      </c>
      <c r="I48" t="s">
        <v>137</v>
      </c>
      <c r="J48" t="s">
        <v>139</v>
      </c>
      <c r="K48" t="s">
        <v>56</v>
      </c>
      <c r="L48">
        <v>2</v>
      </c>
      <c r="N48">
        <v>3</v>
      </c>
      <c r="O48" t="s">
        <v>120</v>
      </c>
      <c r="P48" t="s">
        <v>69</v>
      </c>
      <c r="Q48" t="s">
        <v>87</v>
      </c>
      <c r="R48" t="s">
        <v>88</v>
      </c>
      <c r="S48" t="s">
        <v>33</v>
      </c>
      <c r="T48">
        <v>3</v>
      </c>
      <c r="V48">
        <v>3</v>
      </c>
      <c r="W48" t="s">
        <v>34</v>
      </c>
      <c r="X48" t="s">
        <v>66</v>
      </c>
      <c r="AA48" t="s">
        <v>63</v>
      </c>
      <c r="AB48">
        <v>1</v>
      </c>
      <c r="AD48">
        <v>1</v>
      </c>
      <c r="AE48" t="s">
        <v>145</v>
      </c>
      <c r="AF48" t="s">
        <v>146</v>
      </c>
      <c r="AG48" t="s">
        <v>148</v>
      </c>
      <c r="AI48">
        <v>0</v>
      </c>
      <c r="AJ48">
        <v>24</v>
      </c>
    </row>
    <row r="49" spans="1:36" x14ac:dyDescent="0.25">
      <c r="A49" t="s">
        <v>806</v>
      </c>
      <c r="B49">
        <v>73</v>
      </c>
      <c r="C49" t="s">
        <v>43</v>
      </c>
      <c r="D49">
        <v>3</v>
      </c>
      <c r="F49">
        <v>1</v>
      </c>
      <c r="G49" t="s">
        <v>135</v>
      </c>
      <c r="H49" t="s">
        <v>136</v>
      </c>
      <c r="I49" t="s">
        <v>137</v>
      </c>
      <c r="K49" t="s">
        <v>56</v>
      </c>
      <c r="L49">
        <v>2</v>
      </c>
      <c r="N49">
        <v>2</v>
      </c>
      <c r="O49" t="s">
        <v>120</v>
      </c>
      <c r="P49" t="s">
        <v>69</v>
      </c>
      <c r="S49" t="s">
        <v>33</v>
      </c>
      <c r="T49">
        <v>1</v>
      </c>
      <c r="V49">
        <v>3</v>
      </c>
      <c r="W49" t="s">
        <v>34</v>
      </c>
      <c r="AA49" t="s">
        <v>38</v>
      </c>
      <c r="AB49">
        <v>1</v>
      </c>
      <c r="AC49">
        <v>1</v>
      </c>
      <c r="AD49">
        <v>2</v>
      </c>
      <c r="AE49" t="s">
        <v>39</v>
      </c>
      <c r="AF49" t="s">
        <v>96</v>
      </c>
      <c r="AI49">
        <v>0</v>
      </c>
      <c r="AJ49">
        <v>17</v>
      </c>
    </row>
    <row r="50" spans="1:36" x14ac:dyDescent="0.25">
      <c r="A50" t="s">
        <v>807</v>
      </c>
      <c r="B50">
        <v>75</v>
      </c>
      <c r="C50" t="s">
        <v>63</v>
      </c>
      <c r="D50">
        <v>3</v>
      </c>
      <c r="F50">
        <v>1</v>
      </c>
      <c r="G50" t="s">
        <v>145</v>
      </c>
      <c r="H50" t="s">
        <v>146</v>
      </c>
      <c r="I50" t="s">
        <v>148</v>
      </c>
      <c r="J50" t="s">
        <v>150</v>
      </c>
      <c r="K50" t="s">
        <v>56</v>
      </c>
      <c r="L50">
        <v>2</v>
      </c>
      <c r="N50">
        <v>1</v>
      </c>
      <c r="O50" t="s">
        <v>120</v>
      </c>
      <c r="P50" t="s">
        <v>69</v>
      </c>
      <c r="Q50" t="s">
        <v>85</v>
      </c>
      <c r="S50" t="s">
        <v>33</v>
      </c>
      <c r="T50">
        <v>3</v>
      </c>
      <c r="V50">
        <v>2</v>
      </c>
      <c r="W50" t="s">
        <v>34</v>
      </c>
      <c r="X50" t="s">
        <v>66</v>
      </c>
      <c r="Y50" t="s">
        <v>131</v>
      </c>
      <c r="Z50" t="s">
        <v>37</v>
      </c>
      <c r="AA50" t="s">
        <v>45</v>
      </c>
      <c r="AB50">
        <v>3</v>
      </c>
      <c r="AD50">
        <v>1</v>
      </c>
      <c r="AE50" t="s">
        <v>86</v>
      </c>
      <c r="AI50">
        <v>0</v>
      </c>
      <c r="AJ50">
        <v>21</v>
      </c>
    </row>
    <row r="51" spans="1:36" x14ac:dyDescent="0.25">
      <c r="A51" t="s">
        <v>808</v>
      </c>
      <c r="B51">
        <v>76</v>
      </c>
      <c r="C51" t="s">
        <v>33</v>
      </c>
      <c r="D51">
        <v>2</v>
      </c>
      <c r="F51">
        <v>3</v>
      </c>
      <c r="G51" t="s">
        <v>34</v>
      </c>
      <c r="H51" t="s">
        <v>66</v>
      </c>
      <c r="I51" t="s">
        <v>132</v>
      </c>
      <c r="K51" t="s">
        <v>56</v>
      </c>
      <c r="L51">
        <v>3</v>
      </c>
      <c r="N51">
        <v>3</v>
      </c>
      <c r="O51" t="s">
        <v>57</v>
      </c>
      <c r="S51" t="s">
        <v>45</v>
      </c>
      <c r="T51">
        <v>3</v>
      </c>
      <c r="V51">
        <v>1</v>
      </c>
      <c r="W51" t="s">
        <v>86</v>
      </c>
      <c r="AA51" t="s">
        <v>38</v>
      </c>
      <c r="AB51">
        <v>1</v>
      </c>
      <c r="AC51">
        <v>1</v>
      </c>
      <c r="AD51">
        <v>3</v>
      </c>
      <c r="AE51" t="s">
        <v>39</v>
      </c>
      <c r="AF51" t="s">
        <v>96</v>
      </c>
      <c r="AG51" t="s">
        <v>153</v>
      </c>
      <c r="AI51">
        <v>0</v>
      </c>
      <c r="AJ51">
        <v>19</v>
      </c>
    </row>
    <row r="52" spans="1:36" x14ac:dyDescent="0.25">
      <c r="A52" t="s">
        <v>809</v>
      </c>
      <c r="B52">
        <v>78</v>
      </c>
      <c r="C52" t="s">
        <v>33</v>
      </c>
      <c r="D52">
        <v>3</v>
      </c>
      <c r="F52">
        <v>3</v>
      </c>
      <c r="G52" t="s">
        <v>34</v>
      </c>
      <c r="H52" t="s">
        <v>66</v>
      </c>
      <c r="I52" t="s">
        <v>131</v>
      </c>
      <c r="J52" t="s">
        <v>133</v>
      </c>
      <c r="K52" t="s">
        <v>56</v>
      </c>
      <c r="L52">
        <v>3</v>
      </c>
      <c r="N52">
        <v>3</v>
      </c>
      <c r="O52" t="s">
        <v>57</v>
      </c>
      <c r="P52" t="s">
        <v>69</v>
      </c>
      <c r="Q52" t="s">
        <v>123</v>
      </c>
      <c r="R52" t="s">
        <v>125</v>
      </c>
      <c r="S52" t="s">
        <v>63</v>
      </c>
      <c r="T52">
        <v>2</v>
      </c>
      <c r="V52">
        <v>3</v>
      </c>
      <c r="W52" t="s">
        <v>145</v>
      </c>
      <c r="X52" t="s">
        <v>146</v>
      </c>
      <c r="Y52" t="s">
        <v>104</v>
      </c>
      <c r="Z52" t="s">
        <v>151</v>
      </c>
      <c r="AA52" t="s">
        <v>38</v>
      </c>
      <c r="AB52">
        <v>2</v>
      </c>
      <c r="AC52">
        <v>3</v>
      </c>
      <c r="AD52">
        <v>3</v>
      </c>
      <c r="AE52" t="s">
        <v>39</v>
      </c>
      <c r="AF52" t="s">
        <v>96</v>
      </c>
      <c r="AG52" t="s">
        <v>153</v>
      </c>
      <c r="AH52" t="s">
        <v>156</v>
      </c>
      <c r="AI52">
        <v>0</v>
      </c>
      <c r="AJ52">
        <v>35</v>
      </c>
    </row>
    <row r="53" spans="1:36" x14ac:dyDescent="0.25">
      <c r="A53" t="s">
        <v>810</v>
      </c>
      <c r="B53">
        <v>81</v>
      </c>
      <c r="C53" t="s">
        <v>45</v>
      </c>
      <c r="D53">
        <v>3</v>
      </c>
      <c r="F53">
        <v>3</v>
      </c>
      <c r="G53" t="s">
        <v>86</v>
      </c>
      <c r="H53" t="s">
        <v>76</v>
      </c>
      <c r="I53" t="s">
        <v>102</v>
      </c>
      <c r="J53" t="s">
        <v>143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88</v>
      </c>
      <c r="S53" t="s">
        <v>43</v>
      </c>
      <c r="T53">
        <v>3</v>
      </c>
      <c r="V53">
        <v>3</v>
      </c>
      <c r="W53" t="s">
        <v>73</v>
      </c>
      <c r="X53" t="s">
        <v>136</v>
      </c>
      <c r="Y53" t="s">
        <v>100</v>
      </c>
      <c r="Z53" t="s">
        <v>139</v>
      </c>
      <c r="AA53" t="s">
        <v>63</v>
      </c>
      <c r="AB53">
        <v>3</v>
      </c>
      <c r="AD53">
        <v>3</v>
      </c>
      <c r="AE53" t="s">
        <v>145</v>
      </c>
      <c r="AF53" t="s">
        <v>146</v>
      </c>
      <c r="AG53" t="s">
        <v>148</v>
      </c>
      <c r="AH53" t="s">
        <v>150</v>
      </c>
      <c r="AI53">
        <v>0</v>
      </c>
      <c r="AJ53">
        <v>40</v>
      </c>
    </row>
    <row r="54" spans="1:36" x14ac:dyDescent="0.25">
      <c r="A54" t="s">
        <v>811</v>
      </c>
      <c r="B54">
        <v>82</v>
      </c>
      <c r="C54" t="s">
        <v>43</v>
      </c>
      <c r="D54">
        <v>3</v>
      </c>
      <c r="F54">
        <v>3</v>
      </c>
      <c r="G54" t="s">
        <v>73</v>
      </c>
      <c r="H54" t="s">
        <v>136</v>
      </c>
      <c r="I54" t="s">
        <v>100</v>
      </c>
      <c r="J54" t="s">
        <v>138</v>
      </c>
      <c r="K54" t="s">
        <v>56</v>
      </c>
      <c r="L54">
        <v>3</v>
      </c>
      <c r="N54">
        <v>3</v>
      </c>
      <c r="O54" t="s">
        <v>120</v>
      </c>
      <c r="P54" t="s">
        <v>69</v>
      </c>
      <c r="Q54" t="s">
        <v>87</v>
      </c>
      <c r="R54" t="s">
        <v>88</v>
      </c>
      <c r="S54" t="s">
        <v>45</v>
      </c>
      <c r="T54">
        <v>3</v>
      </c>
      <c r="V54">
        <v>3</v>
      </c>
      <c r="W54" t="s">
        <v>47</v>
      </c>
      <c r="X54" t="s">
        <v>141</v>
      </c>
      <c r="Y54" t="s">
        <v>102</v>
      </c>
      <c r="Z54" t="s">
        <v>144</v>
      </c>
      <c r="AA54" t="s">
        <v>38</v>
      </c>
      <c r="AB54">
        <v>2</v>
      </c>
      <c r="AC54">
        <v>3</v>
      </c>
      <c r="AD54">
        <v>3</v>
      </c>
      <c r="AE54" t="s">
        <v>39</v>
      </c>
      <c r="AF54" t="s">
        <v>96</v>
      </c>
      <c r="AG54" t="s">
        <v>153</v>
      </c>
      <c r="AH54" t="s">
        <v>156</v>
      </c>
      <c r="AI54">
        <v>0</v>
      </c>
      <c r="AJ54">
        <v>38</v>
      </c>
    </row>
    <row r="55" spans="1:36" x14ac:dyDescent="0.25">
      <c r="A55" t="s">
        <v>812</v>
      </c>
      <c r="B55">
        <v>84</v>
      </c>
      <c r="C55" t="s">
        <v>38</v>
      </c>
      <c r="D55">
        <v>3</v>
      </c>
      <c r="E55">
        <v>3</v>
      </c>
      <c r="F55">
        <v>3</v>
      </c>
      <c r="G55" t="s">
        <v>39</v>
      </c>
      <c r="H55" t="s">
        <v>40</v>
      </c>
      <c r="I55" t="s">
        <v>153</v>
      </c>
      <c r="J55" t="s">
        <v>156</v>
      </c>
      <c r="K55" t="s">
        <v>56</v>
      </c>
      <c r="L55">
        <v>3</v>
      </c>
      <c r="N55">
        <v>3</v>
      </c>
      <c r="O55" t="s">
        <v>120</v>
      </c>
      <c r="P55" t="s">
        <v>122</v>
      </c>
      <c r="Q55" t="s">
        <v>123</v>
      </c>
      <c r="R55" t="s">
        <v>124</v>
      </c>
      <c r="S55" t="s">
        <v>43</v>
      </c>
      <c r="T55">
        <v>3</v>
      </c>
      <c r="V55">
        <v>3</v>
      </c>
      <c r="W55" t="s">
        <v>73</v>
      </c>
      <c r="X55" t="s">
        <v>74</v>
      </c>
      <c r="Y55" t="s">
        <v>100</v>
      </c>
      <c r="Z55" t="s">
        <v>139</v>
      </c>
      <c r="AA55" t="s">
        <v>63</v>
      </c>
      <c r="AB55">
        <v>3</v>
      </c>
      <c r="AD55">
        <v>3</v>
      </c>
      <c r="AE55" t="s">
        <v>145</v>
      </c>
      <c r="AF55" t="s">
        <v>146</v>
      </c>
      <c r="AG55" t="s">
        <v>148</v>
      </c>
      <c r="AH55" t="s">
        <v>151</v>
      </c>
      <c r="AI55">
        <v>0</v>
      </c>
      <c r="AJ55">
        <v>54</v>
      </c>
    </row>
    <row r="56" spans="1:36" x14ac:dyDescent="0.25">
      <c r="A56" t="s">
        <v>813</v>
      </c>
      <c r="B56">
        <v>87</v>
      </c>
      <c r="C56" t="s">
        <v>45</v>
      </c>
      <c r="D56">
        <v>2</v>
      </c>
      <c r="F56">
        <v>1</v>
      </c>
      <c r="G56" t="s">
        <v>86</v>
      </c>
      <c r="H56" t="s">
        <v>141</v>
      </c>
      <c r="I56" t="s">
        <v>93</v>
      </c>
      <c r="K56" t="s">
        <v>56</v>
      </c>
      <c r="L56">
        <v>3</v>
      </c>
      <c r="N56">
        <v>3</v>
      </c>
      <c r="O56" t="s">
        <v>120</v>
      </c>
      <c r="P56" t="s">
        <v>69</v>
      </c>
      <c r="Q56" t="s">
        <v>123</v>
      </c>
      <c r="R56" t="s">
        <v>125</v>
      </c>
      <c r="S56" t="s">
        <v>63</v>
      </c>
      <c r="T56">
        <v>3</v>
      </c>
      <c r="V56">
        <v>3</v>
      </c>
      <c r="W56" t="s">
        <v>103</v>
      </c>
      <c r="X56" t="s">
        <v>146</v>
      </c>
      <c r="Y56" t="s">
        <v>148</v>
      </c>
      <c r="Z56" t="s">
        <v>151</v>
      </c>
      <c r="AA56" t="s">
        <v>38</v>
      </c>
      <c r="AB56">
        <v>3</v>
      </c>
      <c r="AC56">
        <v>3</v>
      </c>
      <c r="AD56">
        <v>3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46</v>
      </c>
    </row>
    <row r="57" spans="1:36" x14ac:dyDescent="0.25">
      <c r="A57" t="s">
        <v>814</v>
      </c>
      <c r="B57">
        <v>91</v>
      </c>
      <c r="C57" t="s">
        <v>45</v>
      </c>
      <c r="D57">
        <v>3</v>
      </c>
      <c r="F57">
        <v>2</v>
      </c>
      <c r="G57" t="s">
        <v>86</v>
      </c>
      <c r="H57" t="s">
        <v>141</v>
      </c>
      <c r="I57" t="s">
        <v>142</v>
      </c>
      <c r="J57" t="s">
        <v>144</v>
      </c>
      <c r="K57" t="s">
        <v>48</v>
      </c>
      <c r="L57">
        <v>1</v>
      </c>
      <c r="N57">
        <v>1</v>
      </c>
      <c r="O57" t="s">
        <v>126</v>
      </c>
      <c r="P57" t="s">
        <v>84</v>
      </c>
      <c r="Q57" t="s">
        <v>90</v>
      </c>
      <c r="S57" t="s">
        <v>33</v>
      </c>
      <c r="T57">
        <v>1</v>
      </c>
      <c r="V57">
        <v>2</v>
      </c>
      <c r="W57" t="s">
        <v>34</v>
      </c>
      <c r="X57" t="s">
        <v>130</v>
      </c>
      <c r="Y57" t="s">
        <v>131</v>
      </c>
      <c r="Z57" t="s">
        <v>37</v>
      </c>
      <c r="AA57" t="s">
        <v>43</v>
      </c>
      <c r="AB57">
        <v>3</v>
      </c>
      <c r="AD57">
        <v>3</v>
      </c>
      <c r="AE57" t="s">
        <v>135</v>
      </c>
      <c r="AF57" t="s">
        <v>136</v>
      </c>
      <c r="AG57" t="s">
        <v>100</v>
      </c>
      <c r="AI57">
        <v>0</v>
      </c>
      <c r="AJ57">
        <v>23</v>
      </c>
    </row>
    <row r="58" spans="1:36" x14ac:dyDescent="0.25">
      <c r="A58" t="s">
        <v>815</v>
      </c>
      <c r="B58">
        <v>92</v>
      </c>
      <c r="C58" t="s">
        <v>63</v>
      </c>
      <c r="D58">
        <v>3</v>
      </c>
      <c r="F58">
        <v>3</v>
      </c>
      <c r="G58" t="s">
        <v>145</v>
      </c>
      <c r="H58" t="s">
        <v>146</v>
      </c>
      <c r="I58" t="s">
        <v>148</v>
      </c>
      <c r="J58" t="s">
        <v>149</v>
      </c>
      <c r="K58" t="s">
        <v>48</v>
      </c>
      <c r="L58">
        <v>3</v>
      </c>
      <c r="N58">
        <v>3</v>
      </c>
      <c r="O58" t="s">
        <v>126</v>
      </c>
      <c r="P58" t="s">
        <v>84</v>
      </c>
      <c r="Q58" t="s">
        <v>127</v>
      </c>
      <c r="R58" t="s">
        <v>128</v>
      </c>
      <c r="S58" t="s">
        <v>33</v>
      </c>
      <c r="T58">
        <v>3</v>
      </c>
      <c r="V58">
        <v>2</v>
      </c>
      <c r="W58" t="s">
        <v>34</v>
      </c>
      <c r="X58" t="s">
        <v>130</v>
      </c>
      <c r="Y58" t="s">
        <v>131</v>
      </c>
      <c r="Z58" t="s">
        <v>37</v>
      </c>
      <c r="AA58" t="s">
        <v>43</v>
      </c>
      <c r="AB58">
        <v>3</v>
      </c>
      <c r="AD58">
        <v>3</v>
      </c>
      <c r="AE58" t="s">
        <v>135</v>
      </c>
      <c r="AF58" t="s">
        <v>136</v>
      </c>
      <c r="AG58" t="s">
        <v>100</v>
      </c>
      <c r="AH58" t="s">
        <v>139</v>
      </c>
      <c r="AI58">
        <v>0</v>
      </c>
      <c r="AJ58">
        <v>48</v>
      </c>
    </row>
    <row r="59" spans="1:36" x14ac:dyDescent="0.25">
      <c r="A59" t="s">
        <v>816</v>
      </c>
      <c r="B59">
        <v>93</v>
      </c>
      <c r="C59" t="s">
        <v>38</v>
      </c>
      <c r="D59">
        <v>3</v>
      </c>
      <c r="E59">
        <v>3</v>
      </c>
      <c r="F59">
        <v>3</v>
      </c>
      <c r="G59" t="s">
        <v>39</v>
      </c>
      <c r="H59" t="s">
        <v>40</v>
      </c>
      <c r="I59" t="s">
        <v>153</v>
      </c>
      <c r="J59" t="s">
        <v>156</v>
      </c>
      <c r="K59" t="s">
        <v>48</v>
      </c>
      <c r="L59">
        <v>3</v>
      </c>
      <c r="N59">
        <v>3</v>
      </c>
      <c r="O59" t="s">
        <v>126</v>
      </c>
      <c r="P59" t="s">
        <v>84</v>
      </c>
      <c r="Q59" t="s">
        <v>90</v>
      </c>
      <c r="R59" t="s">
        <v>52</v>
      </c>
      <c r="S59" t="s">
        <v>33</v>
      </c>
      <c r="T59">
        <v>3</v>
      </c>
      <c r="V59">
        <v>3</v>
      </c>
      <c r="W59" t="s">
        <v>34</v>
      </c>
      <c r="X59" t="s">
        <v>130</v>
      </c>
      <c r="Y59" t="s">
        <v>36</v>
      </c>
      <c r="Z59" t="s">
        <v>133</v>
      </c>
      <c r="AA59" t="s">
        <v>43</v>
      </c>
      <c r="AB59">
        <v>2</v>
      </c>
      <c r="AD59">
        <v>2</v>
      </c>
      <c r="AE59" t="s">
        <v>73</v>
      </c>
      <c r="AF59" t="s">
        <v>136</v>
      </c>
      <c r="AG59" t="s">
        <v>100</v>
      </c>
      <c r="AH59" t="s">
        <v>138</v>
      </c>
      <c r="AI59">
        <v>0</v>
      </c>
      <c r="AJ59">
        <v>50</v>
      </c>
    </row>
    <row r="60" spans="1:36" x14ac:dyDescent="0.25">
      <c r="A60" t="s">
        <v>817</v>
      </c>
      <c r="B60">
        <v>95</v>
      </c>
      <c r="C60" t="s">
        <v>45</v>
      </c>
      <c r="D60">
        <v>3</v>
      </c>
      <c r="F60">
        <v>1</v>
      </c>
      <c r="G60" t="s">
        <v>86</v>
      </c>
      <c r="H60" t="s">
        <v>141</v>
      </c>
      <c r="I60" t="s">
        <v>102</v>
      </c>
      <c r="J60" t="s">
        <v>94</v>
      </c>
      <c r="K60" t="s">
        <v>48</v>
      </c>
      <c r="L60">
        <v>2</v>
      </c>
      <c r="N60">
        <v>1</v>
      </c>
      <c r="O60" t="s">
        <v>126</v>
      </c>
      <c r="P60" t="s">
        <v>84</v>
      </c>
      <c r="Q60" t="s">
        <v>127</v>
      </c>
      <c r="R60" t="s">
        <v>52</v>
      </c>
      <c r="S60" t="s">
        <v>33</v>
      </c>
      <c r="T60">
        <v>1</v>
      </c>
      <c r="V60">
        <v>2</v>
      </c>
      <c r="W60" t="s">
        <v>34</v>
      </c>
      <c r="X60" t="s">
        <v>130</v>
      </c>
      <c r="Y60" t="s">
        <v>131</v>
      </c>
      <c r="AA60" t="s">
        <v>63</v>
      </c>
      <c r="AB60">
        <v>1</v>
      </c>
      <c r="AD60">
        <v>1</v>
      </c>
      <c r="AE60" t="s">
        <v>145</v>
      </c>
      <c r="AF60" t="s">
        <v>91</v>
      </c>
      <c r="AG60" t="s">
        <v>148</v>
      </c>
      <c r="AH60" t="s">
        <v>151</v>
      </c>
      <c r="AI60">
        <v>0</v>
      </c>
      <c r="AJ60">
        <v>19</v>
      </c>
    </row>
    <row r="61" spans="1:36" x14ac:dyDescent="0.25">
      <c r="A61" t="s">
        <v>818</v>
      </c>
      <c r="B61">
        <v>96</v>
      </c>
      <c r="C61" t="s">
        <v>45</v>
      </c>
      <c r="D61">
        <v>3</v>
      </c>
      <c r="F61">
        <v>3</v>
      </c>
      <c r="G61" t="s">
        <v>47</v>
      </c>
      <c r="H61" t="s">
        <v>141</v>
      </c>
      <c r="I61" t="s">
        <v>142</v>
      </c>
      <c r="J61" t="s">
        <v>144</v>
      </c>
      <c r="K61" t="s">
        <v>48</v>
      </c>
      <c r="L61">
        <v>2</v>
      </c>
      <c r="N61">
        <v>3</v>
      </c>
      <c r="O61" t="s">
        <v>126</v>
      </c>
      <c r="P61" t="s">
        <v>84</v>
      </c>
      <c r="Q61" t="s">
        <v>127</v>
      </c>
      <c r="R61" t="s">
        <v>128</v>
      </c>
      <c r="S61" t="s">
        <v>33</v>
      </c>
      <c r="T61">
        <v>1</v>
      </c>
      <c r="V61">
        <v>3</v>
      </c>
      <c r="W61" t="s">
        <v>34</v>
      </c>
      <c r="X61" t="s">
        <v>130</v>
      </c>
      <c r="Y61" t="s">
        <v>132</v>
      </c>
      <c r="Z61" t="s">
        <v>133</v>
      </c>
      <c r="AA61" t="s">
        <v>38</v>
      </c>
      <c r="AB61">
        <v>3</v>
      </c>
      <c r="AC61">
        <v>3</v>
      </c>
      <c r="AD61">
        <v>2</v>
      </c>
      <c r="AE61" t="s">
        <v>39</v>
      </c>
      <c r="AF61" t="s">
        <v>40</v>
      </c>
      <c r="AG61" t="s">
        <v>154</v>
      </c>
      <c r="AH61" t="s">
        <v>156</v>
      </c>
      <c r="AI61">
        <v>0</v>
      </c>
      <c r="AJ61">
        <v>31</v>
      </c>
    </row>
    <row r="62" spans="1:36" x14ac:dyDescent="0.25">
      <c r="A62" t="s">
        <v>819</v>
      </c>
      <c r="B62">
        <v>98</v>
      </c>
      <c r="C62" t="s">
        <v>33</v>
      </c>
      <c r="D62">
        <v>3</v>
      </c>
      <c r="F62">
        <v>3</v>
      </c>
      <c r="G62" t="s">
        <v>34</v>
      </c>
      <c r="H62" t="s">
        <v>66</v>
      </c>
      <c r="I62" t="s">
        <v>132</v>
      </c>
      <c r="J62" t="s">
        <v>133</v>
      </c>
      <c r="K62" t="s">
        <v>48</v>
      </c>
      <c r="L62">
        <v>1</v>
      </c>
      <c r="N62">
        <v>1</v>
      </c>
      <c r="O62" t="s">
        <v>126</v>
      </c>
      <c r="P62" t="s">
        <v>84</v>
      </c>
      <c r="S62" t="s">
        <v>63</v>
      </c>
      <c r="T62">
        <v>1</v>
      </c>
      <c r="V62">
        <v>2</v>
      </c>
      <c r="W62" t="s">
        <v>145</v>
      </c>
      <c r="X62" t="s">
        <v>91</v>
      </c>
      <c r="Y62" t="s">
        <v>104</v>
      </c>
      <c r="Z62" t="s">
        <v>150</v>
      </c>
      <c r="AA62" t="s">
        <v>38</v>
      </c>
      <c r="AB62">
        <v>3</v>
      </c>
      <c r="AC62">
        <v>3</v>
      </c>
      <c r="AD62">
        <v>2</v>
      </c>
      <c r="AE62" t="s">
        <v>39</v>
      </c>
      <c r="AF62" t="s">
        <v>40</v>
      </c>
      <c r="AG62" t="s">
        <v>153</v>
      </c>
      <c r="AH62" t="s">
        <v>156</v>
      </c>
      <c r="AI62">
        <v>0</v>
      </c>
      <c r="AJ62">
        <v>25</v>
      </c>
    </row>
    <row r="63" spans="1:36" x14ac:dyDescent="0.25">
      <c r="A63" t="s">
        <v>820</v>
      </c>
      <c r="B63">
        <v>101</v>
      </c>
      <c r="C63" t="s">
        <v>45</v>
      </c>
      <c r="D63">
        <v>3</v>
      </c>
      <c r="F63">
        <v>2</v>
      </c>
      <c r="G63" t="s">
        <v>86</v>
      </c>
      <c r="H63" t="s">
        <v>141</v>
      </c>
      <c r="I63" t="s">
        <v>102</v>
      </c>
      <c r="J63" t="s">
        <v>144</v>
      </c>
      <c r="K63" t="s">
        <v>48</v>
      </c>
      <c r="L63">
        <v>1</v>
      </c>
      <c r="N63">
        <v>1</v>
      </c>
      <c r="O63" t="s">
        <v>126</v>
      </c>
      <c r="P63" t="s">
        <v>84</v>
      </c>
      <c r="Q63" t="s">
        <v>90</v>
      </c>
      <c r="S63" t="s">
        <v>43</v>
      </c>
      <c r="T63">
        <v>2</v>
      </c>
      <c r="V63">
        <v>2</v>
      </c>
      <c r="W63" t="s">
        <v>73</v>
      </c>
      <c r="X63" t="s">
        <v>136</v>
      </c>
      <c r="Y63" t="s">
        <v>100</v>
      </c>
      <c r="Z63" t="s">
        <v>139</v>
      </c>
      <c r="AA63" t="s">
        <v>63</v>
      </c>
      <c r="AB63">
        <v>3</v>
      </c>
      <c r="AD63">
        <v>3</v>
      </c>
      <c r="AE63" t="s">
        <v>145</v>
      </c>
      <c r="AF63" t="s">
        <v>91</v>
      </c>
      <c r="AG63" t="s">
        <v>148</v>
      </c>
      <c r="AH63" t="s">
        <v>151</v>
      </c>
      <c r="AI63">
        <v>0</v>
      </c>
      <c r="AJ63">
        <v>25</v>
      </c>
    </row>
    <row r="64" spans="1:36" x14ac:dyDescent="0.25">
      <c r="A64" t="s">
        <v>821</v>
      </c>
      <c r="B64">
        <v>102</v>
      </c>
      <c r="C64" t="s">
        <v>45</v>
      </c>
      <c r="D64">
        <v>3</v>
      </c>
      <c r="F64">
        <v>3</v>
      </c>
      <c r="G64" t="s">
        <v>86</v>
      </c>
      <c r="H64" t="s">
        <v>141</v>
      </c>
      <c r="I64" t="s">
        <v>102</v>
      </c>
      <c r="J64" t="s">
        <v>144</v>
      </c>
      <c r="K64" t="s">
        <v>48</v>
      </c>
      <c r="L64">
        <v>1</v>
      </c>
      <c r="N64">
        <v>1</v>
      </c>
      <c r="O64" t="s">
        <v>126</v>
      </c>
      <c r="P64" t="s">
        <v>84</v>
      </c>
      <c r="S64" t="s">
        <v>43</v>
      </c>
      <c r="T64">
        <v>3</v>
      </c>
      <c r="V64">
        <v>3</v>
      </c>
      <c r="W64" t="s">
        <v>73</v>
      </c>
      <c r="X64" t="s">
        <v>74</v>
      </c>
      <c r="Y64" t="s">
        <v>100</v>
      </c>
      <c r="Z64" t="s">
        <v>139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153</v>
      </c>
      <c r="AH64" t="s">
        <v>156</v>
      </c>
      <c r="AI64">
        <v>0</v>
      </c>
      <c r="AJ64">
        <v>38</v>
      </c>
    </row>
    <row r="65" spans="1:36" x14ac:dyDescent="0.25">
      <c r="A65" t="s">
        <v>822</v>
      </c>
      <c r="B65">
        <v>104</v>
      </c>
      <c r="C65" t="s">
        <v>43</v>
      </c>
      <c r="D65">
        <v>3</v>
      </c>
      <c r="F65">
        <v>3</v>
      </c>
      <c r="G65" t="s">
        <v>73</v>
      </c>
      <c r="H65" t="s">
        <v>99</v>
      </c>
      <c r="I65" t="s">
        <v>75</v>
      </c>
      <c r="J65" t="s">
        <v>139</v>
      </c>
      <c r="K65" t="s">
        <v>48</v>
      </c>
      <c r="L65">
        <v>3</v>
      </c>
      <c r="N65">
        <v>3</v>
      </c>
      <c r="O65" t="s">
        <v>126</v>
      </c>
      <c r="P65" t="s">
        <v>84</v>
      </c>
      <c r="Q65" t="s">
        <v>127</v>
      </c>
      <c r="R65" t="s">
        <v>52</v>
      </c>
      <c r="S65" t="s">
        <v>63</v>
      </c>
      <c r="T65">
        <v>1</v>
      </c>
      <c r="V65">
        <v>1</v>
      </c>
      <c r="W65" t="s">
        <v>145</v>
      </c>
      <c r="X65" t="s">
        <v>91</v>
      </c>
      <c r="Y65" t="s">
        <v>148</v>
      </c>
      <c r="Z65" t="s">
        <v>151</v>
      </c>
      <c r="AA65" t="s">
        <v>38</v>
      </c>
      <c r="AB65">
        <v>3</v>
      </c>
      <c r="AC65">
        <v>3</v>
      </c>
      <c r="AD65">
        <v>3</v>
      </c>
      <c r="AE65" t="s">
        <v>39</v>
      </c>
      <c r="AF65" t="s">
        <v>40</v>
      </c>
      <c r="AG65" t="s">
        <v>41</v>
      </c>
      <c r="AH65" t="s">
        <v>156</v>
      </c>
      <c r="AI65">
        <v>0</v>
      </c>
      <c r="AJ65">
        <v>33</v>
      </c>
    </row>
    <row r="66" spans="1:36" x14ac:dyDescent="0.25">
      <c r="A66" t="s">
        <v>823</v>
      </c>
      <c r="B66">
        <v>107</v>
      </c>
      <c r="C66" t="s">
        <v>48</v>
      </c>
      <c r="D66">
        <v>3</v>
      </c>
      <c r="F66">
        <v>3</v>
      </c>
      <c r="G66" t="s">
        <v>126</v>
      </c>
      <c r="H66" t="s">
        <v>84</v>
      </c>
      <c r="I66" t="s">
        <v>127</v>
      </c>
      <c r="J66" t="s">
        <v>128</v>
      </c>
      <c r="K66" t="s">
        <v>45</v>
      </c>
      <c r="L66">
        <v>3</v>
      </c>
      <c r="N66">
        <v>3</v>
      </c>
      <c r="O66" t="s">
        <v>86</v>
      </c>
      <c r="P66" t="s">
        <v>141</v>
      </c>
      <c r="Q66" t="s">
        <v>102</v>
      </c>
      <c r="R66" t="s">
        <v>144</v>
      </c>
      <c r="S66" t="s">
        <v>63</v>
      </c>
      <c r="T66">
        <v>3</v>
      </c>
      <c r="V66">
        <v>3</v>
      </c>
      <c r="W66" t="s">
        <v>145</v>
      </c>
      <c r="X66" t="s">
        <v>91</v>
      </c>
      <c r="Y66" t="s">
        <v>148</v>
      </c>
      <c r="Z66" t="s">
        <v>151</v>
      </c>
      <c r="AA66" t="s">
        <v>38</v>
      </c>
      <c r="AB66">
        <v>3</v>
      </c>
      <c r="AC66">
        <v>3</v>
      </c>
      <c r="AD66">
        <v>3</v>
      </c>
      <c r="AE66" t="s">
        <v>39</v>
      </c>
      <c r="AF66" t="s">
        <v>96</v>
      </c>
      <c r="AG66" t="s">
        <v>153</v>
      </c>
      <c r="AH66" t="s">
        <v>42</v>
      </c>
      <c r="AI66">
        <v>0</v>
      </c>
      <c r="AJ66">
        <v>40</v>
      </c>
    </row>
    <row r="67" spans="1:36" x14ac:dyDescent="0.25">
      <c r="A67" t="s">
        <v>824</v>
      </c>
      <c r="B67">
        <v>111</v>
      </c>
      <c r="C67" t="s">
        <v>63</v>
      </c>
      <c r="D67">
        <v>3</v>
      </c>
      <c r="F67">
        <v>3</v>
      </c>
      <c r="G67" t="s">
        <v>145</v>
      </c>
      <c r="H67" t="s">
        <v>146</v>
      </c>
      <c r="I67" t="s">
        <v>104</v>
      </c>
      <c r="J67" t="s">
        <v>150</v>
      </c>
      <c r="K67" t="s">
        <v>33</v>
      </c>
      <c r="L67">
        <v>2</v>
      </c>
      <c r="N67">
        <v>3</v>
      </c>
      <c r="O67" t="s">
        <v>34</v>
      </c>
      <c r="P67" t="s">
        <v>66</v>
      </c>
      <c r="Q67" t="s">
        <v>131</v>
      </c>
      <c r="R67" t="s">
        <v>37</v>
      </c>
      <c r="S67" t="s">
        <v>43</v>
      </c>
      <c r="T67">
        <v>3</v>
      </c>
      <c r="V67">
        <v>1</v>
      </c>
      <c r="W67" t="s">
        <v>135</v>
      </c>
      <c r="X67" t="s">
        <v>136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142</v>
      </c>
      <c r="AH67" t="s">
        <v>143</v>
      </c>
      <c r="AI67">
        <v>0</v>
      </c>
      <c r="AJ67">
        <v>34</v>
      </c>
    </row>
    <row r="68" spans="1:36" x14ac:dyDescent="0.25">
      <c r="A68" t="s">
        <v>825</v>
      </c>
      <c r="B68">
        <v>112</v>
      </c>
      <c r="C68" t="s">
        <v>45</v>
      </c>
      <c r="D68">
        <v>3</v>
      </c>
      <c r="F68">
        <v>1</v>
      </c>
      <c r="G68" t="s">
        <v>86</v>
      </c>
      <c r="H68" t="s">
        <v>141</v>
      </c>
      <c r="K68" t="s">
        <v>33</v>
      </c>
      <c r="L68">
        <v>1</v>
      </c>
      <c r="N68">
        <v>3</v>
      </c>
      <c r="O68" t="s">
        <v>34</v>
      </c>
      <c r="P68" t="s">
        <v>66</v>
      </c>
      <c r="S68" t="s">
        <v>43</v>
      </c>
      <c r="T68">
        <v>2</v>
      </c>
      <c r="V68">
        <v>1</v>
      </c>
      <c r="W68" t="s">
        <v>135</v>
      </c>
      <c r="X68" t="s">
        <v>136</v>
      </c>
      <c r="AA68" t="s">
        <v>38</v>
      </c>
      <c r="AB68">
        <v>1</v>
      </c>
      <c r="AC68">
        <v>1</v>
      </c>
      <c r="AD68">
        <v>3</v>
      </c>
      <c r="AE68" t="s">
        <v>39</v>
      </c>
      <c r="AI68">
        <v>0</v>
      </c>
      <c r="AJ68">
        <v>16</v>
      </c>
    </row>
    <row r="69" spans="1:36" x14ac:dyDescent="0.25">
      <c r="A69" t="s">
        <v>826</v>
      </c>
      <c r="B69">
        <v>114</v>
      </c>
      <c r="C69" t="s">
        <v>63</v>
      </c>
      <c r="D69">
        <v>3</v>
      </c>
      <c r="F69">
        <v>2</v>
      </c>
      <c r="G69" t="s">
        <v>145</v>
      </c>
      <c r="H69" t="s">
        <v>146</v>
      </c>
      <c r="I69" t="s">
        <v>104</v>
      </c>
      <c r="J69" t="s">
        <v>150</v>
      </c>
      <c r="K69" t="s">
        <v>33</v>
      </c>
      <c r="L69">
        <v>3</v>
      </c>
      <c r="N69">
        <v>2</v>
      </c>
      <c r="O69" t="s">
        <v>34</v>
      </c>
      <c r="P69" t="s">
        <v>66</v>
      </c>
      <c r="S69" t="s">
        <v>43</v>
      </c>
      <c r="T69">
        <v>3</v>
      </c>
      <c r="V69">
        <v>2</v>
      </c>
      <c r="W69" t="s">
        <v>135</v>
      </c>
      <c r="X69" t="s">
        <v>136</v>
      </c>
      <c r="Y69" t="s">
        <v>137</v>
      </c>
      <c r="Z69" t="s">
        <v>139</v>
      </c>
      <c r="AA69" t="s">
        <v>38</v>
      </c>
      <c r="AB69">
        <v>1</v>
      </c>
      <c r="AC69">
        <v>3</v>
      </c>
      <c r="AD69">
        <v>2</v>
      </c>
      <c r="AE69" t="s">
        <v>39</v>
      </c>
      <c r="AF69" t="s">
        <v>96</v>
      </c>
      <c r="AI69">
        <v>0</v>
      </c>
      <c r="AJ69">
        <v>26</v>
      </c>
    </row>
    <row r="70" spans="1:36" x14ac:dyDescent="0.25">
      <c r="A70" t="s">
        <v>827</v>
      </c>
      <c r="B70">
        <v>117</v>
      </c>
      <c r="C70" t="s">
        <v>33</v>
      </c>
      <c r="D70">
        <v>3</v>
      </c>
      <c r="F70">
        <v>3</v>
      </c>
      <c r="G70" t="s">
        <v>34</v>
      </c>
      <c r="H70" t="s">
        <v>66</v>
      </c>
      <c r="I70" t="s">
        <v>132</v>
      </c>
      <c r="K70" t="s">
        <v>45</v>
      </c>
      <c r="L70">
        <v>3</v>
      </c>
      <c r="N70">
        <v>1</v>
      </c>
      <c r="O70" t="s">
        <v>86</v>
      </c>
      <c r="P70" t="s">
        <v>141</v>
      </c>
      <c r="S70" t="s">
        <v>63</v>
      </c>
      <c r="T70">
        <v>2</v>
      </c>
      <c r="V70">
        <v>3</v>
      </c>
      <c r="W70" t="s">
        <v>145</v>
      </c>
      <c r="X70" t="s">
        <v>146</v>
      </c>
      <c r="Y70" t="s">
        <v>104</v>
      </c>
      <c r="AA70" t="s">
        <v>38</v>
      </c>
      <c r="AB70">
        <v>1</v>
      </c>
      <c r="AC70">
        <v>1</v>
      </c>
      <c r="AD70">
        <v>2</v>
      </c>
      <c r="AE70" t="s">
        <v>39</v>
      </c>
      <c r="AF70" t="s">
        <v>40</v>
      </c>
      <c r="AI70">
        <v>0</v>
      </c>
      <c r="AJ70">
        <v>20</v>
      </c>
    </row>
    <row r="71" spans="1:36" x14ac:dyDescent="0.25">
      <c r="A71" t="s">
        <v>828</v>
      </c>
      <c r="B71">
        <v>121</v>
      </c>
      <c r="C71" t="s">
        <v>63</v>
      </c>
      <c r="D71">
        <v>3</v>
      </c>
      <c r="F71">
        <v>3</v>
      </c>
      <c r="G71" t="s">
        <v>145</v>
      </c>
      <c r="H71" t="s">
        <v>146</v>
      </c>
      <c r="I71" t="s">
        <v>147</v>
      </c>
      <c r="J71" t="s">
        <v>151</v>
      </c>
      <c r="K71" t="s">
        <v>43</v>
      </c>
      <c r="L71">
        <v>3</v>
      </c>
      <c r="N71">
        <v>3</v>
      </c>
      <c r="O71" t="s">
        <v>73</v>
      </c>
      <c r="P71" t="s">
        <v>136</v>
      </c>
      <c r="Q71" t="s">
        <v>100</v>
      </c>
      <c r="R71" t="s">
        <v>139</v>
      </c>
      <c r="S71" t="s">
        <v>45</v>
      </c>
      <c r="T71">
        <v>3</v>
      </c>
      <c r="V71">
        <v>2</v>
      </c>
      <c r="W71" t="s">
        <v>86</v>
      </c>
      <c r="X71" t="s">
        <v>76</v>
      </c>
      <c r="Y71" t="s">
        <v>93</v>
      </c>
      <c r="Z71" t="s">
        <v>94</v>
      </c>
      <c r="AA71" t="s">
        <v>38</v>
      </c>
      <c r="AB71">
        <v>3</v>
      </c>
      <c r="AC71">
        <v>3</v>
      </c>
      <c r="AD71">
        <v>3</v>
      </c>
      <c r="AE71" t="s">
        <v>39</v>
      </c>
      <c r="AF71" t="s">
        <v>40</v>
      </c>
      <c r="AG71" t="s">
        <v>153</v>
      </c>
      <c r="AH71" t="s">
        <v>156</v>
      </c>
      <c r="AI71">
        <v>0</v>
      </c>
      <c r="AJ71">
        <v>44</v>
      </c>
    </row>
  </sheetData>
  <phoneticPr fontId="3" type="noConversion"/>
  <conditionalFormatting sqref="B121:B1048576 B1 B72:B93">
    <cfRule type="duplicateValues" dxfId="7" priority="8"/>
  </conditionalFormatting>
  <conditionalFormatting sqref="B72:B1048576 B1">
    <cfRule type="duplicateValues" dxfId="6" priority="7"/>
  </conditionalFormatting>
  <conditionalFormatting sqref="B2:B71">
    <cfRule type="duplicateValues" dxfId="5" priority="3567"/>
  </conditionalFormatting>
  <conditionalFormatting sqref="A2:B71">
    <cfRule type="duplicateValues" dxfId="4" priority="356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2023-09-17T13:08:16Z</dcterms:modified>
</cp:coreProperties>
</file>