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xl/tables/table316.xml" ContentType="application/vnd.openxmlformats-officedocument.spreadsheetml.table+xml"/>
  <Override PartName="/xl/tables/table317.xml" ContentType="application/vnd.openxmlformats-officedocument.spreadsheetml.table+xml"/>
  <Override PartName="/xl/tables/table318.xml" ContentType="application/vnd.openxmlformats-officedocument.spreadsheetml.table+xml"/>
  <Override PartName="/xl/tables/table319.xml" ContentType="application/vnd.openxmlformats-officedocument.spreadsheetml.table+xml"/>
  <Override PartName="/xl/tables/table320.xml" ContentType="application/vnd.openxmlformats-officedocument.spreadsheetml.table+xml"/>
  <Override PartName="/xl/tables/table321.xml" ContentType="application/vnd.openxmlformats-officedocument.spreadsheetml.table+xml"/>
  <Override PartName="/xl/tables/table322.xml" ContentType="application/vnd.openxmlformats-officedocument.spreadsheetml.table+xml"/>
  <Override PartName="/xl/tables/table323.xml" ContentType="application/vnd.openxmlformats-officedocument.spreadsheetml.table+xml"/>
  <Override PartName="/xl/tables/table324.xml" ContentType="application/vnd.openxmlformats-officedocument.spreadsheetml.table+xml"/>
  <Override PartName="/xl/tables/table325.xml" ContentType="application/vnd.openxmlformats-officedocument.spreadsheetml.table+xml"/>
  <Override PartName="/xl/tables/table326.xml" ContentType="application/vnd.openxmlformats-officedocument.spreadsheetml.table+xml"/>
  <Override PartName="/xl/tables/table327.xml" ContentType="application/vnd.openxmlformats-officedocument.spreadsheetml.table+xml"/>
  <Override PartName="/xl/tables/table328.xml" ContentType="application/vnd.openxmlformats-officedocument.spreadsheetml.table+xml"/>
  <Override PartName="/xl/tables/table329.xml" ContentType="application/vnd.openxmlformats-officedocument.spreadsheetml.table+xml"/>
  <Override PartName="/xl/tables/table330.xml" ContentType="application/vnd.openxmlformats-officedocument.spreadsheetml.table+xml"/>
  <Override PartName="/xl/tables/table331.xml" ContentType="application/vnd.openxmlformats-officedocument.spreadsheetml.table+xml"/>
  <Override PartName="/xl/tables/table332.xml" ContentType="application/vnd.openxmlformats-officedocument.spreadsheetml.table+xml"/>
  <Override PartName="/xl/tables/table333.xml" ContentType="application/vnd.openxmlformats-officedocument.spreadsheetml.table+xml"/>
  <Override PartName="/xl/tables/table334.xml" ContentType="application/vnd.openxmlformats-officedocument.spreadsheetml.table+xml"/>
  <Override PartName="/xl/tables/table335.xml" ContentType="application/vnd.openxmlformats-officedocument.spreadsheetml.table+xml"/>
  <Override PartName="/xl/tables/table336.xml" ContentType="application/vnd.openxmlformats-officedocument.spreadsheetml.table+xml"/>
  <Override PartName="/xl/tables/table337.xml" ContentType="application/vnd.openxmlformats-officedocument.spreadsheetml.table+xml"/>
  <Override PartName="/xl/tables/table338.xml" ContentType="application/vnd.openxmlformats-officedocument.spreadsheetml.table+xml"/>
  <Override PartName="/xl/tables/table339.xml" ContentType="application/vnd.openxmlformats-officedocument.spreadsheetml.table+xml"/>
  <Override PartName="/xl/tables/table340.xml" ContentType="application/vnd.openxmlformats-officedocument.spreadsheetml.table+xml"/>
  <Override PartName="/xl/tables/table341.xml" ContentType="application/vnd.openxmlformats-officedocument.spreadsheetml.table+xml"/>
  <Override PartName="/xl/tables/table342.xml" ContentType="application/vnd.openxmlformats-officedocument.spreadsheetml.table+xml"/>
  <Override PartName="/xl/tables/table34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1DF2D7F0-4719-49F9-AD21-B26CBA9EE45B}" xr6:coauthVersionLast="47" xr6:coauthVersionMax="47" xr10:uidLastSave="{00000000-0000-0000-0000-000000000000}"/>
  <bookViews>
    <workbookView xWindow="-120" yWindow="-120" windowWidth="29040" windowHeight="15840" tabRatio="770" activeTab="12" xr2:uid="{00000000-000D-0000-FFFF-FFFF00000000}"/>
  </bookViews>
  <sheets>
    <sheet name="0" sheetId="1" r:id="rId1"/>
    <sheet name="0-stat" sheetId="2" r:id="rId2"/>
    <sheet name="1" sheetId="13" r:id="rId3"/>
    <sheet name="1-stat" sheetId="12" r:id="rId4"/>
    <sheet name="2" sheetId="14" r:id="rId5"/>
    <sheet name="2-stat" sheetId="15" r:id="rId6"/>
    <sheet name="3" sheetId="23" r:id="rId7"/>
    <sheet name="3-stat" sheetId="24" r:id="rId8"/>
    <sheet name="4" sheetId="25" r:id="rId9"/>
    <sheet name="4-stat" sheetId="26" r:id="rId10"/>
    <sheet name="5" sheetId="27" r:id="rId11"/>
    <sheet name="5-stat" sheetId="28" r:id="rId12"/>
    <sheet name="statistics" sheetId="3" r:id="rId13"/>
    <sheet name="paragon" sheetId="4" r:id="rId14"/>
    <sheet name="highlander" sheetId="16" r:id="rId15"/>
    <sheet name="druid" sheetId="18" r:id="rId16"/>
    <sheet name="oracle" sheetId="17" r:id="rId17"/>
    <sheet name="avatar" sheetId="19" r:id="rId18"/>
    <sheet name="shadow" sheetId="20" r:id="rId19"/>
    <sheet name="lightbringer" sheetId="21" r:id="rId20"/>
    <sheet name="avenger" sheetId="22" r:id="rId21"/>
    <sheet name="navarch" sheetId="2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D2" i="3"/>
  <c r="D3" i="3"/>
  <c r="D4" i="3"/>
  <c r="D5" i="3"/>
  <c r="D6" i="3"/>
  <c r="D7" i="3"/>
  <c r="D8" i="3"/>
  <c r="D9" i="3"/>
  <c r="D10" i="3"/>
  <c r="E2" i="3"/>
  <c r="E3" i="3"/>
  <c r="E4" i="3"/>
  <c r="E5" i="3"/>
  <c r="E6" i="3"/>
  <c r="E7" i="3"/>
  <c r="E8" i="3"/>
  <c r="E9" i="3"/>
  <c r="E10" i="3"/>
  <c r="F2" i="3"/>
  <c r="F3" i="3"/>
  <c r="F4" i="3"/>
  <c r="F5" i="3"/>
  <c r="F6" i="3"/>
  <c r="F7" i="3"/>
  <c r="F8" i="3"/>
  <c r="F9" i="3"/>
  <c r="F10" i="3"/>
  <c r="G2" i="3"/>
  <c r="G3" i="3"/>
  <c r="G4" i="3"/>
  <c r="G5" i="3"/>
  <c r="G6" i="3"/>
  <c r="G7" i="3"/>
  <c r="G8" i="3"/>
  <c r="G9" i="3"/>
  <c r="G10" i="3"/>
  <c r="H2" i="3"/>
  <c r="H3" i="3"/>
  <c r="H4" i="3"/>
  <c r="H5" i="3"/>
  <c r="H6" i="3"/>
  <c r="H7" i="3"/>
  <c r="H8" i="3"/>
  <c r="H9" i="3"/>
  <c r="H10" i="3"/>
  <c r="U108" i="29"/>
  <c r="U109" i="29"/>
  <c r="U110" i="29"/>
  <c r="T108" i="29"/>
  <c r="T109" i="29"/>
  <c r="T110" i="29"/>
  <c r="S108" i="29"/>
  <c r="S109" i="29"/>
  <c r="S110" i="29"/>
  <c r="S87" i="29"/>
  <c r="S88" i="29"/>
  <c r="S89" i="29"/>
  <c r="U66" i="29"/>
  <c r="U67" i="29"/>
  <c r="U68" i="29"/>
  <c r="T66" i="29"/>
  <c r="T67" i="29"/>
  <c r="T68" i="29"/>
  <c r="S66" i="29"/>
  <c r="S67" i="29"/>
  <c r="S68" i="29"/>
  <c r="U45" i="29"/>
  <c r="U46" i="29"/>
  <c r="U47" i="29"/>
  <c r="T45" i="29"/>
  <c r="T46" i="29"/>
  <c r="T47" i="29"/>
  <c r="S45" i="29"/>
  <c r="S46" i="29"/>
  <c r="S47" i="29"/>
  <c r="U24" i="29"/>
  <c r="U25" i="29"/>
  <c r="U26" i="29"/>
  <c r="T24" i="29"/>
  <c r="T25" i="29"/>
  <c r="T26" i="29"/>
  <c r="S24" i="29"/>
  <c r="S25" i="29"/>
  <c r="S26" i="29"/>
  <c r="U3" i="29"/>
  <c r="U4" i="29"/>
  <c r="U5" i="29"/>
  <c r="T3" i="29"/>
  <c r="T4" i="29"/>
  <c r="T5" i="29"/>
  <c r="S3" i="29"/>
  <c r="S4" i="29"/>
  <c r="S5" i="29"/>
  <c r="N125" i="29"/>
  <c r="M125" i="29"/>
  <c r="N124" i="29"/>
  <c r="M124" i="29"/>
  <c r="N123" i="29"/>
  <c r="M123" i="29"/>
  <c r="N120" i="29"/>
  <c r="M120" i="29"/>
  <c r="N119" i="29"/>
  <c r="M119" i="29"/>
  <c r="N118" i="29"/>
  <c r="M118" i="29"/>
  <c r="N115" i="29"/>
  <c r="M115" i="29"/>
  <c r="P115" i="29" s="1"/>
  <c r="N114" i="29"/>
  <c r="M114" i="29"/>
  <c r="N113" i="29"/>
  <c r="M113" i="29"/>
  <c r="N110" i="29"/>
  <c r="M110" i="29"/>
  <c r="N109" i="29"/>
  <c r="M109" i="29"/>
  <c r="N108" i="29"/>
  <c r="M108" i="29"/>
  <c r="N104" i="29"/>
  <c r="M104" i="29"/>
  <c r="P104" i="29" s="1"/>
  <c r="N103" i="29"/>
  <c r="M103" i="29"/>
  <c r="N102" i="29"/>
  <c r="M102" i="29"/>
  <c r="P102" i="29" s="1"/>
  <c r="N99" i="29"/>
  <c r="M99" i="29"/>
  <c r="P99" i="29" s="1"/>
  <c r="N98" i="29"/>
  <c r="M98" i="29"/>
  <c r="N97" i="29"/>
  <c r="M97" i="29"/>
  <c r="N94" i="29"/>
  <c r="M94" i="29"/>
  <c r="P94" i="29" s="1"/>
  <c r="N93" i="29"/>
  <c r="M93" i="29"/>
  <c r="P93" i="29" s="1"/>
  <c r="N92" i="29"/>
  <c r="M92" i="29"/>
  <c r="P92" i="29" s="1"/>
  <c r="U89" i="29"/>
  <c r="T89" i="29"/>
  <c r="N89" i="29"/>
  <c r="M89" i="29"/>
  <c r="P89" i="29" s="1"/>
  <c r="U88" i="29"/>
  <c r="T88" i="29"/>
  <c r="N88" i="29"/>
  <c r="M88" i="29"/>
  <c r="P88" i="29" s="1"/>
  <c r="U87" i="29"/>
  <c r="T87" i="29"/>
  <c r="N87" i="29"/>
  <c r="M87" i="29"/>
  <c r="N83" i="29"/>
  <c r="M83" i="29"/>
  <c r="P83" i="29" s="1"/>
  <c r="N82" i="29"/>
  <c r="M82" i="29"/>
  <c r="P82" i="29" s="1"/>
  <c r="N81" i="29"/>
  <c r="M81" i="29"/>
  <c r="P81" i="29" s="1"/>
  <c r="N78" i="29"/>
  <c r="M78" i="29"/>
  <c r="P78" i="29" s="1"/>
  <c r="N77" i="29"/>
  <c r="M77" i="29"/>
  <c r="P77" i="29" s="1"/>
  <c r="N76" i="29"/>
  <c r="M76" i="29"/>
  <c r="P76" i="29" s="1"/>
  <c r="N73" i="29"/>
  <c r="M73" i="29"/>
  <c r="N72" i="29"/>
  <c r="M72" i="29"/>
  <c r="P72" i="29" s="1"/>
  <c r="N71" i="29"/>
  <c r="M71" i="29"/>
  <c r="P71" i="29" s="1"/>
  <c r="N68" i="29"/>
  <c r="M68" i="29"/>
  <c r="P68" i="29" s="1"/>
  <c r="N67" i="29"/>
  <c r="M67" i="29"/>
  <c r="N66" i="29"/>
  <c r="M66" i="29"/>
  <c r="P66" i="29" s="1"/>
  <c r="N62" i="29"/>
  <c r="M62" i="29"/>
  <c r="P62" i="29" s="1"/>
  <c r="N61" i="29"/>
  <c r="M61" i="29"/>
  <c r="N60" i="29"/>
  <c r="M60" i="29"/>
  <c r="P60" i="29" s="1"/>
  <c r="N57" i="29"/>
  <c r="M57" i="29"/>
  <c r="N56" i="29"/>
  <c r="M56" i="29"/>
  <c r="N55" i="29"/>
  <c r="M55" i="29"/>
  <c r="P55" i="29" s="1"/>
  <c r="N52" i="29"/>
  <c r="M52" i="29"/>
  <c r="N51" i="29"/>
  <c r="M51" i="29"/>
  <c r="P51" i="29" s="1"/>
  <c r="N50" i="29"/>
  <c r="M50" i="29"/>
  <c r="N47" i="29"/>
  <c r="M47" i="29"/>
  <c r="P47" i="29" s="1"/>
  <c r="N46" i="29"/>
  <c r="M46" i="29"/>
  <c r="N45" i="29"/>
  <c r="M45" i="29"/>
  <c r="P45" i="29" s="1"/>
  <c r="N41" i="29"/>
  <c r="M41" i="29"/>
  <c r="N40" i="29"/>
  <c r="M40" i="29"/>
  <c r="N39" i="29"/>
  <c r="M39" i="29"/>
  <c r="N36" i="29"/>
  <c r="M36" i="29"/>
  <c r="N35" i="29"/>
  <c r="M35" i="29"/>
  <c r="N34" i="29"/>
  <c r="M34" i="29"/>
  <c r="N31" i="29"/>
  <c r="M31" i="29"/>
  <c r="N30" i="29"/>
  <c r="M30" i="29"/>
  <c r="N29" i="29"/>
  <c r="M29" i="29"/>
  <c r="N26" i="29"/>
  <c r="M26" i="29"/>
  <c r="O26" i="29" s="1"/>
  <c r="N25" i="29"/>
  <c r="M25" i="29"/>
  <c r="N24" i="29"/>
  <c r="M24" i="29"/>
  <c r="N20" i="29"/>
  <c r="M20" i="29"/>
  <c r="N19" i="29"/>
  <c r="M19" i="29"/>
  <c r="N18" i="29"/>
  <c r="M18" i="29"/>
  <c r="N15" i="29"/>
  <c r="M15" i="29"/>
  <c r="N14" i="29"/>
  <c r="M14" i="29"/>
  <c r="N13" i="29"/>
  <c r="M13" i="29"/>
  <c r="N10" i="29"/>
  <c r="M10" i="29"/>
  <c r="N9" i="29"/>
  <c r="M9" i="29"/>
  <c r="N8" i="29"/>
  <c r="M8" i="29"/>
  <c r="N5" i="29"/>
  <c r="M5" i="29"/>
  <c r="N4" i="29"/>
  <c r="M4" i="29"/>
  <c r="P4" i="29" s="1"/>
  <c r="N3" i="29"/>
  <c r="M3" i="29"/>
  <c r="P3" i="29" s="1"/>
  <c r="B10" i="3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B30" i="24"/>
  <c r="B31" i="24"/>
  <c r="B32" i="24"/>
  <c r="B33" i="24"/>
  <c r="B34" i="24"/>
  <c r="B35" i="24"/>
  <c r="B36" i="24"/>
  <c r="B37" i="24"/>
  <c r="B38" i="24"/>
  <c r="B39" i="24"/>
  <c r="B40" i="24"/>
  <c r="B41" i="24"/>
  <c r="B42" i="24"/>
  <c r="B43" i="24"/>
  <c r="B44" i="24"/>
  <c r="B45" i="24"/>
  <c r="B46" i="24"/>
  <c r="B47" i="24"/>
  <c r="B48" i="24"/>
  <c r="B49" i="24"/>
  <c r="B50" i="24"/>
  <c r="B51" i="24"/>
  <c r="B52" i="24"/>
  <c r="B53" i="24"/>
  <c r="B54" i="24"/>
  <c r="B55" i="24"/>
  <c r="B56" i="24"/>
  <c r="B57" i="24"/>
  <c r="B58" i="24"/>
  <c r="B59" i="24"/>
  <c r="B60" i="24"/>
  <c r="B61" i="24"/>
  <c r="B62" i="24"/>
  <c r="B63" i="24"/>
  <c r="B64" i="24"/>
  <c r="B65" i="24"/>
  <c r="B66" i="24"/>
  <c r="B67" i="24"/>
  <c r="B68" i="24"/>
  <c r="B69" i="24"/>
  <c r="B70" i="24"/>
  <c r="B71" i="24"/>
  <c r="B72" i="24"/>
  <c r="B73" i="24"/>
  <c r="B74" i="24"/>
  <c r="B75" i="24"/>
  <c r="B76" i="24"/>
  <c r="B77" i="24"/>
  <c r="B78" i="24"/>
  <c r="B79" i="24"/>
  <c r="B80" i="24"/>
  <c r="B81" i="24"/>
  <c r="B82" i="24"/>
  <c r="B83" i="24"/>
  <c r="B84" i="24"/>
  <c r="B85" i="24"/>
  <c r="B86" i="24"/>
  <c r="D85" i="24"/>
  <c r="F85" i="24"/>
  <c r="D3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D59" i="26"/>
  <c r="D60" i="26"/>
  <c r="D61" i="26"/>
  <c r="D62" i="26"/>
  <c r="D63" i="26"/>
  <c r="D64" i="26"/>
  <c r="D65" i="26"/>
  <c r="D66" i="26"/>
  <c r="D67" i="26"/>
  <c r="D68" i="26"/>
  <c r="D69" i="26"/>
  <c r="D70" i="26"/>
  <c r="D71" i="26"/>
  <c r="D72" i="26"/>
  <c r="D73" i="26"/>
  <c r="D74" i="26"/>
  <c r="D75" i="26"/>
  <c r="D76" i="26"/>
  <c r="D77" i="26"/>
  <c r="D78" i="26"/>
  <c r="D79" i="26"/>
  <c r="D80" i="26"/>
  <c r="D81" i="26"/>
  <c r="D82" i="26"/>
  <c r="D83" i="26"/>
  <c r="D84" i="26"/>
  <c r="D85" i="26"/>
  <c r="D86" i="26"/>
  <c r="D87" i="26"/>
  <c r="D88" i="26"/>
  <c r="D89" i="26"/>
  <c r="D90" i="26"/>
  <c r="D91" i="26"/>
  <c r="D92" i="26"/>
  <c r="D93" i="26"/>
  <c r="D94" i="26"/>
  <c r="D95" i="26"/>
  <c r="D96" i="26"/>
  <c r="D97" i="26"/>
  <c r="D98" i="26"/>
  <c r="D99" i="26"/>
  <c r="D100" i="26"/>
  <c r="D101" i="26"/>
  <c r="D102" i="26"/>
  <c r="D103" i="26"/>
  <c r="D104" i="26"/>
  <c r="D105" i="26"/>
  <c r="D106" i="26"/>
  <c r="D107" i="26"/>
  <c r="D108" i="26"/>
  <c r="D109" i="26"/>
  <c r="D110" i="26"/>
  <c r="D111" i="26"/>
  <c r="D112" i="26"/>
  <c r="D113" i="26"/>
  <c r="D114" i="26"/>
  <c r="D115" i="26"/>
  <c r="D116" i="26"/>
  <c r="D117" i="26"/>
  <c r="D118" i="26"/>
  <c r="D119" i="26"/>
  <c r="D120" i="26"/>
  <c r="D121" i="26"/>
  <c r="D122" i="26"/>
  <c r="D123" i="26"/>
  <c r="D124" i="26"/>
  <c r="D125" i="26"/>
  <c r="D126" i="26"/>
  <c r="D127" i="26"/>
  <c r="D128" i="26"/>
  <c r="H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88" i="26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3" i="26"/>
  <c r="F4" i="26"/>
  <c r="F5" i="26"/>
  <c r="F6" i="26"/>
  <c r="F7" i="26"/>
  <c r="F8" i="26"/>
  <c r="F9" i="26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F25" i="26"/>
  <c r="F26" i="26"/>
  <c r="F27" i="26"/>
  <c r="F28" i="26"/>
  <c r="F29" i="26"/>
  <c r="F30" i="26"/>
  <c r="F31" i="26"/>
  <c r="F32" i="26"/>
  <c r="F33" i="26"/>
  <c r="F34" i="26"/>
  <c r="F35" i="26"/>
  <c r="F36" i="26"/>
  <c r="F37" i="26"/>
  <c r="F38" i="26"/>
  <c r="F39" i="26"/>
  <c r="F40" i="26"/>
  <c r="F41" i="26"/>
  <c r="F42" i="26"/>
  <c r="F43" i="26"/>
  <c r="F44" i="26"/>
  <c r="F45" i="26"/>
  <c r="F46" i="26"/>
  <c r="F47" i="26"/>
  <c r="F48" i="26"/>
  <c r="F49" i="26"/>
  <c r="F50" i="26"/>
  <c r="F51" i="26"/>
  <c r="F52" i="26"/>
  <c r="F53" i="26"/>
  <c r="F54" i="26"/>
  <c r="F55" i="26"/>
  <c r="F56" i="26"/>
  <c r="F57" i="26"/>
  <c r="F58" i="26"/>
  <c r="F59" i="26"/>
  <c r="F60" i="26"/>
  <c r="F61" i="26"/>
  <c r="F62" i="26"/>
  <c r="F63" i="26"/>
  <c r="F64" i="26"/>
  <c r="F65" i="26"/>
  <c r="F66" i="26"/>
  <c r="F67" i="26"/>
  <c r="F68" i="26"/>
  <c r="F69" i="26"/>
  <c r="F70" i="26"/>
  <c r="F71" i="26"/>
  <c r="F72" i="26"/>
  <c r="F73" i="26"/>
  <c r="F74" i="26"/>
  <c r="F75" i="26"/>
  <c r="F76" i="26"/>
  <c r="F77" i="26"/>
  <c r="F78" i="26"/>
  <c r="F79" i="26"/>
  <c r="F80" i="26"/>
  <c r="F81" i="26"/>
  <c r="F82" i="26"/>
  <c r="F83" i="26"/>
  <c r="F84" i="26"/>
  <c r="F85" i="26"/>
  <c r="F86" i="26"/>
  <c r="F87" i="26"/>
  <c r="F88" i="26"/>
  <c r="F89" i="26"/>
  <c r="F90" i="26"/>
  <c r="F91" i="26"/>
  <c r="F92" i="26"/>
  <c r="F93" i="26"/>
  <c r="F94" i="26"/>
  <c r="F95" i="26"/>
  <c r="F96" i="26"/>
  <c r="F97" i="26"/>
  <c r="F98" i="26"/>
  <c r="F99" i="26"/>
  <c r="F100" i="26"/>
  <c r="F101" i="26"/>
  <c r="F102" i="26"/>
  <c r="F103" i="26"/>
  <c r="F104" i="26"/>
  <c r="F105" i="26"/>
  <c r="F106" i="26"/>
  <c r="F107" i="26"/>
  <c r="F108" i="26"/>
  <c r="F109" i="26"/>
  <c r="F110" i="26"/>
  <c r="F111" i="26"/>
  <c r="F112" i="26"/>
  <c r="F113" i="26"/>
  <c r="F114" i="26"/>
  <c r="F115" i="26"/>
  <c r="F116" i="26"/>
  <c r="F117" i="26"/>
  <c r="F118" i="26"/>
  <c r="F119" i="26"/>
  <c r="F120" i="26"/>
  <c r="F121" i="26"/>
  <c r="F122" i="26"/>
  <c r="F123" i="26"/>
  <c r="F124" i="26"/>
  <c r="F125" i="26"/>
  <c r="F126" i="26"/>
  <c r="F127" i="26"/>
  <c r="F128" i="26"/>
  <c r="F3" i="26"/>
  <c r="B4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24" i="26"/>
  <c r="B25" i="26"/>
  <c r="B26" i="26"/>
  <c r="B27" i="26"/>
  <c r="B28" i="26"/>
  <c r="B29" i="26"/>
  <c r="B30" i="26"/>
  <c r="B31" i="26"/>
  <c r="B32" i="26"/>
  <c r="B33" i="26"/>
  <c r="B34" i="26"/>
  <c r="B35" i="26"/>
  <c r="B36" i="26"/>
  <c r="B37" i="26"/>
  <c r="B38" i="26"/>
  <c r="B39" i="26"/>
  <c r="B40" i="26"/>
  <c r="B41" i="26"/>
  <c r="B42" i="26"/>
  <c r="B43" i="26"/>
  <c r="B44" i="26"/>
  <c r="B45" i="26"/>
  <c r="B46" i="26"/>
  <c r="B47" i="26"/>
  <c r="B48" i="26"/>
  <c r="B49" i="26"/>
  <c r="B50" i="26"/>
  <c r="B51" i="26"/>
  <c r="B52" i="26"/>
  <c r="B53" i="26"/>
  <c r="B54" i="26"/>
  <c r="B55" i="26"/>
  <c r="B56" i="26"/>
  <c r="B57" i="26"/>
  <c r="B58" i="26"/>
  <c r="B59" i="26"/>
  <c r="B60" i="26"/>
  <c r="B61" i="26"/>
  <c r="B62" i="26"/>
  <c r="B63" i="26"/>
  <c r="B64" i="26"/>
  <c r="B65" i="26"/>
  <c r="B66" i="26"/>
  <c r="B67" i="26"/>
  <c r="B68" i="26"/>
  <c r="B69" i="26"/>
  <c r="B70" i="26"/>
  <c r="B71" i="26"/>
  <c r="B72" i="26"/>
  <c r="B73" i="26"/>
  <c r="B74" i="26"/>
  <c r="B75" i="26"/>
  <c r="B76" i="26"/>
  <c r="B77" i="26"/>
  <c r="B78" i="26"/>
  <c r="B79" i="26"/>
  <c r="B80" i="26"/>
  <c r="B81" i="26"/>
  <c r="B82" i="26"/>
  <c r="B83" i="26"/>
  <c r="B84" i="26"/>
  <c r="B85" i="26"/>
  <c r="B86" i="26"/>
  <c r="B87" i="26"/>
  <c r="B88" i="26"/>
  <c r="B89" i="26"/>
  <c r="B90" i="26"/>
  <c r="B91" i="26"/>
  <c r="B92" i="26"/>
  <c r="B93" i="26"/>
  <c r="B94" i="26"/>
  <c r="B95" i="26"/>
  <c r="B96" i="26"/>
  <c r="B97" i="26"/>
  <c r="B98" i="26"/>
  <c r="B99" i="26"/>
  <c r="B100" i="26"/>
  <c r="B101" i="26"/>
  <c r="B102" i="26"/>
  <c r="B103" i="26"/>
  <c r="B104" i="26"/>
  <c r="B105" i="26"/>
  <c r="B106" i="26"/>
  <c r="B107" i="26"/>
  <c r="B108" i="26"/>
  <c r="B109" i="26"/>
  <c r="B110" i="26"/>
  <c r="B111" i="26"/>
  <c r="B112" i="26"/>
  <c r="B113" i="26"/>
  <c r="B114" i="26"/>
  <c r="B115" i="26"/>
  <c r="B116" i="26"/>
  <c r="B117" i="26"/>
  <c r="B118" i="26"/>
  <c r="B119" i="26"/>
  <c r="B120" i="26"/>
  <c r="B121" i="26"/>
  <c r="B122" i="26"/>
  <c r="B123" i="26"/>
  <c r="B124" i="26"/>
  <c r="B125" i="26"/>
  <c r="B126" i="26"/>
  <c r="B127" i="26"/>
  <c r="B128" i="26"/>
  <c r="B3" i="26"/>
  <c r="P108" i="29" l="1"/>
  <c r="P114" i="29"/>
  <c r="P123" i="29"/>
  <c r="P124" i="29"/>
  <c r="P40" i="29"/>
  <c r="P34" i="29"/>
  <c r="P41" i="29"/>
  <c r="P98" i="29"/>
  <c r="P97" i="29"/>
  <c r="P67" i="29"/>
  <c r="P103" i="29"/>
  <c r="P10" i="29"/>
  <c r="M11" i="26"/>
  <c r="P8" i="29"/>
  <c r="P118" i="29"/>
  <c r="P125" i="29"/>
  <c r="O57" i="29"/>
  <c r="P30" i="29"/>
  <c r="P120" i="29"/>
  <c r="O110" i="29"/>
  <c r="P113" i="29"/>
  <c r="O109" i="29"/>
  <c r="P119" i="29"/>
  <c r="P109" i="29"/>
  <c r="O108" i="29"/>
  <c r="O87" i="29"/>
  <c r="P87" i="29"/>
  <c r="O104" i="29"/>
  <c r="G85" i="24"/>
  <c r="O81" i="29"/>
  <c r="O82" i="29"/>
  <c r="P73" i="29"/>
  <c r="O83" i="29"/>
  <c r="O73" i="29"/>
  <c r="O66" i="29"/>
  <c r="P52" i="29"/>
  <c r="P39" i="29"/>
  <c r="P25" i="29"/>
  <c r="P36" i="29"/>
  <c r="P31" i="29"/>
  <c r="P29" i="29"/>
  <c r="C13" i="29"/>
  <c r="J5" i="29"/>
  <c r="P26" i="29"/>
  <c r="C15" i="29"/>
  <c r="O24" i="29"/>
  <c r="P24" i="29"/>
  <c r="P35" i="29"/>
  <c r="P19" i="29"/>
  <c r="P15" i="29"/>
  <c r="P14" i="29"/>
  <c r="P13" i="29"/>
  <c r="O20" i="29"/>
  <c r="P9" i="29"/>
  <c r="P20" i="29"/>
  <c r="I5" i="29"/>
  <c r="P18" i="29"/>
  <c r="O56" i="29"/>
  <c r="P57" i="29"/>
  <c r="H5" i="29"/>
  <c r="I10" i="3"/>
  <c r="J10" i="3" s="1"/>
  <c r="P46" i="29"/>
  <c r="P50" i="29"/>
  <c r="P56" i="29"/>
  <c r="P61" i="29"/>
  <c r="I4" i="29"/>
  <c r="J3" i="29"/>
  <c r="J4" i="29"/>
  <c r="I3" i="29"/>
  <c r="H3" i="29"/>
  <c r="H4" i="29"/>
  <c r="O103" i="29"/>
  <c r="O102" i="29"/>
  <c r="C18" i="29"/>
  <c r="C20" i="29"/>
  <c r="O60" i="29"/>
  <c r="O61" i="29"/>
  <c r="O62" i="29"/>
  <c r="C19" i="29"/>
  <c r="O77" i="29"/>
  <c r="O78" i="29"/>
  <c r="O76" i="29"/>
  <c r="O55" i="29"/>
  <c r="C14" i="29"/>
  <c r="O72" i="29"/>
  <c r="O71" i="29"/>
  <c r="O50" i="29"/>
  <c r="O51" i="29"/>
  <c r="O52" i="29"/>
  <c r="C8" i="29"/>
  <c r="C3" i="29"/>
  <c r="P110" i="29"/>
  <c r="O88" i="29"/>
  <c r="C4" i="29"/>
  <c r="O47" i="29"/>
  <c r="B5" i="29"/>
  <c r="O25" i="29"/>
  <c r="O10" i="29"/>
  <c r="C10" i="29"/>
  <c r="C9" i="29"/>
  <c r="O5" i="29"/>
  <c r="P5" i="29"/>
  <c r="C5" i="29"/>
  <c r="O4" i="29"/>
  <c r="B3" i="29"/>
  <c r="B9" i="29"/>
  <c r="O3" i="29"/>
  <c r="O8" i="29"/>
  <c r="B10" i="29"/>
  <c r="O13" i="29"/>
  <c r="O14" i="29"/>
  <c r="O15" i="29"/>
  <c r="O18" i="29"/>
  <c r="O19" i="29"/>
  <c r="O46" i="29"/>
  <c r="O68" i="29"/>
  <c r="O92" i="29"/>
  <c r="O93" i="29"/>
  <c r="O94" i="29"/>
  <c r="O97" i="29"/>
  <c r="O98" i="29"/>
  <c r="O99" i="29"/>
  <c r="O9" i="29"/>
  <c r="O29" i="29"/>
  <c r="O30" i="29"/>
  <c r="O31" i="29"/>
  <c r="O34" i="29"/>
  <c r="O35" i="29"/>
  <c r="O36" i="29"/>
  <c r="O39" i="29"/>
  <c r="O40" i="29"/>
  <c r="O41" i="29"/>
  <c r="O45" i="29"/>
  <c r="O67" i="29"/>
  <c r="O89" i="29"/>
  <c r="O113" i="29"/>
  <c r="O114" i="29"/>
  <c r="O115" i="29"/>
  <c r="O118" i="29"/>
  <c r="O119" i="29"/>
  <c r="O120" i="29"/>
  <c r="O123" i="29"/>
  <c r="O124" i="29"/>
  <c r="O125" i="29"/>
  <c r="B4" i="29"/>
  <c r="B8" i="29"/>
  <c r="B13" i="29"/>
  <c r="B14" i="29"/>
  <c r="B15" i="29"/>
  <c r="B18" i="29"/>
  <c r="B19" i="29"/>
  <c r="B20" i="29"/>
  <c r="D5" i="29" l="1"/>
  <c r="X5" i="29"/>
  <c r="X3" i="29"/>
  <c r="X4" i="29"/>
  <c r="X6" i="29"/>
  <c r="E3" i="29"/>
  <c r="X7" i="29"/>
  <c r="X2" i="29"/>
  <c r="E5" i="29"/>
  <c r="D3" i="29"/>
  <c r="E15" i="29"/>
  <c r="D15" i="29"/>
  <c r="E4" i="29"/>
  <c r="D4" i="29"/>
  <c r="E9" i="29"/>
  <c r="D9" i="29"/>
  <c r="E20" i="29"/>
  <c r="D20" i="29"/>
  <c r="E14" i="29"/>
  <c r="D14" i="29"/>
  <c r="D10" i="29"/>
  <c r="E10" i="29"/>
  <c r="E19" i="29"/>
  <c r="D19" i="29"/>
  <c r="E13" i="29"/>
  <c r="D13" i="29"/>
  <c r="X9" i="29"/>
  <c r="E18" i="29"/>
  <c r="D18" i="29"/>
  <c r="X10" i="29"/>
  <c r="X8" i="29"/>
  <c r="X11" i="29"/>
  <c r="E8" i="29"/>
  <c r="D8" i="29"/>
  <c r="D82" i="24" l="1"/>
  <c r="F82" i="24"/>
  <c r="D86" i="24"/>
  <c r="F86" i="24"/>
  <c r="D84" i="24"/>
  <c r="F84" i="24"/>
  <c r="D81" i="24"/>
  <c r="F81" i="24"/>
  <c r="D79" i="24"/>
  <c r="F79" i="24"/>
  <c r="D76" i="24"/>
  <c r="F76" i="24"/>
  <c r="D75" i="24"/>
  <c r="F75" i="24"/>
  <c r="D73" i="24"/>
  <c r="F73" i="24"/>
  <c r="D70" i="24"/>
  <c r="F70" i="24"/>
  <c r="D66" i="24"/>
  <c r="F66" i="24"/>
  <c r="D65" i="24"/>
  <c r="F65" i="24"/>
  <c r="D63" i="24"/>
  <c r="F63" i="24"/>
  <c r="D60" i="24"/>
  <c r="F60" i="24"/>
  <c r="D56" i="24"/>
  <c r="F56" i="24"/>
  <c r="D51" i="24"/>
  <c r="F51" i="24"/>
  <c r="D50" i="24"/>
  <c r="F50" i="24"/>
  <c r="D48" i="24"/>
  <c r="F48" i="24"/>
  <c r="D45" i="24"/>
  <c r="F45" i="24"/>
  <c r="D41" i="24"/>
  <c r="F41" i="24"/>
  <c r="D36" i="24"/>
  <c r="F36" i="24"/>
  <c r="D30" i="24"/>
  <c r="F30" i="24"/>
  <c r="D29" i="24"/>
  <c r="F29" i="24"/>
  <c r="D27" i="24"/>
  <c r="F27" i="24"/>
  <c r="D24" i="24"/>
  <c r="F24" i="24"/>
  <c r="D20" i="24"/>
  <c r="F20" i="24"/>
  <c r="D15" i="24"/>
  <c r="F15" i="24"/>
  <c r="D9" i="24"/>
  <c r="F9" i="24"/>
  <c r="D38" i="15"/>
  <c r="E38" i="15" s="1"/>
  <c r="D37" i="15"/>
  <c r="E37" i="15" s="1"/>
  <c r="D35" i="15"/>
  <c r="E35" i="15" s="1"/>
  <c r="D32" i="15"/>
  <c r="E32" i="15" s="1"/>
  <c r="D28" i="15"/>
  <c r="E28" i="15" s="1"/>
  <c r="D23" i="15"/>
  <c r="D17" i="15"/>
  <c r="D10" i="15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10" i="28"/>
  <c r="C311" i="28"/>
  <c r="C312" i="28"/>
  <c r="C313" i="28"/>
  <c r="C314" i="28"/>
  <c r="C315" i="28"/>
  <c r="C316" i="28"/>
  <c r="C317" i="28"/>
  <c r="C318" i="28"/>
  <c r="C319" i="28"/>
  <c r="C320" i="28"/>
  <c r="C321" i="28"/>
  <c r="C322" i="28"/>
  <c r="C323" i="28"/>
  <c r="C324" i="28"/>
  <c r="C325" i="28"/>
  <c r="C326" i="28"/>
  <c r="C327" i="28"/>
  <c r="C328" i="28"/>
  <c r="C329" i="28"/>
  <c r="C330" i="28"/>
  <c r="C331" i="28"/>
  <c r="C332" i="28"/>
  <c r="C333" i="28"/>
  <c r="C334" i="28"/>
  <c r="C335" i="28"/>
  <c r="C336" i="28"/>
  <c r="C337" i="28"/>
  <c r="C338" i="28"/>
  <c r="C339" i="28"/>
  <c r="C340" i="28"/>
  <c r="C341" i="28"/>
  <c r="C342" i="28"/>
  <c r="C343" i="28"/>
  <c r="C344" i="28"/>
  <c r="C345" i="28"/>
  <c r="C346" i="28"/>
  <c r="C347" i="28"/>
  <c r="C348" i="28"/>
  <c r="C349" i="28"/>
  <c r="C350" i="28"/>
  <c r="C351" i="28"/>
  <c r="C352" i="28"/>
  <c r="C353" i="28"/>
  <c r="C354" i="28"/>
  <c r="C355" i="28"/>
  <c r="C356" i="28"/>
  <c r="C357" i="28"/>
  <c r="C358" i="28"/>
  <c r="C359" i="28"/>
  <c r="C360" i="28"/>
  <c r="C361" i="28"/>
  <c r="C362" i="28"/>
  <c r="C363" i="28"/>
  <c r="C364" i="28"/>
  <c r="C365" i="28"/>
  <c r="C366" i="28"/>
  <c r="C367" i="28"/>
  <c r="C368" i="28"/>
  <c r="C369" i="28"/>
  <c r="C370" i="28"/>
  <c r="C371" i="28"/>
  <c r="C372" i="28"/>
  <c r="C373" i="28"/>
  <c r="C374" i="28"/>
  <c r="C375" i="28"/>
  <c r="C376" i="28"/>
  <c r="C377" i="28"/>
  <c r="C378" i="28"/>
  <c r="C379" i="28"/>
  <c r="C380" i="28"/>
  <c r="F213" i="28"/>
  <c r="F214" i="28"/>
  <c r="F215" i="28"/>
  <c r="F216" i="28"/>
  <c r="F217" i="28"/>
  <c r="F218" i="28"/>
  <c r="F219" i="28"/>
  <c r="F220" i="28"/>
  <c r="F221" i="28"/>
  <c r="F222" i="28"/>
  <c r="F223" i="28"/>
  <c r="F224" i="28"/>
  <c r="F225" i="28"/>
  <c r="G225" i="28" s="1"/>
  <c r="F226" i="28"/>
  <c r="F227" i="28"/>
  <c r="F228" i="28"/>
  <c r="F229" i="28"/>
  <c r="F230" i="28"/>
  <c r="F231" i="28"/>
  <c r="F232" i="28"/>
  <c r="F233" i="28"/>
  <c r="F234" i="28"/>
  <c r="F235" i="28"/>
  <c r="F236" i="28"/>
  <c r="F237" i="28"/>
  <c r="F238" i="28"/>
  <c r="F239" i="28"/>
  <c r="F240" i="28"/>
  <c r="F241" i="28"/>
  <c r="F242" i="28"/>
  <c r="F243" i="28"/>
  <c r="F244" i="28"/>
  <c r="F245" i="28"/>
  <c r="F246" i="28"/>
  <c r="F247" i="28"/>
  <c r="F248" i="28"/>
  <c r="F249" i="28"/>
  <c r="G249" i="28" s="1"/>
  <c r="F250" i="28"/>
  <c r="F251" i="28"/>
  <c r="F252" i="28"/>
  <c r="G252" i="28" s="1"/>
  <c r="F253" i="28"/>
  <c r="F254" i="28"/>
  <c r="F255" i="28"/>
  <c r="F256" i="28"/>
  <c r="F257" i="28"/>
  <c r="F258" i="28"/>
  <c r="F259" i="28"/>
  <c r="F260" i="28"/>
  <c r="F261" i="28"/>
  <c r="F262" i="28"/>
  <c r="F263" i="28"/>
  <c r="F264" i="28"/>
  <c r="F265" i="28"/>
  <c r="F266" i="28"/>
  <c r="F267" i="28"/>
  <c r="F268" i="28"/>
  <c r="F269" i="28"/>
  <c r="F270" i="28"/>
  <c r="F271" i="28"/>
  <c r="G271" i="28" s="1"/>
  <c r="F272" i="28"/>
  <c r="G272" i="28" s="1"/>
  <c r="F273" i="28"/>
  <c r="G273" i="28" s="1"/>
  <c r="F274" i="28"/>
  <c r="F275" i="28"/>
  <c r="G275" i="28" s="1"/>
  <c r="F276" i="28"/>
  <c r="F277" i="28"/>
  <c r="G277" i="28" s="1"/>
  <c r="F278" i="28"/>
  <c r="F279" i="28"/>
  <c r="F280" i="28"/>
  <c r="F281" i="28"/>
  <c r="F282" i="28"/>
  <c r="F283" i="28"/>
  <c r="F284" i="28"/>
  <c r="F285" i="28"/>
  <c r="F286" i="28"/>
  <c r="F287" i="28"/>
  <c r="F288" i="28"/>
  <c r="F289" i="28"/>
  <c r="F290" i="28"/>
  <c r="F291" i="28"/>
  <c r="F292" i="28"/>
  <c r="F293" i="28"/>
  <c r="F294" i="28"/>
  <c r="F295" i="28"/>
  <c r="F296" i="28"/>
  <c r="G296" i="28" s="1"/>
  <c r="F297" i="28"/>
  <c r="G297" i="28" s="1"/>
  <c r="F298" i="28"/>
  <c r="G298" i="28" s="1"/>
  <c r="F299" i="28"/>
  <c r="G299" i="28" s="1"/>
  <c r="F300" i="28"/>
  <c r="G300" i="28" s="1"/>
  <c r="F301" i="28"/>
  <c r="G301" i="28" s="1"/>
  <c r="F302" i="28"/>
  <c r="G302" i="28" s="1"/>
  <c r="F303" i="28"/>
  <c r="F304" i="28"/>
  <c r="F305" i="28"/>
  <c r="F306" i="28"/>
  <c r="F307" i="28"/>
  <c r="F308" i="28"/>
  <c r="F309" i="28"/>
  <c r="F310" i="28"/>
  <c r="F311" i="28"/>
  <c r="F312" i="28"/>
  <c r="F313" i="28"/>
  <c r="F314" i="28"/>
  <c r="F315" i="28"/>
  <c r="F316" i="28"/>
  <c r="F317" i="28"/>
  <c r="F318" i="28"/>
  <c r="F319" i="28"/>
  <c r="F320" i="28"/>
  <c r="F321" i="28"/>
  <c r="F322" i="28"/>
  <c r="F323" i="28"/>
  <c r="G323" i="28" s="1"/>
  <c r="F324" i="28"/>
  <c r="G324" i="28" s="1"/>
  <c r="F325" i="28"/>
  <c r="F326" i="28"/>
  <c r="F327" i="28"/>
  <c r="F328" i="28"/>
  <c r="F329" i="28"/>
  <c r="F330" i="28"/>
  <c r="F331" i="28"/>
  <c r="F332" i="28"/>
  <c r="F333" i="28"/>
  <c r="F334" i="28"/>
  <c r="F335" i="28"/>
  <c r="F336" i="28"/>
  <c r="F337" i="28"/>
  <c r="F338" i="28"/>
  <c r="F339" i="28"/>
  <c r="F340" i="28"/>
  <c r="F341" i="28"/>
  <c r="F342" i="28"/>
  <c r="F343" i="28"/>
  <c r="F344" i="28"/>
  <c r="G344" i="28" s="1"/>
  <c r="F345" i="28"/>
  <c r="G345" i="28" s="1"/>
  <c r="F346" i="28"/>
  <c r="G346" i="28" s="1"/>
  <c r="F347" i="28"/>
  <c r="G347" i="28" s="1"/>
  <c r="F348" i="28"/>
  <c r="G348" i="28" s="1"/>
  <c r="F349" i="28"/>
  <c r="G349" i="28" s="1"/>
  <c r="F350" i="28"/>
  <c r="G350" i="28" s="1"/>
  <c r="F351" i="28"/>
  <c r="F352" i="28"/>
  <c r="F353" i="28"/>
  <c r="F354" i="28"/>
  <c r="F355" i="28"/>
  <c r="F356" i="28"/>
  <c r="F357" i="28"/>
  <c r="F358" i="28"/>
  <c r="F359" i="28"/>
  <c r="F360" i="28"/>
  <c r="F361" i="28"/>
  <c r="F362" i="28"/>
  <c r="F363" i="28"/>
  <c r="F364" i="28"/>
  <c r="F365" i="28"/>
  <c r="F366" i="28"/>
  <c r="F367" i="28"/>
  <c r="G367" i="28" s="1"/>
  <c r="F368" i="28"/>
  <c r="G368" i="28" s="1"/>
  <c r="F369" i="28"/>
  <c r="G369" i="28" s="1"/>
  <c r="F370" i="28"/>
  <c r="G370" i="28" s="1"/>
  <c r="F371" i="28"/>
  <c r="G371" i="28" s="1"/>
  <c r="F372" i="28"/>
  <c r="G372" i="28" s="1"/>
  <c r="F373" i="28"/>
  <c r="F374" i="28"/>
  <c r="F375" i="28"/>
  <c r="F376" i="28"/>
  <c r="F377" i="28"/>
  <c r="F378" i="28"/>
  <c r="F379" i="28"/>
  <c r="F380" i="28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G225" i="12" s="1"/>
  <c r="F226" i="12"/>
  <c r="G226" i="12" s="1"/>
  <c r="F227" i="12"/>
  <c r="G227" i="12" s="1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G248" i="12" s="1"/>
  <c r="F249" i="12"/>
  <c r="G249" i="12" s="1"/>
  <c r="F250" i="12"/>
  <c r="G250" i="12" s="1"/>
  <c r="F251" i="12"/>
  <c r="G251" i="12" s="1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G272" i="12" s="1"/>
  <c r="F273" i="12"/>
  <c r="F274" i="12"/>
  <c r="G274" i="12" s="1"/>
  <c r="F275" i="12"/>
  <c r="G275" i="12" s="1"/>
  <c r="F276" i="12"/>
  <c r="G276" i="12" s="1"/>
  <c r="F277" i="12"/>
  <c r="G277" i="12" s="1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G296" i="12" s="1"/>
  <c r="F297" i="12"/>
  <c r="F298" i="12"/>
  <c r="G298" i="12" s="1"/>
  <c r="F299" i="12"/>
  <c r="G299" i="12" s="1"/>
  <c r="F300" i="12"/>
  <c r="G300" i="12" s="1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G322" i="12" s="1"/>
  <c r="F323" i="12"/>
  <c r="G323" i="12" s="1"/>
  <c r="F324" i="12"/>
  <c r="G324" i="12" s="1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G345" i="12" s="1"/>
  <c r="F346" i="12"/>
  <c r="G346" i="12" s="1"/>
  <c r="F347" i="12"/>
  <c r="G347" i="12" s="1"/>
  <c r="F348" i="12"/>
  <c r="G348" i="12" s="1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G370" i="12" s="1"/>
  <c r="F371" i="12"/>
  <c r="G371" i="12" s="1"/>
  <c r="F372" i="12"/>
  <c r="G372" i="12" s="1"/>
  <c r="F373" i="12"/>
  <c r="F374" i="12"/>
  <c r="F375" i="12"/>
  <c r="F376" i="12"/>
  <c r="F377" i="12"/>
  <c r="F378" i="12"/>
  <c r="F379" i="12"/>
  <c r="F380" i="12"/>
  <c r="G252" i="12"/>
  <c r="G254" i="12"/>
  <c r="G257" i="12"/>
  <c r="G273" i="1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U108" i="22"/>
  <c r="U109" i="22"/>
  <c r="U110" i="22"/>
  <c r="T108" i="22"/>
  <c r="T109" i="22"/>
  <c r="T110" i="22"/>
  <c r="S108" i="22"/>
  <c r="S109" i="22"/>
  <c r="S110" i="22"/>
  <c r="N123" i="22"/>
  <c r="N124" i="22"/>
  <c r="N125" i="22"/>
  <c r="M123" i="22"/>
  <c r="M124" i="22"/>
  <c r="M125" i="22"/>
  <c r="N118" i="22"/>
  <c r="N119" i="22"/>
  <c r="N120" i="22"/>
  <c r="M118" i="22"/>
  <c r="M119" i="22"/>
  <c r="M120" i="22"/>
  <c r="N113" i="22"/>
  <c r="N114" i="22"/>
  <c r="N115" i="22"/>
  <c r="M113" i="22"/>
  <c r="M114" i="22"/>
  <c r="M115" i="22"/>
  <c r="N108" i="22"/>
  <c r="N109" i="22"/>
  <c r="N110" i="22"/>
  <c r="M108" i="22"/>
  <c r="M109" i="22"/>
  <c r="M110" i="22"/>
  <c r="S108" i="21"/>
  <c r="S109" i="21"/>
  <c r="S110" i="21"/>
  <c r="R108" i="21"/>
  <c r="R109" i="21"/>
  <c r="R110" i="21"/>
  <c r="M123" i="21"/>
  <c r="M124" i="21"/>
  <c r="M125" i="21"/>
  <c r="L123" i="21"/>
  <c r="L124" i="21"/>
  <c r="L125" i="21"/>
  <c r="M118" i="21"/>
  <c r="M119" i="21"/>
  <c r="M120" i="21"/>
  <c r="L118" i="21"/>
  <c r="L119" i="21"/>
  <c r="L120" i="21"/>
  <c r="M113" i="21"/>
  <c r="M114" i="21"/>
  <c r="M115" i="21"/>
  <c r="L113" i="21"/>
  <c r="L114" i="21"/>
  <c r="L115" i="21"/>
  <c r="M108" i="21"/>
  <c r="M109" i="21"/>
  <c r="M110" i="21"/>
  <c r="L108" i="21"/>
  <c r="L109" i="21"/>
  <c r="L110" i="21"/>
  <c r="S108" i="20"/>
  <c r="S109" i="20"/>
  <c r="S110" i="20"/>
  <c r="R108" i="20"/>
  <c r="R109" i="20"/>
  <c r="R110" i="20"/>
  <c r="M123" i="20"/>
  <c r="M124" i="20"/>
  <c r="M125" i="20"/>
  <c r="L123" i="20"/>
  <c r="L124" i="20"/>
  <c r="L125" i="20"/>
  <c r="M118" i="20"/>
  <c r="M119" i="20"/>
  <c r="M120" i="20"/>
  <c r="L118" i="20"/>
  <c r="L119" i="20"/>
  <c r="L120" i="20"/>
  <c r="M113" i="20"/>
  <c r="M114" i="20"/>
  <c r="M115" i="20"/>
  <c r="L113" i="20"/>
  <c r="L114" i="20"/>
  <c r="L115" i="20"/>
  <c r="M108" i="20"/>
  <c r="M109" i="20"/>
  <c r="M110" i="20"/>
  <c r="L108" i="20"/>
  <c r="L109" i="20"/>
  <c r="L110" i="20"/>
  <c r="S108" i="19"/>
  <c r="S109" i="19"/>
  <c r="S110" i="19"/>
  <c r="R108" i="19"/>
  <c r="R109" i="19"/>
  <c r="R110" i="19"/>
  <c r="M123" i="19"/>
  <c r="M124" i="19"/>
  <c r="M125" i="19"/>
  <c r="L123" i="19"/>
  <c r="L124" i="19"/>
  <c r="L125" i="19"/>
  <c r="M118" i="19"/>
  <c r="M119" i="19"/>
  <c r="M120" i="19"/>
  <c r="L118" i="19"/>
  <c r="L119" i="19"/>
  <c r="L120" i="19"/>
  <c r="M113" i="19"/>
  <c r="M114" i="19"/>
  <c r="M115" i="19"/>
  <c r="L113" i="19"/>
  <c r="L114" i="19"/>
  <c r="L115" i="19"/>
  <c r="M108" i="19"/>
  <c r="M109" i="19"/>
  <c r="M110" i="19"/>
  <c r="L108" i="19"/>
  <c r="L109" i="19"/>
  <c r="L110" i="19"/>
  <c r="S108" i="17"/>
  <c r="S109" i="17"/>
  <c r="S110" i="17"/>
  <c r="R108" i="17"/>
  <c r="R109" i="17"/>
  <c r="R110" i="17"/>
  <c r="M123" i="17"/>
  <c r="M124" i="17"/>
  <c r="M125" i="17"/>
  <c r="L123" i="17"/>
  <c r="L124" i="17"/>
  <c r="L125" i="17"/>
  <c r="M118" i="17"/>
  <c r="M119" i="17"/>
  <c r="M120" i="17"/>
  <c r="L118" i="17"/>
  <c r="L119" i="17"/>
  <c r="L120" i="17"/>
  <c r="M113" i="17"/>
  <c r="M114" i="17"/>
  <c r="M115" i="17"/>
  <c r="L113" i="17"/>
  <c r="L114" i="17"/>
  <c r="L115" i="17"/>
  <c r="M108" i="17"/>
  <c r="M109" i="17"/>
  <c r="M110" i="17"/>
  <c r="L108" i="17"/>
  <c r="L109" i="17"/>
  <c r="L110" i="17"/>
  <c r="S108" i="18"/>
  <c r="S109" i="18"/>
  <c r="S110" i="18"/>
  <c r="R108" i="18"/>
  <c r="R109" i="18"/>
  <c r="R110" i="18"/>
  <c r="M123" i="18"/>
  <c r="M124" i="18"/>
  <c r="M125" i="18"/>
  <c r="L123" i="18"/>
  <c r="L124" i="18"/>
  <c r="L125" i="18"/>
  <c r="M118" i="18"/>
  <c r="M119" i="18"/>
  <c r="M120" i="18"/>
  <c r="L118" i="18"/>
  <c r="L119" i="18"/>
  <c r="L120" i="18"/>
  <c r="M113" i="18"/>
  <c r="M114" i="18"/>
  <c r="M115" i="18"/>
  <c r="L113" i="18"/>
  <c r="L114" i="18"/>
  <c r="L115" i="18"/>
  <c r="M108" i="18"/>
  <c r="M109" i="18"/>
  <c r="M110" i="18"/>
  <c r="L108" i="18"/>
  <c r="L109" i="18"/>
  <c r="L110" i="18"/>
  <c r="S108" i="16"/>
  <c r="S109" i="16"/>
  <c r="S110" i="16"/>
  <c r="R108" i="16"/>
  <c r="R109" i="16"/>
  <c r="R110" i="16"/>
  <c r="M123" i="16"/>
  <c r="M124" i="16"/>
  <c r="M125" i="16"/>
  <c r="L123" i="16"/>
  <c r="L124" i="16"/>
  <c r="L125" i="16"/>
  <c r="M119" i="16"/>
  <c r="M120" i="16"/>
  <c r="M118" i="16"/>
  <c r="L118" i="16"/>
  <c r="L119" i="16"/>
  <c r="L120" i="16"/>
  <c r="M113" i="16"/>
  <c r="M114" i="16"/>
  <c r="M115" i="16"/>
  <c r="L113" i="16"/>
  <c r="L114" i="16"/>
  <c r="L115" i="16"/>
  <c r="M108" i="16"/>
  <c r="M109" i="16"/>
  <c r="M110" i="16"/>
  <c r="L108" i="16"/>
  <c r="L109" i="16"/>
  <c r="L110" i="16"/>
  <c r="U108" i="4"/>
  <c r="U109" i="4"/>
  <c r="U110" i="4"/>
  <c r="T108" i="4"/>
  <c r="T109" i="4"/>
  <c r="T110" i="4"/>
  <c r="S108" i="4"/>
  <c r="S109" i="4"/>
  <c r="S110" i="4"/>
  <c r="N123" i="4"/>
  <c r="N124" i="4"/>
  <c r="N125" i="4"/>
  <c r="M123" i="4"/>
  <c r="M124" i="4"/>
  <c r="M125" i="4"/>
  <c r="N118" i="4"/>
  <c r="N119" i="4"/>
  <c r="N120" i="4"/>
  <c r="M118" i="4"/>
  <c r="M119" i="4"/>
  <c r="M120" i="4"/>
  <c r="N113" i="4"/>
  <c r="N114" i="4"/>
  <c r="N115" i="4"/>
  <c r="M113" i="4"/>
  <c r="M114" i="4"/>
  <c r="M115" i="4"/>
  <c r="N108" i="4"/>
  <c r="N109" i="4"/>
  <c r="N110" i="4"/>
  <c r="M108" i="4"/>
  <c r="M109" i="4"/>
  <c r="M110" i="4"/>
  <c r="B2" i="3"/>
  <c r="B3" i="3"/>
  <c r="B4" i="3"/>
  <c r="B5" i="3"/>
  <c r="B6" i="3"/>
  <c r="B7" i="3"/>
  <c r="B8" i="3"/>
  <c r="B9" i="3"/>
  <c r="P7" i="28"/>
  <c r="P6" i="28"/>
  <c r="P9" i="28" s="1"/>
  <c r="P10" i="28" s="1"/>
  <c r="P5" i="28"/>
  <c r="P3" i="28"/>
  <c r="P2" i="28"/>
  <c r="P1" i="28"/>
  <c r="C4" i="28"/>
  <c r="C5" i="28"/>
  <c r="C6" i="28"/>
  <c r="C7" i="28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3" i="28"/>
  <c r="F4" i="28"/>
  <c r="F5" i="28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F28" i="28"/>
  <c r="F29" i="28"/>
  <c r="F30" i="28"/>
  <c r="F31" i="28"/>
  <c r="F32" i="28"/>
  <c r="F33" i="28"/>
  <c r="F34" i="28"/>
  <c r="F35" i="28"/>
  <c r="F36" i="28"/>
  <c r="F37" i="28"/>
  <c r="F38" i="28"/>
  <c r="F39" i="28"/>
  <c r="F40" i="28"/>
  <c r="F41" i="28"/>
  <c r="F42" i="28"/>
  <c r="F43" i="28"/>
  <c r="F44" i="28"/>
  <c r="F45" i="28"/>
  <c r="F46" i="28"/>
  <c r="F47" i="28"/>
  <c r="F48" i="28"/>
  <c r="F49" i="28"/>
  <c r="F50" i="28"/>
  <c r="F51" i="28"/>
  <c r="F52" i="28"/>
  <c r="F53" i="28"/>
  <c r="F54" i="28"/>
  <c r="F55" i="28"/>
  <c r="F56" i="28"/>
  <c r="F57" i="28"/>
  <c r="F58" i="28"/>
  <c r="F59" i="28"/>
  <c r="F60" i="28"/>
  <c r="F61" i="28"/>
  <c r="F62" i="28"/>
  <c r="F63" i="28"/>
  <c r="F64" i="28"/>
  <c r="F65" i="28"/>
  <c r="F66" i="28"/>
  <c r="F67" i="28"/>
  <c r="F68" i="28"/>
  <c r="F69" i="28"/>
  <c r="F70" i="28"/>
  <c r="F71" i="28"/>
  <c r="F72" i="28"/>
  <c r="F73" i="28"/>
  <c r="F74" i="28"/>
  <c r="F75" i="28"/>
  <c r="F76" i="28"/>
  <c r="F77" i="28"/>
  <c r="F78" i="28"/>
  <c r="F79" i="28"/>
  <c r="F80" i="28"/>
  <c r="F81" i="28"/>
  <c r="F82" i="28"/>
  <c r="F83" i="28"/>
  <c r="F84" i="28"/>
  <c r="F85" i="28"/>
  <c r="F86" i="28"/>
  <c r="F87" i="28"/>
  <c r="F88" i="28"/>
  <c r="F89" i="28"/>
  <c r="F90" i="28"/>
  <c r="F91" i="28"/>
  <c r="F92" i="28"/>
  <c r="F93" i="28"/>
  <c r="F94" i="28"/>
  <c r="F95" i="28"/>
  <c r="F96" i="28"/>
  <c r="F97" i="28"/>
  <c r="F98" i="28"/>
  <c r="F99" i="28"/>
  <c r="F100" i="28"/>
  <c r="F101" i="28"/>
  <c r="F102" i="28"/>
  <c r="F103" i="28"/>
  <c r="F104" i="28"/>
  <c r="F105" i="28"/>
  <c r="F106" i="28"/>
  <c r="F107" i="28"/>
  <c r="F108" i="28"/>
  <c r="F109" i="28"/>
  <c r="F110" i="28"/>
  <c r="F111" i="28"/>
  <c r="F112" i="28"/>
  <c r="F113" i="28"/>
  <c r="F114" i="28"/>
  <c r="F115" i="28"/>
  <c r="F116" i="28"/>
  <c r="F117" i="28"/>
  <c r="F118" i="28"/>
  <c r="F119" i="28"/>
  <c r="F120" i="28"/>
  <c r="F121" i="28"/>
  <c r="F122" i="28"/>
  <c r="F123" i="28"/>
  <c r="F124" i="28"/>
  <c r="F125" i="28"/>
  <c r="F126" i="28"/>
  <c r="F127" i="28"/>
  <c r="F128" i="28"/>
  <c r="F129" i="28"/>
  <c r="F130" i="28"/>
  <c r="F131" i="28"/>
  <c r="F132" i="28"/>
  <c r="F133" i="28"/>
  <c r="F134" i="28"/>
  <c r="F135" i="28"/>
  <c r="F136" i="28"/>
  <c r="F137" i="28"/>
  <c r="F138" i="28"/>
  <c r="F139" i="28"/>
  <c r="F140" i="28"/>
  <c r="F141" i="28"/>
  <c r="F142" i="28"/>
  <c r="F143" i="28"/>
  <c r="F144" i="28"/>
  <c r="F145" i="28"/>
  <c r="F146" i="28"/>
  <c r="F147" i="28"/>
  <c r="F148" i="28"/>
  <c r="F149" i="28"/>
  <c r="F150" i="28"/>
  <c r="F151" i="28"/>
  <c r="F152" i="28"/>
  <c r="F153" i="28"/>
  <c r="F154" i="28"/>
  <c r="F155" i="28"/>
  <c r="F156" i="28"/>
  <c r="F157" i="28"/>
  <c r="F158" i="28"/>
  <c r="F159" i="28"/>
  <c r="F160" i="28"/>
  <c r="F161" i="28"/>
  <c r="F162" i="28"/>
  <c r="F163" i="28"/>
  <c r="F164" i="28"/>
  <c r="F165" i="28"/>
  <c r="F166" i="28"/>
  <c r="F167" i="28"/>
  <c r="F168" i="28"/>
  <c r="F169" i="28"/>
  <c r="F170" i="28"/>
  <c r="F171" i="28"/>
  <c r="F172" i="28"/>
  <c r="F173" i="28"/>
  <c r="F174" i="28"/>
  <c r="F175" i="28"/>
  <c r="F176" i="28"/>
  <c r="F177" i="28"/>
  <c r="F178" i="28"/>
  <c r="F179" i="28"/>
  <c r="F180" i="28"/>
  <c r="F181" i="28"/>
  <c r="F182" i="28"/>
  <c r="F183" i="28"/>
  <c r="F184" i="28"/>
  <c r="F185" i="28"/>
  <c r="F186" i="28"/>
  <c r="F187" i="28"/>
  <c r="F188" i="28"/>
  <c r="F189" i="28"/>
  <c r="F190" i="28"/>
  <c r="F191" i="28"/>
  <c r="F192" i="28"/>
  <c r="F193" i="28"/>
  <c r="F194" i="28"/>
  <c r="F195" i="28"/>
  <c r="F196" i="28"/>
  <c r="F197" i="28"/>
  <c r="F198" i="28"/>
  <c r="F199" i="28"/>
  <c r="F200" i="28"/>
  <c r="F201" i="28"/>
  <c r="F202" i="28"/>
  <c r="F203" i="28"/>
  <c r="F204" i="28"/>
  <c r="F205" i="28"/>
  <c r="F206" i="28"/>
  <c r="F207" i="28"/>
  <c r="F208" i="28"/>
  <c r="F209" i="28"/>
  <c r="F210" i="28"/>
  <c r="F211" i="28"/>
  <c r="F212" i="28"/>
  <c r="F3" i="28"/>
  <c r="U87" i="22"/>
  <c r="U88" i="22"/>
  <c r="U89" i="22"/>
  <c r="T87" i="22"/>
  <c r="T88" i="22"/>
  <c r="T89" i="22"/>
  <c r="S87" i="22"/>
  <c r="S88" i="22"/>
  <c r="S89" i="22"/>
  <c r="N102" i="22"/>
  <c r="N103" i="22"/>
  <c r="N104" i="22"/>
  <c r="M102" i="22"/>
  <c r="M103" i="22"/>
  <c r="M104" i="22"/>
  <c r="N97" i="22"/>
  <c r="N98" i="22"/>
  <c r="N99" i="22"/>
  <c r="M97" i="22"/>
  <c r="M98" i="22"/>
  <c r="M99" i="22"/>
  <c r="N92" i="22"/>
  <c r="N93" i="22"/>
  <c r="N94" i="22"/>
  <c r="M92" i="22"/>
  <c r="M93" i="22"/>
  <c r="M94" i="22"/>
  <c r="N87" i="22"/>
  <c r="N88" i="22"/>
  <c r="N89" i="22"/>
  <c r="M87" i="22"/>
  <c r="M88" i="22"/>
  <c r="M89" i="22"/>
  <c r="S87" i="21"/>
  <c r="S88" i="21"/>
  <c r="S89" i="21"/>
  <c r="R87" i="21"/>
  <c r="R88" i="21"/>
  <c r="R89" i="21"/>
  <c r="M102" i="21"/>
  <c r="M103" i="21"/>
  <c r="M104" i="21"/>
  <c r="L102" i="21"/>
  <c r="L103" i="21"/>
  <c r="L104" i="21"/>
  <c r="M97" i="21"/>
  <c r="M98" i="21"/>
  <c r="M99" i="21"/>
  <c r="L97" i="21"/>
  <c r="L98" i="21"/>
  <c r="L99" i="21"/>
  <c r="M92" i="21"/>
  <c r="M93" i="21"/>
  <c r="M94" i="21"/>
  <c r="L92" i="21"/>
  <c r="L93" i="21"/>
  <c r="L94" i="21"/>
  <c r="M87" i="21"/>
  <c r="M88" i="21"/>
  <c r="M89" i="21"/>
  <c r="L87" i="21"/>
  <c r="L88" i="21"/>
  <c r="L89" i="21"/>
  <c r="S87" i="20"/>
  <c r="S88" i="20"/>
  <c r="S89" i="20"/>
  <c r="R87" i="20"/>
  <c r="R88" i="20"/>
  <c r="R89" i="20"/>
  <c r="M102" i="20"/>
  <c r="M103" i="20"/>
  <c r="M104" i="20"/>
  <c r="L102" i="20"/>
  <c r="L103" i="20"/>
  <c r="L104" i="20"/>
  <c r="M97" i="20"/>
  <c r="M98" i="20"/>
  <c r="M99" i="20"/>
  <c r="L97" i="20"/>
  <c r="L98" i="20"/>
  <c r="L99" i="20"/>
  <c r="M92" i="20"/>
  <c r="M93" i="20"/>
  <c r="M94" i="20"/>
  <c r="L92" i="20"/>
  <c r="L93" i="20"/>
  <c r="L94" i="20"/>
  <c r="M87" i="20"/>
  <c r="M88" i="20"/>
  <c r="M89" i="20"/>
  <c r="L87" i="20"/>
  <c r="L88" i="20"/>
  <c r="L89" i="20"/>
  <c r="O89" i="20" s="1"/>
  <c r="S87" i="19"/>
  <c r="S88" i="19"/>
  <c r="S89" i="19"/>
  <c r="R87" i="19"/>
  <c r="R88" i="19"/>
  <c r="R89" i="19"/>
  <c r="M102" i="19"/>
  <c r="M103" i="19"/>
  <c r="M104" i="19"/>
  <c r="L102" i="19"/>
  <c r="L103" i="19"/>
  <c r="L104" i="19"/>
  <c r="M97" i="19"/>
  <c r="M98" i="19"/>
  <c r="M99" i="19"/>
  <c r="M92" i="19"/>
  <c r="M93" i="19"/>
  <c r="M94" i="19"/>
  <c r="L97" i="19"/>
  <c r="L98" i="19"/>
  <c r="L99" i="19"/>
  <c r="L92" i="19"/>
  <c r="L93" i="19"/>
  <c r="L94" i="19"/>
  <c r="M87" i="19"/>
  <c r="M88" i="19"/>
  <c r="M89" i="19"/>
  <c r="L87" i="19"/>
  <c r="L88" i="19"/>
  <c r="L89" i="19"/>
  <c r="S87" i="17"/>
  <c r="S88" i="17"/>
  <c r="S89" i="17"/>
  <c r="R87" i="17"/>
  <c r="R88" i="17"/>
  <c r="R89" i="17"/>
  <c r="M102" i="17"/>
  <c r="M103" i="17"/>
  <c r="M104" i="17"/>
  <c r="L102" i="17"/>
  <c r="L103" i="17"/>
  <c r="L104" i="17"/>
  <c r="M97" i="17"/>
  <c r="L97" i="17"/>
  <c r="M98" i="17"/>
  <c r="M99" i="17"/>
  <c r="L98" i="17"/>
  <c r="L99" i="17"/>
  <c r="M92" i="17"/>
  <c r="M93" i="17"/>
  <c r="M94" i="17"/>
  <c r="L92" i="17"/>
  <c r="L93" i="17"/>
  <c r="L94" i="17"/>
  <c r="M87" i="17"/>
  <c r="M88" i="17"/>
  <c r="M89" i="17"/>
  <c r="L87" i="17"/>
  <c r="L88" i="17"/>
  <c r="L89" i="17"/>
  <c r="S87" i="18"/>
  <c r="S88" i="18"/>
  <c r="S89" i="18"/>
  <c r="R87" i="18"/>
  <c r="R88" i="18"/>
  <c r="R89" i="18"/>
  <c r="M102" i="18"/>
  <c r="M103" i="18"/>
  <c r="M104" i="18"/>
  <c r="L102" i="18"/>
  <c r="L103" i="18"/>
  <c r="L104" i="18"/>
  <c r="O104" i="18" s="1"/>
  <c r="M97" i="18"/>
  <c r="M98" i="18"/>
  <c r="M99" i="18"/>
  <c r="L97" i="18"/>
  <c r="L98" i="18"/>
  <c r="L99" i="18"/>
  <c r="M92" i="18"/>
  <c r="M93" i="18"/>
  <c r="M94" i="18"/>
  <c r="L92" i="18"/>
  <c r="L93" i="18"/>
  <c r="L94" i="18"/>
  <c r="M87" i="18"/>
  <c r="M88" i="18"/>
  <c r="M89" i="18"/>
  <c r="L87" i="18"/>
  <c r="O87" i="18" s="1"/>
  <c r="L88" i="18"/>
  <c r="L89" i="18"/>
  <c r="S87" i="16"/>
  <c r="S88" i="16"/>
  <c r="S89" i="16"/>
  <c r="R87" i="16"/>
  <c r="R88" i="16"/>
  <c r="R89" i="16"/>
  <c r="M102" i="16"/>
  <c r="M103" i="16"/>
  <c r="M104" i="16"/>
  <c r="L102" i="16"/>
  <c r="L103" i="16"/>
  <c r="L104" i="16"/>
  <c r="M97" i="16"/>
  <c r="M98" i="16"/>
  <c r="M99" i="16"/>
  <c r="L97" i="16"/>
  <c r="L98" i="16"/>
  <c r="L99" i="16"/>
  <c r="M92" i="16"/>
  <c r="M93" i="16"/>
  <c r="M94" i="16"/>
  <c r="L92" i="16"/>
  <c r="L93" i="16"/>
  <c r="L94" i="16"/>
  <c r="M87" i="16"/>
  <c r="M88" i="16"/>
  <c r="M89" i="16"/>
  <c r="L87" i="16"/>
  <c r="L88" i="16"/>
  <c r="L89" i="16"/>
  <c r="U87" i="4"/>
  <c r="U88" i="4"/>
  <c r="U89" i="4"/>
  <c r="T87" i="4"/>
  <c r="T88" i="4"/>
  <c r="T89" i="4"/>
  <c r="S87" i="4"/>
  <c r="S88" i="4"/>
  <c r="S89" i="4"/>
  <c r="N102" i="4"/>
  <c r="N103" i="4"/>
  <c r="N104" i="4"/>
  <c r="M102" i="4"/>
  <c r="M103" i="4"/>
  <c r="M104" i="4"/>
  <c r="N97" i="4"/>
  <c r="N98" i="4"/>
  <c r="N99" i="4"/>
  <c r="M97" i="4"/>
  <c r="M98" i="4"/>
  <c r="M99" i="4"/>
  <c r="N92" i="4"/>
  <c r="N93" i="4"/>
  <c r="N94" i="4"/>
  <c r="M92" i="4"/>
  <c r="M93" i="4"/>
  <c r="M94" i="4"/>
  <c r="N87" i="4"/>
  <c r="N88" i="4"/>
  <c r="N89" i="4"/>
  <c r="M87" i="4"/>
  <c r="M88" i="4"/>
  <c r="M89" i="4"/>
  <c r="Q3" i="26"/>
  <c r="Q2" i="26"/>
  <c r="Q1" i="26"/>
  <c r="Q7" i="26"/>
  <c r="Q6" i="26"/>
  <c r="Q9" i="26" s="1"/>
  <c r="Q10" i="26" s="1"/>
  <c r="Q5" i="26"/>
  <c r="U66" i="22"/>
  <c r="U67" i="22"/>
  <c r="U68" i="22"/>
  <c r="T66" i="22"/>
  <c r="T67" i="22"/>
  <c r="T68" i="22"/>
  <c r="S66" i="22"/>
  <c r="S67" i="22"/>
  <c r="S68" i="22"/>
  <c r="N81" i="22"/>
  <c r="N82" i="22"/>
  <c r="N83" i="22"/>
  <c r="M81" i="22"/>
  <c r="M82" i="22"/>
  <c r="M83" i="22"/>
  <c r="N76" i="22"/>
  <c r="N77" i="22"/>
  <c r="N78" i="22"/>
  <c r="M76" i="22"/>
  <c r="M77" i="22"/>
  <c r="M78" i="22"/>
  <c r="N71" i="22"/>
  <c r="N72" i="22"/>
  <c r="N73" i="22"/>
  <c r="M71" i="22"/>
  <c r="M72" i="22"/>
  <c r="M73" i="22"/>
  <c r="N66" i="22"/>
  <c r="N67" i="22"/>
  <c r="N68" i="22"/>
  <c r="M66" i="22"/>
  <c r="O66" i="22" s="1"/>
  <c r="M67" i="22"/>
  <c r="M68" i="22"/>
  <c r="S66" i="21"/>
  <c r="S67" i="21"/>
  <c r="S68" i="21"/>
  <c r="R66" i="21"/>
  <c r="R67" i="21"/>
  <c r="R68" i="21"/>
  <c r="M81" i="21"/>
  <c r="M82" i="21"/>
  <c r="M83" i="21"/>
  <c r="L81" i="21"/>
  <c r="L82" i="21"/>
  <c r="L83" i="21"/>
  <c r="M76" i="21"/>
  <c r="M77" i="21"/>
  <c r="M78" i="21"/>
  <c r="L76" i="21"/>
  <c r="L77" i="21"/>
  <c r="L78" i="21"/>
  <c r="M71" i="21"/>
  <c r="M72" i="21"/>
  <c r="M73" i="21"/>
  <c r="L71" i="21"/>
  <c r="L72" i="21"/>
  <c r="L73" i="21"/>
  <c r="M66" i="21"/>
  <c r="M67" i="21"/>
  <c r="M68" i="21"/>
  <c r="L66" i="21"/>
  <c r="L67" i="21"/>
  <c r="L68" i="21"/>
  <c r="M76" i="20"/>
  <c r="S66" i="20"/>
  <c r="S67" i="20"/>
  <c r="S68" i="20"/>
  <c r="R66" i="20"/>
  <c r="R67" i="20"/>
  <c r="R68" i="20"/>
  <c r="M81" i="20"/>
  <c r="M82" i="20"/>
  <c r="M83" i="20"/>
  <c r="L81" i="20"/>
  <c r="L82" i="20"/>
  <c r="L83" i="20"/>
  <c r="M77" i="20"/>
  <c r="M78" i="20"/>
  <c r="L76" i="20"/>
  <c r="L77" i="20"/>
  <c r="L78" i="20"/>
  <c r="M71" i="20"/>
  <c r="M72" i="20"/>
  <c r="M73" i="20"/>
  <c r="L71" i="20"/>
  <c r="L72" i="20"/>
  <c r="L73" i="20"/>
  <c r="M66" i="20"/>
  <c r="M67" i="20"/>
  <c r="M68" i="20"/>
  <c r="L66" i="20"/>
  <c r="L67" i="20"/>
  <c r="L68" i="20"/>
  <c r="S66" i="19"/>
  <c r="S67" i="19"/>
  <c r="S68" i="19"/>
  <c r="R66" i="19"/>
  <c r="R67" i="19"/>
  <c r="R68" i="19"/>
  <c r="M81" i="19"/>
  <c r="M82" i="19"/>
  <c r="M83" i="19"/>
  <c r="L81" i="19"/>
  <c r="L82" i="19"/>
  <c r="L83" i="19"/>
  <c r="M76" i="19"/>
  <c r="M77" i="19"/>
  <c r="M78" i="19"/>
  <c r="L76" i="19"/>
  <c r="L77" i="19"/>
  <c r="L78" i="19"/>
  <c r="M71" i="19"/>
  <c r="M72" i="19"/>
  <c r="M73" i="19"/>
  <c r="L71" i="19"/>
  <c r="L72" i="19"/>
  <c r="L73" i="19"/>
  <c r="M66" i="19"/>
  <c r="M67" i="19"/>
  <c r="M68" i="19"/>
  <c r="L66" i="19"/>
  <c r="L67" i="19"/>
  <c r="L68" i="19"/>
  <c r="S66" i="17"/>
  <c r="S67" i="17"/>
  <c r="S68" i="17"/>
  <c r="R66" i="17"/>
  <c r="R67" i="17"/>
  <c r="R68" i="17"/>
  <c r="M81" i="17"/>
  <c r="M82" i="17"/>
  <c r="M83" i="17"/>
  <c r="L81" i="17"/>
  <c r="L82" i="17"/>
  <c r="L83" i="17"/>
  <c r="M76" i="17"/>
  <c r="M77" i="17"/>
  <c r="M78" i="17"/>
  <c r="L76" i="17"/>
  <c r="L77" i="17"/>
  <c r="L78" i="17"/>
  <c r="M71" i="17"/>
  <c r="M72" i="17"/>
  <c r="M73" i="17"/>
  <c r="L71" i="17"/>
  <c r="L72" i="17"/>
  <c r="L73" i="17"/>
  <c r="M66" i="17"/>
  <c r="M67" i="17"/>
  <c r="M68" i="17"/>
  <c r="L66" i="17"/>
  <c r="L67" i="17"/>
  <c r="L68" i="17"/>
  <c r="S66" i="18"/>
  <c r="S67" i="18"/>
  <c r="S68" i="18"/>
  <c r="R66" i="18"/>
  <c r="R67" i="18"/>
  <c r="R68" i="18"/>
  <c r="M81" i="18"/>
  <c r="M82" i="18"/>
  <c r="M83" i="18"/>
  <c r="L81" i="18"/>
  <c r="L82" i="18"/>
  <c r="L83" i="18"/>
  <c r="M76" i="18"/>
  <c r="M77" i="18"/>
  <c r="M78" i="18"/>
  <c r="L76" i="18"/>
  <c r="L77" i="18"/>
  <c r="L78" i="18"/>
  <c r="M71" i="18"/>
  <c r="M72" i="18"/>
  <c r="M73" i="18"/>
  <c r="L71" i="18"/>
  <c r="L72" i="18"/>
  <c r="L73" i="18"/>
  <c r="M66" i="18"/>
  <c r="M67" i="18"/>
  <c r="M68" i="18"/>
  <c r="L66" i="18"/>
  <c r="L67" i="18"/>
  <c r="L68" i="18"/>
  <c r="S66" i="16"/>
  <c r="S67" i="16"/>
  <c r="S68" i="16"/>
  <c r="R66" i="16"/>
  <c r="R67" i="16"/>
  <c r="R68" i="16"/>
  <c r="M81" i="16"/>
  <c r="M82" i="16"/>
  <c r="M83" i="16"/>
  <c r="L81" i="16"/>
  <c r="L82" i="16"/>
  <c r="L83" i="16"/>
  <c r="M76" i="16"/>
  <c r="M77" i="16"/>
  <c r="M78" i="16"/>
  <c r="L76" i="16"/>
  <c r="L77" i="16"/>
  <c r="L78" i="16"/>
  <c r="M71" i="16"/>
  <c r="M72" i="16"/>
  <c r="M73" i="16"/>
  <c r="L71" i="16"/>
  <c r="L72" i="16"/>
  <c r="L73" i="16"/>
  <c r="M66" i="16"/>
  <c r="M67" i="16"/>
  <c r="M68" i="16"/>
  <c r="L66" i="16"/>
  <c r="L67" i="16"/>
  <c r="L68" i="16"/>
  <c r="U66" i="4"/>
  <c r="U67" i="4"/>
  <c r="U68" i="4"/>
  <c r="T66" i="4"/>
  <c r="T67" i="4"/>
  <c r="T68" i="4"/>
  <c r="S66" i="4"/>
  <c r="S67" i="4"/>
  <c r="S68" i="4"/>
  <c r="N81" i="4"/>
  <c r="N82" i="4"/>
  <c r="N83" i="4"/>
  <c r="M81" i="4"/>
  <c r="M82" i="4"/>
  <c r="M83" i="4"/>
  <c r="N76" i="4"/>
  <c r="N77" i="4"/>
  <c r="N78" i="4"/>
  <c r="M76" i="4"/>
  <c r="M77" i="4"/>
  <c r="M78" i="4"/>
  <c r="N71" i="4"/>
  <c r="N72" i="4"/>
  <c r="N73" i="4"/>
  <c r="M71" i="4"/>
  <c r="M72" i="4"/>
  <c r="M73" i="4"/>
  <c r="P73" i="4" s="1"/>
  <c r="N66" i="4"/>
  <c r="M66" i="4"/>
  <c r="N67" i="4"/>
  <c r="N68" i="4"/>
  <c r="M67" i="4"/>
  <c r="M68" i="4"/>
  <c r="O7" i="24"/>
  <c r="O6" i="24"/>
  <c r="O5" i="24"/>
  <c r="O3" i="24"/>
  <c r="O2" i="24"/>
  <c r="O1" i="24"/>
  <c r="D72" i="24"/>
  <c r="D74" i="24"/>
  <c r="D77" i="24"/>
  <c r="D78" i="24"/>
  <c r="D80" i="24"/>
  <c r="D83" i="24"/>
  <c r="F72" i="24"/>
  <c r="F74" i="24"/>
  <c r="F77" i="24"/>
  <c r="F78" i="24"/>
  <c r="F80" i="24"/>
  <c r="F83" i="24"/>
  <c r="D59" i="24"/>
  <c r="D61" i="24"/>
  <c r="D62" i="24"/>
  <c r="D64" i="24"/>
  <c r="D67" i="24"/>
  <c r="D68" i="24"/>
  <c r="D69" i="24"/>
  <c r="D71" i="24"/>
  <c r="F59" i="24"/>
  <c r="F61" i="24"/>
  <c r="F62" i="24"/>
  <c r="F64" i="24"/>
  <c r="F67" i="24"/>
  <c r="F68" i="24"/>
  <c r="F69" i="24"/>
  <c r="F71" i="24"/>
  <c r="D33" i="24"/>
  <c r="D34" i="24"/>
  <c r="D35" i="24"/>
  <c r="D37" i="24"/>
  <c r="D38" i="24"/>
  <c r="D39" i="24"/>
  <c r="D40" i="24"/>
  <c r="D42" i="24"/>
  <c r="D43" i="24"/>
  <c r="D44" i="24"/>
  <c r="D46" i="24"/>
  <c r="D47" i="24"/>
  <c r="D49" i="24"/>
  <c r="D52" i="24"/>
  <c r="D53" i="24"/>
  <c r="D54" i="24"/>
  <c r="D55" i="24"/>
  <c r="D57" i="24"/>
  <c r="D58" i="24"/>
  <c r="F33" i="24"/>
  <c r="F34" i="24"/>
  <c r="F35" i="24"/>
  <c r="F37" i="24"/>
  <c r="F38" i="24"/>
  <c r="F39" i="24"/>
  <c r="F40" i="24"/>
  <c r="F42" i="24"/>
  <c r="F43" i="24"/>
  <c r="F44" i="24"/>
  <c r="F46" i="24"/>
  <c r="F47" i="24"/>
  <c r="F49" i="24"/>
  <c r="F52" i="24"/>
  <c r="F53" i="24"/>
  <c r="F54" i="24"/>
  <c r="F55" i="24"/>
  <c r="F57" i="24"/>
  <c r="F58" i="24"/>
  <c r="D32" i="24"/>
  <c r="F32" i="24"/>
  <c r="D31" i="24"/>
  <c r="F31" i="24"/>
  <c r="D28" i="24"/>
  <c r="F28" i="24"/>
  <c r="D26" i="24"/>
  <c r="F26" i="24"/>
  <c r="D25" i="24"/>
  <c r="F25" i="24"/>
  <c r="D23" i="24"/>
  <c r="F23" i="24"/>
  <c r="D22" i="24"/>
  <c r="F22" i="24"/>
  <c r="D21" i="24"/>
  <c r="F21" i="24"/>
  <c r="D19" i="24"/>
  <c r="F19" i="24"/>
  <c r="D18" i="24"/>
  <c r="F18" i="24"/>
  <c r="D17" i="24"/>
  <c r="F17" i="24"/>
  <c r="D16" i="24"/>
  <c r="F16" i="24"/>
  <c r="D14" i="24"/>
  <c r="F14" i="24"/>
  <c r="D13" i="24"/>
  <c r="F13" i="24"/>
  <c r="D12" i="24"/>
  <c r="F12" i="24"/>
  <c r="D11" i="24"/>
  <c r="F11" i="24"/>
  <c r="F4" i="24"/>
  <c r="F5" i="24"/>
  <c r="F6" i="24"/>
  <c r="F7" i="24"/>
  <c r="F8" i="24"/>
  <c r="F10" i="24"/>
  <c r="F3" i="24"/>
  <c r="D3" i="24"/>
  <c r="D4" i="24"/>
  <c r="D5" i="24"/>
  <c r="D6" i="24"/>
  <c r="D7" i="24"/>
  <c r="D8" i="24"/>
  <c r="D10" i="24"/>
  <c r="G253" i="28" l="1"/>
  <c r="G321" i="28"/>
  <c r="G276" i="28"/>
  <c r="G365" i="28"/>
  <c r="G363" i="28"/>
  <c r="G350" i="12"/>
  <c r="G228" i="12"/>
  <c r="G375" i="12"/>
  <c r="G254" i="28"/>
  <c r="G380" i="2"/>
  <c r="G374" i="12"/>
  <c r="G231" i="12"/>
  <c r="G230" i="12"/>
  <c r="G253" i="12"/>
  <c r="G349" i="12"/>
  <c r="G354" i="12"/>
  <c r="G326" i="12"/>
  <c r="G302" i="12"/>
  <c r="G229" i="12"/>
  <c r="G301" i="12"/>
  <c r="G325" i="12"/>
  <c r="G373" i="12"/>
  <c r="G250" i="28"/>
  <c r="G331" i="28"/>
  <c r="G361" i="28"/>
  <c r="G274" i="28"/>
  <c r="G318" i="28"/>
  <c r="G355" i="28"/>
  <c r="G366" i="28"/>
  <c r="G320" i="28"/>
  <c r="G319" i="28"/>
  <c r="G224" i="28"/>
  <c r="G322" i="28"/>
  <c r="G286" i="28"/>
  <c r="G223" i="28"/>
  <c r="G251" i="28"/>
  <c r="G357" i="28"/>
  <c r="G230" i="28"/>
  <c r="G364" i="28"/>
  <c r="G338" i="28"/>
  <c r="G288" i="28"/>
  <c r="G337" i="28"/>
  <c r="G229" i="28"/>
  <c r="G228" i="28"/>
  <c r="G227" i="28"/>
  <c r="G342" i="28"/>
  <c r="G316" i="28"/>
  <c r="G291" i="28"/>
  <c r="G307" i="28"/>
  <c r="G267" i="28"/>
  <c r="G314" i="28"/>
  <c r="G290" i="28"/>
  <c r="G356" i="28"/>
  <c r="G334" i="28"/>
  <c r="G248" i="28"/>
  <c r="G243" i="28"/>
  <c r="G335" i="28"/>
  <c r="G263" i="28"/>
  <c r="G313" i="28"/>
  <c r="G293" i="28"/>
  <c r="G268" i="28"/>
  <c r="G213" i="28"/>
  <c r="G312" i="28"/>
  <c r="G373" i="28"/>
  <c r="G325" i="28"/>
  <c r="G317" i="28"/>
  <c r="G315" i="28"/>
  <c r="G336" i="28"/>
  <c r="G264" i="28"/>
  <c r="G310" i="28"/>
  <c r="G339" i="28"/>
  <c r="G362" i="28"/>
  <c r="G266" i="28"/>
  <c r="G289" i="28"/>
  <c r="G262" i="28"/>
  <c r="G352" i="28"/>
  <c r="G328" i="28"/>
  <c r="G306" i="28"/>
  <c r="G303" i="28"/>
  <c r="G305" i="28"/>
  <c r="G304" i="28"/>
  <c r="G280" i="28"/>
  <c r="G256" i="28"/>
  <c r="G215" i="28"/>
  <c r="G239" i="28"/>
  <c r="G257" i="28"/>
  <c r="G354" i="28"/>
  <c r="G353" i="28"/>
  <c r="G214" i="28"/>
  <c r="G292" i="28"/>
  <c r="G265" i="28"/>
  <c r="G311" i="28"/>
  <c r="G287" i="28"/>
  <c r="G358" i="28"/>
  <c r="G329" i="28"/>
  <c r="G245" i="28"/>
  <c r="G340" i="28"/>
  <c r="G255" i="28"/>
  <c r="G261" i="28"/>
  <c r="G351" i="28"/>
  <c r="G359" i="28"/>
  <c r="G258" i="28"/>
  <c r="G217" i="28"/>
  <c r="G259" i="28"/>
  <c r="G295" i="28"/>
  <c r="G247" i="28"/>
  <c r="G270" i="28"/>
  <c r="G221" i="28"/>
  <c r="G220" i="28"/>
  <c r="G219" i="28"/>
  <c r="G218" i="28"/>
  <c r="G332" i="28"/>
  <c r="G330" i="28"/>
  <c r="G234" i="28"/>
  <c r="G377" i="28"/>
  <c r="G281" i="28"/>
  <c r="G233" i="28"/>
  <c r="G376" i="28"/>
  <c r="G232" i="28"/>
  <c r="G294" i="28"/>
  <c r="G269" i="28"/>
  <c r="G309" i="28"/>
  <c r="G283" i="28"/>
  <c r="G282" i="28"/>
  <c r="L33" i="28"/>
  <c r="G327" i="28"/>
  <c r="G279" i="28"/>
  <c r="G374" i="28"/>
  <c r="G326" i="28"/>
  <c r="G278" i="28"/>
  <c r="G308" i="28"/>
  <c r="G378" i="28"/>
  <c r="G231" i="28"/>
  <c r="G375" i="28"/>
  <c r="L32" i="28"/>
  <c r="G238" i="28"/>
  <c r="G333" i="28"/>
  <c r="G260" i="28"/>
  <c r="G240" i="28"/>
  <c r="G285" i="28"/>
  <c r="G236" i="28"/>
  <c r="G237" i="28"/>
  <c r="G284" i="28"/>
  <c r="G235" i="28"/>
  <c r="G222" i="28"/>
  <c r="G244" i="28"/>
  <c r="G242" i="28"/>
  <c r="G241" i="28"/>
  <c r="G216" i="28"/>
  <c r="L34" i="28"/>
  <c r="L31" i="28"/>
  <c r="L35" i="28"/>
  <c r="G379" i="28"/>
  <c r="L36" i="28"/>
  <c r="G226" i="28"/>
  <c r="G246" i="28"/>
  <c r="G341" i="28"/>
  <c r="G360" i="28"/>
  <c r="G380" i="28"/>
  <c r="L37" i="28"/>
  <c r="G343" i="28"/>
  <c r="P104" i="22"/>
  <c r="G82" i="24"/>
  <c r="K11" i="24"/>
  <c r="I11" i="15"/>
  <c r="G321" i="12"/>
  <c r="G278" i="12"/>
  <c r="G232" i="12"/>
  <c r="G297" i="12"/>
  <c r="G360" i="12"/>
  <c r="G224" i="12"/>
  <c r="G222" i="12"/>
  <c r="G218" i="12"/>
  <c r="G335" i="12"/>
  <c r="G213" i="12"/>
  <c r="G236" i="12"/>
  <c r="G268" i="12"/>
  <c r="G304" i="12"/>
  <c r="G343" i="12"/>
  <c r="G358" i="12"/>
  <c r="G380" i="12"/>
  <c r="G320" i="12"/>
  <c r="G344" i="12"/>
  <c r="G216" i="12"/>
  <c r="G258" i="12"/>
  <c r="G316" i="12"/>
  <c r="G309" i="12"/>
  <c r="G261" i="12"/>
  <c r="G308" i="12"/>
  <c r="G334" i="12"/>
  <c r="G356" i="12"/>
  <c r="G223" i="12"/>
  <c r="G269" i="12"/>
  <c r="G332" i="12"/>
  <c r="G306" i="12"/>
  <c r="G317" i="12"/>
  <c r="G220" i="12"/>
  <c r="G263" i="12"/>
  <c r="G262" i="12"/>
  <c r="G246" i="12"/>
  <c r="G287" i="12"/>
  <c r="G311" i="12"/>
  <c r="G286" i="12"/>
  <c r="G314" i="12"/>
  <c r="G355" i="12"/>
  <c r="G221" i="12"/>
  <c r="G219" i="12"/>
  <c r="G361" i="12"/>
  <c r="G312" i="12"/>
  <c r="G365" i="12"/>
  <c r="G336" i="12"/>
  <c r="G341" i="12"/>
  <c r="G247" i="12"/>
  <c r="G342" i="12"/>
  <c r="G279" i="12"/>
  <c r="G329" i="12"/>
  <c r="G353" i="12"/>
  <c r="G352" i="12"/>
  <c r="G340" i="12"/>
  <c r="G305" i="12"/>
  <c r="G303" i="12"/>
  <c r="G359" i="12"/>
  <c r="G319" i="12"/>
  <c r="G318" i="12"/>
  <c r="G338" i="12"/>
  <c r="G215" i="12"/>
  <c r="G357" i="12"/>
  <c r="G214" i="12"/>
  <c r="G265" i="12"/>
  <c r="G264" i="12"/>
  <c r="G237" i="12"/>
  <c r="G284" i="12"/>
  <c r="G260" i="12"/>
  <c r="G330" i="12"/>
  <c r="G351" i="12"/>
  <c r="G327" i="12"/>
  <c r="G255" i="12"/>
  <c r="G266" i="12"/>
  <c r="G259" i="12"/>
  <c r="G331" i="12"/>
  <c r="G328" i="12"/>
  <c r="G256" i="12"/>
  <c r="G267" i="12"/>
  <c r="G333" i="12"/>
  <c r="G217" i="12"/>
  <c r="G239" i="12"/>
  <c r="G235" i="12"/>
  <c r="G378" i="12"/>
  <c r="G282" i="12"/>
  <c r="G234" i="12"/>
  <c r="G377" i="12"/>
  <c r="G281" i="12"/>
  <c r="G233" i="12"/>
  <c r="G270" i="12"/>
  <c r="G243" i="12"/>
  <c r="G313" i="12"/>
  <c r="G288" i="12"/>
  <c r="G271" i="12"/>
  <c r="G245" i="12"/>
  <c r="G292" i="12"/>
  <c r="G315" i="12"/>
  <c r="G289" i="12"/>
  <c r="G240" i="12"/>
  <c r="G307" i="12"/>
  <c r="G376" i="12"/>
  <c r="G285" i="12"/>
  <c r="G294" i="12"/>
  <c r="G337" i="12"/>
  <c r="G291" i="12"/>
  <c r="G310" i="12"/>
  <c r="G379" i="12"/>
  <c r="G280" i="12"/>
  <c r="G244" i="12"/>
  <c r="G242" i="12"/>
  <c r="G238" i="12"/>
  <c r="G283" i="12"/>
  <c r="G295" i="12"/>
  <c r="G293" i="12"/>
  <c r="G241" i="12"/>
  <c r="G367" i="12"/>
  <c r="G339" i="12"/>
  <c r="G290" i="12"/>
  <c r="G363" i="12"/>
  <c r="G364" i="12"/>
  <c r="G366" i="12"/>
  <c r="G362" i="12"/>
  <c r="G369" i="12"/>
  <c r="G368" i="12"/>
  <c r="G378" i="2"/>
  <c r="L35" i="2"/>
  <c r="L37" i="2"/>
  <c r="I112" i="26"/>
  <c r="I89" i="26"/>
  <c r="I128" i="26"/>
  <c r="I127" i="26"/>
  <c r="I126" i="26"/>
  <c r="I123" i="26"/>
  <c r="I122" i="26"/>
  <c r="I125" i="26"/>
  <c r="I121" i="26"/>
  <c r="I118" i="26"/>
  <c r="I119" i="26"/>
  <c r="I116" i="26"/>
  <c r="I113" i="26"/>
  <c r="I109" i="26"/>
  <c r="I111" i="26"/>
  <c r="I108" i="26"/>
  <c r="I106" i="26"/>
  <c r="I103" i="26"/>
  <c r="I102" i="26"/>
  <c r="I100" i="26"/>
  <c r="I97" i="26"/>
  <c r="I93" i="26"/>
  <c r="I92" i="26"/>
  <c r="I91" i="26"/>
  <c r="I88" i="26"/>
  <c r="I86" i="26"/>
  <c r="I83" i="26"/>
  <c r="I82" i="26"/>
  <c r="I80" i="26"/>
  <c r="I77" i="26"/>
  <c r="I73" i="26"/>
  <c r="I72" i="26"/>
  <c r="I70" i="26"/>
  <c r="I67" i="26"/>
  <c r="I63" i="26"/>
  <c r="I58" i="26"/>
  <c r="I57" i="26"/>
  <c r="I56" i="26"/>
  <c r="I54" i="26"/>
  <c r="I53" i="26"/>
  <c r="I51" i="26"/>
  <c r="I48" i="26"/>
  <c r="I47" i="26"/>
  <c r="I45" i="26"/>
  <c r="I42" i="26"/>
  <c r="I38" i="26"/>
  <c r="I37" i="26"/>
  <c r="I35" i="26"/>
  <c r="I32" i="26"/>
  <c r="I28" i="26"/>
  <c r="I23" i="26"/>
  <c r="I22" i="26"/>
  <c r="I20" i="26"/>
  <c r="I17" i="26"/>
  <c r="I8" i="26"/>
  <c r="I13" i="26"/>
  <c r="G84" i="24"/>
  <c r="G86" i="24"/>
  <c r="G81" i="24"/>
  <c r="G56" i="24"/>
  <c r="G66" i="24"/>
  <c r="G76" i="24"/>
  <c r="G51" i="24"/>
  <c r="G65" i="24"/>
  <c r="G75" i="24"/>
  <c r="G63" i="24"/>
  <c r="G73" i="24"/>
  <c r="G60" i="24"/>
  <c r="G70" i="24"/>
  <c r="G79" i="24"/>
  <c r="G20" i="24"/>
  <c r="G30" i="24"/>
  <c r="G50" i="24"/>
  <c r="G24" i="24"/>
  <c r="G36" i="24"/>
  <c r="G15" i="24"/>
  <c r="G29" i="24"/>
  <c r="G45" i="24"/>
  <c r="G9" i="24"/>
  <c r="G27" i="24"/>
  <c r="G41" i="24"/>
  <c r="G48" i="24"/>
  <c r="E17" i="15"/>
  <c r="E23" i="15"/>
  <c r="E10" i="15"/>
  <c r="L10" i="2"/>
  <c r="L32" i="2"/>
  <c r="L28" i="2"/>
  <c r="L23" i="2"/>
  <c r="L17" i="2"/>
  <c r="G377" i="2"/>
  <c r="G379" i="2"/>
  <c r="G376" i="2"/>
  <c r="G375" i="2"/>
  <c r="G360" i="2"/>
  <c r="G362" i="2"/>
  <c r="G361" i="2"/>
  <c r="G363" i="2"/>
  <c r="G364" i="2"/>
  <c r="G365" i="2"/>
  <c r="G328" i="2"/>
  <c r="G326" i="2"/>
  <c r="G327" i="2"/>
  <c r="G331" i="2"/>
  <c r="G329" i="2"/>
  <c r="G330" i="2"/>
  <c r="G332" i="2"/>
  <c r="G333" i="2"/>
  <c r="G334" i="2"/>
  <c r="G335" i="2"/>
  <c r="G269" i="2"/>
  <c r="G263" i="2"/>
  <c r="G261" i="2"/>
  <c r="G262" i="2"/>
  <c r="G264" i="2"/>
  <c r="G267" i="2"/>
  <c r="G265" i="2"/>
  <c r="G266" i="2"/>
  <c r="G268" i="2"/>
  <c r="G270" i="2"/>
  <c r="G273" i="2"/>
  <c r="G271" i="2"/>
  <c r="G272" i="2"/>
  <c r="G274" i="2"/>
  <c r="G373" i="2"/>
  <c r="G275" i="2"/>
  <c r="G374" i="2"/>
  <c r="G370" i="2"/>
  <c r="G371" i="2"/>
  <c r="G368" i="2"/>
  <c r="G367" i="2"/>
  <c r="G358" i="2"/>
  <c r="G359" i="2"/>
  <c r="G353" i="2"/>
  <c r="G356" i="2"/>
  <c r="G340" i="2"/>
  <c r="G350" i="2"/>
  <c r="G352" i="2"/>
  <c r="G346" i="2"/>
  <c r="G347" i="2"/>
  <c r="G344" i="2"/>
  <c r="G341" i="2"/>
  <c r="G338" i="2"/>
  <c r="G324" i="2"/>
  <c r="G325" i="2"/>
  <c r="G322" i="2"/>
  <c r="G319" i="2"/>
  <c r="G312" i="2"/>
  <c r="G315" i="2"/>
  <c r="G314" i="2"/>
  <c r="G302" i="2"/>
  <c r="G305" i="2"/>
  <c r="G309" i="2"/>
  <c r="G304" i="2"/>
  <c r="G299" i="2"/>
  <c r="G294" i="2"/>
  <c r="G295" i="2"/>
  <c r="G282" i="2"/>
  <c r="G285" i="2"/>
  <c r="G292" i="2"/>
  <c r="G289" i="2"/>
  <c r="G284" i="2"/>
  <c r="G244" i="2"/>
  <c r="G250" i="2"/>
  <c r="G257" i="2"/>
  <c r="G260" i="2"/>
  <c r="G279" i="2"/>
  <c r="G259" i="2"/>
  <c r="G245" i="2"/>
  <c r="G254" i="2"/>
  <c r="G242" i="2"/>
  <c r="G235" i="2"/>
  <c r="G239" i="2"/>
  <c r="G209" i="2"/>
  <c r="G214" i="2"/>
  <c r="G220" i="2"/>
  <c r="G227" i="2"/>
  <c r="G215" i="2"/>
  <c r="G224" i="2"/>
  <c r="G229" i="2"/>
  <c r="G230" i="2"/>
  <c r="G212" i="2"/>
  <c r="G199" i="2"/>
  <c r="G205" i="2"/>
  <c r="G200" i="2"/>
  <c r="G197" i="2"/>
  <c r="G194" i="2"/>
  <c r="G190" i="2"/>
  <c r="G151" i="2"/>
  <c r="G179" i="2"/>
  <c r="G184" i="2"/>
  <c r="G185" i="2"/>
  <c r="G182" i="2"/>
  <c r="G152" i="2"/>
  <c r="G175" i="2"/>
  <c r="G155" i="2"/>
  <c r="G153" i="2"/>
  <c r="G154" i="2"/>
  <c r="G158" i="2"/>
  <c r="G156" i="2"/>
  <c r="G159" i="2"/>
  <c r="G157" i="2"/>
  <c r="G160" i="2"/>
  <c r="G161" i="2"/>
  <c r="G164" i="2"/>
  <c r="G162" i="2"/>
  <c r="G163" i="2"/>
  <c r="G165" i="2"/>
  <c r="G166" i="2"/>
  <c r="G167" i="2"/>
  <c r="G168" i="2"/>
  <c r="G170" i="2"/>
  <c r="G169" i="2"/>
  <c r="G143" i="2"/>
  <c r="G148" i="2"/>
  <c r="G150" i="2"/>
  <c r="G149" i="2"/>
  <c r="G146" i="2"/>
  <c r="G139" i="2"/>
  <c r="G134" i="2"/>
  <c r="G122" i="2"/>
  <c r="G127" i="2"/>
  <c r="G128" i="2"/>
  <c r="G125" i="2"/>
  <c r="G113" i="2"/>
  <c r="G118" i="2"/>
  <c r="G106" i="2"/>
  <c r="G107" i="2"/>
  <c r="G104" i="2"/>
  <c r="G101" i="2"/>
  <c r="G97" i="2"/>
  <c r="G86" i="2"/>
  <c r="G92" i="2"/>
  <c r="G71" i="2"/>
  <c r="G85" i="2"/>
  <c r="G65" i="2"/>
  <c r="G76" i="2"/>
  <c r="G83" i="2"/>
  <c r="G80" i="2"/>
  <c r="G50" i="2"/>
  <c r="G44" i="2"/>
  <c r="G62" i="2"/>
  <c r="G41" i="2"/>
  <c r="G64" i="2"/>
  <c r="G59" i="2"/>
  <c r="G55" i="2"/>
  <c r="G43" i="2"/>
  <c r="G23" i="2"/>
  <c r="G34" i="2"/>
  <c r="G38" i="2"/>
  <c r="G17" i="2"/>
  <c r="G22" i="2"/>
  <c r="G29" i="2"/>
  <c r="G20" i="2"/>
  <c r="G13" i="2"/>
  <c r="G8" i="2"/>
  <c r="P72" i="22"/>
  <c r="O94" i="21"/>
  <c r="P93" i="22"/>
  <c r="O73" i="17"/>
  <c r="O73" i="16"/>
  <c r="O68" i="22"/>
  <c r="O94" i="19"/>
  <c r="P83" i="4"/>
  <c r="O82" i="18"/>
  <c r="O87" i="16"/>
  <c r="P76" i="4"/>
  <c r="O67" i="17"/>
  <c r="O82" i="19"/>
  <c r="O77" i="20"/>
  <c r="O78" i="19"/>
  <c r="O81" i="19"/>
  <c r="O73" i="20"/>
  <c r="O68" i="21"/>
  <c r="P78" i="22"/>
  <c r="P81" i="22"/>
  <c r="P82" i="22"/>
  <c r="O76" i="16"/>
  <c r="O123" i="16"/>
  <c r="O110" i="17"/>
  <c r="O113" i="17"/>
  <c r="O125" i="19"/>
  <c r="P102" i="22"/>
  <c r="O94" i="16"/>
  <c r="O97" i="16"/>
  <c r="O87" i="17"/>
  <c r="P94" i="4"/>
  <c r="P97" i="4"/>
  <c r="O93" i="18"/>
  <c r="O103" i="19"/>
  <c r="O93" i="21"/>
  <c r="O88" i="18"/>
  <c r="P104" i="4"/>
  <c r="O104" i="16"/>
  <c r="O94" i="18"/>
  <c r="O92" i="17"/>
  <c r="O76" i="20"/>
  <c r="O71" i="21"/>
  <c r="G40" i="24"/>
  <c r="O66" i="16"/>
  <c r="O83" i="16"/>
  <c r="O76" i="17"/>
  <c r="O71" i="19"/>
  <c r="O78" i="21"/>
  <c r="O81" i="21"/>
  <c r="P77" i="22"/>
  <c r="P108" i="4"/>
  <c r="O114" i="21"/>
  <c r="P119" i="22"/>
  <c r="G18" i="28"/>
  <c r="O123" i="21"/>
  <c r="P118" i="22"/>
  <c r="P114" i="22"/>
  <c r="P92" i="4"/>
  <c r="O93" i="16"/>
  <c r="O94" i="17"/>
  <c r="O104" i="20"/>
  <c r="O89" i="16"/>
  <c r="O99" i="16"/>
  <c r="O97" i="17"/>
  <c r="O89" i="22"/>
  <c r="O68" i="16"/>
  <c r="O78" i="16"/>
  <c r="O66" i="18"/>
  <c r="O83" i="18"/>
  <c r="O68" i="17"/>
  <c r="O71" i="17"/>
  <c r="O78" i="17"/>
  <c r="O81" i="17"/>
  <c r="O66" i="19"/>
  <c r="O83" i="19"/>
  <c r="O73" i="21"/>
  <c r="P73" i="22"/>
  <c r="P76" i="22"/>
  <c r="P83" i="22"/>
  <c r="P71" i="4"/>
  <c r="O77" i="19"/>
  <c r="O72" i="20"/>
  <c r="O81" i="20"/>
  <c r="G204" i="28"/>
  <c r="G196" i="28"/>
  <c r="G188" i="28"/>
  <c r="G180" i="28"/>
  <c r="G172" i="28"/>
  <c r="G164" i="28"/>
  <c r="G156" i="28"/>
  <c r="G148" i="28"/>
  <c r="G140" i="28"/>
  <c r="G132" i="28"/>
  <c r="G108" i="28"/>
  <c r="G100" i="28"/>
  <c r="G92" i="28"/>
  <c r="G84" i="28"/>
  <c r="G76" i="28"/>
  <c r="G68" i="28"/>
  <c r="G60" i="28"/>
  <c r="G52" i="28"/>
  <c r="G44" i="28"/>
  <c r="G36" i="28"/>
  <c r="G28" i="28"/>
  <c r="G20" i="28"/>
  <c r="G12" i="28"/>
  <c r="G4" i="28"/>
  <c r="P124" i="22"/>
  <c r="N108" i="19"/>
  <c r="O115" i="21"/>
  <c r="G61" i="28"/>
  <c r="O119" i="21"/>
  <c r="O120" i="17"/>
  <c r="O123" i="17"/>
  <c r="O115" i="19"/>
  <c r="O118" i="19"/>
  <c r="P125" i="22"/>
  <c r="O108" i="21"/>
  <c r="O125" i="21"/>
  <c r="G146" i="28"/>
  <c r="G74" i="28"/>
  <c r="G66" i="28"/>
  <c r="O123" i="18"/>
  <c r="O115" i="17"/>
  <c r="P113" i="22"/>
  <c r="G210" i="28"/>
  <c r="G194" i="28"/>
  <c r="G170" i="28"/>
  <c r="G130" i="28"/>
  <c r="G114" i="28"/>
  <c r="G106" i="28"/>
  <c r="G90" i="28"/>
  <c r="G58" i="28"/>
  <c r="G50" i="28"/>
  <c r="G42" i="28"/>
  <c r="G34" i="28"/>
  <c r="G26" i="28"/>
  <c r="G10" i="28"/>
  <c r="G124" i="28"/>
  <c r="G116" i="28"/>
  <c r="G29" i="28"/>
  <c r="P124" i="4"/>
  <c r="O108" i="16"/>
  <c r="O120" i="18"/>
  <c r="G198" i="28"/>
  <c r="G158" i="28"/>
  <c r="G126" i="28"/>
  <c r="G62" i="28"/>
  <c r="G38" i="28"/>
  <c r="G30" i="28"/>
  <c r="O120" i="16"/>
  <c r="O120" i="21"/>
  <c r="O114" i="18"/>
  <c r="P120" i="22"/>
  <c r="P123" i="22"/>
  <c r="G89" i="28"/>
  <c r="G41" i="28"/>
  <c r="G33" i="28"/>
  <c r="O110" i="22"/>
  <c r="G123" i="28"/>
  <c r="G59" i="28"/>
  <c r="P110" i="22"/>
  <c r="P68" i="22"/>
  <c r="I9" i="3"/>
  <c r="J9" i="3" s="1"/>
  <c r="I8" i="3"/>
  <c r="J8" i="3" s="1"/>
  <c r="I7" i="3"/>
  <c r="J7" i="3" s="1"/>
  <c r="I6" i="3"/>
  <c r="J6" i="3" s="1"/>
  <c r="I5" i="3"/>
  <c r="J5" i="3" s="1"/>
  <c r="I4" i="3"/>
  <c r="J4" i="3" s="1"/>
  <c r="I3" i="3"/>
  <c r="J3" i="3" s="1"/>
  <c r="G205" i="28"/>
  <c r="G197" i="28"/>
  <c r="G189" i="28"/>
  <c r="G181" i="28"/>
  <c r="G173" i="28"/>
  <c r="G165" i="28"/>
  <c r="G157" i="28"/>
  <c r="G149" i="28"/>
  <c r="G141" i="28"/>
  <c r="G133" i="28"/>
  <c r="G125" i="28"/>
  <c r="G117" i="28"/>
  <c r="G109" i="28"/>
  <c r="G101" i="28"/>
  <c r="G93" i="28"/>
  <c r="G85" i="28"/>
  <c r="G77" i="28"/>
  <c r="G69" i="28"/>
  <c r="G53" i="28"/>
  <c r="G45" i="28"/>
  <c r="G37" i="28"/>
  <c r="G21" i="28"/>
  <c r="G13" i="28"/>
  <c r="G5" i="28"/>
  <c r="G199" i="28"/>
  <c r="G191" i="28"/>
  <c r="G183" i="28"/>
  <c r="G175" i="28"/>
  <c r="G167" i="28"/>
  <c r="G159" i="28"/>
  <c r="G151" i="28"/>
  <c r="G143" i="28"/>
  <c r="G135" i="28"/>
  <c r="G127" i="28"/>
  <c r="G119" i="28"/>
  <c r="G111" i="28"/>
  <c r="G103" i="28"/>
  <c r="G95" i="28"/>
  <c r="G87" i="28"/>
  <c r="G79" i="28"/>
  <c r="G71" i="28"/>
  <c r="G63" i="28"/>
  <c r="G55" i="28"/>
  <c r="G47" i="28"/>
  <c r="G39" i="28"/>
  <c r="G31" i="28"/>
  <c r="G23" i="28"/>
  <c r="G15" i="28"/>
  <c r="G7" i="28"/>
  <c r="O119" i="18"/>
  <c r="O118" i="4"/>
  <c r="O120" i="20"/>
  <c r="O123" i="20"/>
  <c r="O110" i="21"/>
  <c r="P113" i="4"/>
  <c r="O125" i="18"/>
  <c r="O114" i="19"/>
  <c r="N110" i="20"/>
  <c r="O113" i="20"/>
  <c r="O124" i="21"/>
  <c r="G208" i="28"/>
  <c r="G200" i="28"/>
  <c r="G192" i="28"/>
  <c r="G184" i="28"/>
  <c r="G176" i="28"/>
  <c r="G168" i="28"/>
  <c r="G160" i="28"/>
  <c r="G152" i="28"/>
  <c r="G144" i="28"/>
  <c r="G136" i="28"/>
  <c r="G128" i="28"/>
  <c r="G120" i="28"/>
  <c r="G104" i="28"/>
  <c r="G96" i="28"/>
  <c r="G88" i="28"/>
  <c r="L8" i="28"/>
  <c r="G72" i="28"/>
  <c r="G64" i="28"/>
  <c r="G56" i="28"/>
  <c r="G48" i="28"/>
  <c r="G40" i="28"/>
  <c r="G32" i="28"/>
  <c r="G24" i="28"/>
  <c r="G16" i="28"/>
  <c r="G8" i="28"/>
  <c r="P120" i="4"/>
  <c r="P123" i="4"/>
  <c r="O118" i="18"/>
  <c r="O119" i="17"/>
  <c r="O124" i="19"/>
  <c r="O108" i="20"/>
  <c r="O125" i="20"/>
  <c r="I2" i="3"/>
  <c r="J2" i="3" s="1"/>
  <c r="P115" i="22"/>
  <c r="P109" i="22"/>
  <c r="O109" i="22"/>
  <c r="P108" i="22"/>
  <c r="O108" i="22"/>
  <c r="O114" i="22"/>
  <c r="O118" i="22"/>
  <c r="O120" i="22"/>
  <c r="O124" i="22"/>
  <c r="O113" i="22"/>
  <c r="O115" i="22"/>
  <c r="O119" i="22"/>
  <c r="O123" i="22"/>
  <c r="O125" i="22"/>
  <c r="O118" i="21"/>
  <c r="O113" i="21"/>
  <c r="O99" i="21"/>
  <c r="N108" i="21"/>
  <c r="O76" i="21"/>
  <c r="O72" i="21"/>
  <c r="N110" i="21"/>
  <c r="N109" i="21"/>
  <c r="N114" i="21"/>
  <c r="N118" i="21"/>
  <c r="N120" i="21"/>
  <c r="N124" i="21"/>
  <c r="O109" i="21"/>
  <c r="N113" i="21"/>
  <c r="N115" i="21"/>
  <c r="N119" i="21"/>
  <c r="N123" i="21"/>
  <c r="N125" i="21"/>
  <c r="O110" i="16"/>
  <c r="O114" i="20"/>
  <c r="G70" i="28"/>
  <c r="O119" i="20"/>
  <c r="P119" i="4"/>
  <c r="O124" i="20"/>
  <c r="G102" i="28"/>
  <c r="P109" i="4"/>
  <c r="O120" i="19"/>
  <c r="G134" i="28"/>
  <c r="P125" i="4"/>
  <c r="O124" i="16"/>
  <c r="O118" i="17"/>
  <c r="G182" i="28"/>
  <c r="O118" i="20"/>
  <c r="O115" i="20"/>
  <c r="O110" i="20"/>
  <c r="N109" i="20"/>
  <c r="N114" i="20"/>
  <c r="N118" i="20"/>
  <c r="N120" i="20"/>
  <c r="N124" i="20"/>
  <c r="O109" i="20"/>
  <c r="N108" i="20"/>
  <c r="N113" i="20"/>
  <c r="N115" i="20"/>
  <c r="N119" i="20"/>
  <c r="N123" i="20"/>
  <c r="N125" i="20"/>
  <c r="L3" i="28"/>
  <c r="L10" i="28"/>
  <c r="O108" i="4"/>
  <c r="O114" i="16"/>
  <c r="N110" i="18"/>
  <c r="O119" i="19"/>
  <c r="G190" i="28"/>
  <c r="G166" i="28"/>
  <c r="G142" i="28"/>
  <c r="G118" i="28"/>
  <c r="G94" i="28"/>
  <c r="G54" i="28"/>
  <c r="G14" i="28"/>
  <c r="O119" i="16"/>
  <c r="L26" i="28"/>
  <c r="P115" i="4"/>
  <c r="O115" i="16"/>
  <c r="O118" i="16"/>
  <c r="O124" i="18"/>
  <c r="O124" i="17"/>
  <c r="L21" i="28"/>
  <c r="G110" i="28"/>
  <c r="G86" i="28"/>
  <c r="G46" i="28"/>
  <c r="G6" i="28"/>
  <c r="O114" i="17"/>
  <c r="G80" i="28"/>
  <c r="G112" i="28"/>
  <c r="O125" i="16"/>
  <c r="O110" i="18"/>
  <c r="G206" i="28"/>
  <c r="G174" i="28"/>
  <c r="G150" i="28"/>
  <c r="G78" i="28"/>
  <c r="G22" i="28"/>
  <c r="O110" i="19"/>
  <c r="O123" i="19"/>
  <c r="O113" i="19"/>
  <c r="N110" i="19"/>
  <c r="N109" i="19"/>
  <c r="N114" i="19"/>
  <c r="N118" i="19"/>
  <c r="N120" i="19"/>
  <c r="N124" i="19"/>
  <c r="O109" i="19"/>
  <c r="O108" i="19"/>
  <c r="N113" i="19"/>
  <c r="N115" i="19"/>
  <c r="N119" i="19"/>
  <c r="N123" i="19"/>
  <c r="N125" i="19"/>
  <c r="O125" i="17"/>
  <c r="O108" i="17"/>
  <c r="N108" i="17"/>
  <c r="N110" i="17"/>
  <c r="N109" i="17"/>
  <c r="N114" i="17"/>
  <c r="N118" i="17"/>
  <c r="N120" i="17"/>
  <c r="N124" i="17"/>
  <c r="O109" i="17"/>
  <c r="N113" i="17"/>
  <c r="N115" i="17"/>
  <c r="N119" i="17"/>
  <c r="N123" i="17"/>
  <c r="N125" i="17"/>
  <c r="O115" i="18"/>
  <c r="O113" i="18"/>
  <c r="O108" i="18"/>
  <c r="N109" i="18"/>
  <c r="N114" i="18"/>
  <c r="N118" i="18"/>
  <c r="N120" i="18"/>
  <c r="N124" i="18"/>
  <c r="O109" i="18"/>
  <c r="N108" i="18"/>
  <c r="N113" i="18"/>
  <c r="N115" i="18"/>
  <c r="N119" i="18"/>
  <c r="N123" i="18"/>
  <c r="N125" i="18"/>
  <c r="O113" i="16"/>
  <c r="N108" i="16"/>
  <c r="N109" i="16"/>
  <c r="N114" i="16"/>
  <c r="N118" i="16"/>
  <c r="N120" i="16"/>
  <c r="N124" i="16"/>
  <c r="O109" i="16"/>
  <c r="N110" i="16"/>
  <c r="N113" i="16"/>
  <c r="N115" i="16"/>
  <c r="N119" i="16"/>
  <c r="N123" i="16"/>
  <c r="N125" i="16"/>
  <c r="O124" i="4"/>
  <c r="O120" i="4"/>
  <c r="P118" i="4"/>
  <c r="O114" i="4"/>
  <c r="P114" i="4"/>
  <c r="P110" i="4"/>
  <c r="O110" i="4"/>
  <c r="O109" i="4"/>
  <c r="O113" i="4"/>
  <c r="O115" i="4"/>
  <c r="O119" i="4"/>
  <c r="O123" i="4"/>
  <c r="O125" i="4"/>
  <c r="L29" i="28"/>
  <c r="L28" i="28"/>
  <c r="L27" i="28"/>
  <c r="L25" i="28"/>
  <c r="L23" i="28"/>
  <c r="L30" i="28"/>
  <c r="G185" i="28"/>
  <c r="G153" i="28"/>
  <c r="G137" i="28"/>
  <c r="L9" i="28"/>
  <c r="G73" i="28"/>
  <c r="L7" i="28"/>
  <c r="L4" i="28"/>
  <c r="G17" i="28"/>
  <c r="G201" i="28"/>
  <c r="G193" i="28"/>
  <c r="G177" i="28"/>
  <c r="G169" i="28"/>
  <c r="G145" i="28"/>
  <c r="G129" i="28"/>
  <c r="G121" i="28"/>
  <c r="G113" i="28"/>
  <c r="G105" i="28"/>
  <c r="G97" i="28"/>
  <c r="G81" i="28"/>
  <c r="G65" i="28"/>
  <c r="G57" i="28"/>
  <c r="G49" i="28"/>
  <c r="G9" i="28"/>
  <c r="G209" i="28"/>
  <c r="G212" i="28"/>
  <c r="L22" i="28"/>
  <c r="L24" i="28"/>
  <c r="G35" i="28"/>
  <c r="G99" i="28"/>
  <c r="L13" i="28"/>
  <c r="G195" i="28"/>
  <c r="G75" i="28"/>
  <c r="L18" i="28"/>
  <c r="G11" i="28"/>
  <c r="G25" i="28"/>
  <c r="G51" i="28"/>
  <c r="G115" i="28"/>
  <c r="L14" i="28"/>
  <c r="G171" i="28"/>
  <c r="L19" i="28"/>
  <c r="G211" i="28"/>
  <c r="G19" i="28"/>
  <c r="G91" i="28"/>
  <c r="G155" i="28"/>
  <c r="G187" i="28"/>
  <c r="G139" i="28"/>
  <c r="G67" i="28"/>
  <c r="G131" i="28"/>
  <c r="G161" i="28"/>
  <c r="G202" i="28"/>
  <c r="G207" i="28"/>
  <c r="G107" i="28"/>
  <c r="L15" i="28"/>
  <c r="L17" i="28"/>
  <c r="G203" i="28"/>
  <c r="G27" i="28"/>
  <c r="G43" i="28"/>
  <c r="G83" i="28"/>
  <c r="L11" i="28"/>
  <c r="G147" i="28"/>
  <c r="G163" i="28"/>
  <c r="G179" i="28"/>
  <c r="L6" i="28"/>
  <c r="L12" i="28"/>
  <c r="L16" i="28"/>
  <c r="L20" i="28"/>
  <c r="L5" i="28"/>
  <c r="G82" i="28"/>
  <c r="G98" i="28"/>
  <c r="G122" i="28"/>
  <c r="G138" i="28"/>
  <c r="G154" i="28"/>
  <c r="G162" i="28"/>
  <c r="G178" i="28"/>
  <c r="G186" i="28"/>
  <c r="G3" i="28"/>
  <c r="P98" i="4"/>
  <c r="O103" i="16"/>
  <c r="O98" i="18"/>
  <c r="O104" i="17"/>
  <c r="O88" i="19"/>
  <c r="O98" i="21"/>
  <c r="M4" i="26"/>
  <c r="P93" i="4"/>
  <c r="M6" i="26"/>
  <c r="M7" i="26"/>
  <c r="M3" i="26"/>
  <c r="M10" i="26"/>
  <c r="O89" i="21"/>
  <c r="M5" i="26"/>
  <c r="M9" i="26"/>
  <c r="M8" i="26"/>
  <c r="O103" i="18"/>
  <c r="O93" i="19"/>
  <c r="P103" i="22"/>
  <c r="P99" i="22"/>
  <c r="P98" i="22"/>
  <c r="P97" i="22"/>
  <c r="P92" i="22"/>
  <c r="P94" i="22"/>
  <c r="P88" i="22"/>
  <c r="P89" i="22"/>
  <c r="O87" i="22"/>
  <c r="O88" i="22"/>
  <c r="P87" i="22"/>
  <c r="O93" i="22"/>
  <c r="O97" i="22"/>
  <c r="O99" i="22"/>
  <c r="O103" i="22"/>
  <c r="O92" i="22"/>
  <c r="O94" i="22"/>
  <c r="O98" i="22"/>
  <c r="O102" i="22"/>
  <c r="O104" i="22"/>
  <c r="O104" i="21"/>
  <c r="O103" i="21"/>
  <c r="O102" i="21"/>
  <c r="O97" i="21"/>
  <c r="O92" i="21"/>
  <c r="O87" i="21"/>
  <c r="N89" i="21"/>
  <c r="N88" i="21"/>
  <c r="N93" i="21"/>
  <c r="N97" i="21"/>
  <c r="N99" i="21"/>
  <c r="N103" i="21"/>
  <c r="O88" i="21"/>
  <c r="N87" i="21"/>
  <c r="N92" i="21"/>
  <c r="N94" i="21"/>
  <c r="N98" i="21"/>
  <c r="N102" i="21"/>
  <c r="N104" i="21"/>
  <c r="O103" i="20"/>
  <c r="O102" i="20"/>
  <c r="O99" i="20"/>
  <c r="O98" i="20"/>
  <c r="O97" i="20"/>
  <c r="O94" i="20"/>
  <c r="O93" i="20"/>
  <c r="O92" i="20"/>
  <c r="O87" i="20"/>
  <c r="N87" i="20"/>
  <c r="N88" i="20"/>
  <c r="N93" i="20"/>
  <c r="N97" i="20"/>
  <c r="N99" i="20"/>
  <c r="N103" i="20"/>
  <c r="N89" i="20"/>
  <c r="O88" i="20"/>
  <c r="N92" i="20"/>
  <c r="N94" i="20"/>
  <c r="N98" i="20"/>
  <c r="N102" i="20"/>
  <c r="N104" i="20"/>
  <c r="O102" i="19"/>
  <c r="O104" i="19"/>
  <c r="O99" i="19"/>
  <c r="O98" i="19"/>
  <c r="O97" i="19"/>
  <c r="O92" i="19"/>
  <c r="O87" i="19"/>
  <c r="O89" i="19"/>
  <c r="N87" i="19"/>
  <c r="N89" i="19"/>
  <c r="N88" i="19"/>
  <c r="N93" i="19"/>
  <c r="N97" i="19"/>
  <c r="N99" i="19"/>
  <c r="N103" i="19"/>
  <c r="N92" i="19"/>
  <c r="N94" i="19"/>
  <c r="N98" i="19"/>
  <c r="N102" i="19"/>
  <c r="N104" i="19"/>
  <c r="P87" i="4"/>
  <c r="O89" i="18"/>
  <c r="O98" i="17"/>
  <c r="P99" i="4"/>
  <c r="P102" i="4"/>
  <c r="O99" i="18"/>
  <c r="O103" i="17"/>
  <c r="P89" i="4"/>
  <c r="P88" i="4"/>
  <c r="O102" i="17"/>
  <c r="O99" i="17"/>
  <c r="O93" i="17"/>
  <c r="O89" i="17"/>
  <c r="N89" i="17"/>
  <c r="N93" i="17"/>
  <c r="N97" i="17"/>
  <c r="N99" i="17"/>
  <c r="N103" i="17"/>
  <c r="N88" i="17"/>
  <c r="O88" i="17"/>
  <c r="N87" i="17"/>
  <c r="N92" i="17"/>
  <c r="N94" i="17"/>
  <c r="N98" i="17"/>
  <c r="N102" i="17"/>
  <c r="N104" i="17"/>
  <c r="O102" i="18"/>
  <c r="N103" i="18"/>
  <c r="O97" i="18"/>
  <c r="N99" i="18"/>
  <c r="N97" i="18"/>
  <c r="O92" i="18"/>
  <c r="N93" i="18"/>
  <c r="N89" i="18"/>
  <c r="N88" i="18"/>
  <c r="N87" i="18"/>
  <c r="N92" i="18"/>
  <c r="N94" i="18"/>
  <c r="N98" i="18"/>
  <c r="N102" i="18"/>
  <c r="N104" i="18"/>
  <c r="O102" i="16"/>
  <c r="O98" i="16"/>
  <c r="O92" i="16"/>
  <c r="N89" i="16"/>
  <c r="N93" i="16"/>
  <c r="N97" i="16"/>
  <c r="N99" i="16"/>
  <c r="N103" i="16"/>
  <c r="O88" i="16"/>
  <c r="N88" i="16"/>
  <c r="N87" i="16"/>
  <c r="N92" i="16"/>
  <c r="N94" i="16"/>
  <c r="N98" i="16"/>
  <c r="N102" i="16"/>
  <c r="N104" i="16"/>
  <c r="P103" i="4"/>
  <c r="O103" i="4"/>
  <c r="O88" i="4"/>
  <c r="O87" i="4"/>
  <c r="O89" i="4"/>
  <c r="O93" i="4"/>
  <c r="O97" i="4"/>
  <c r="O99" i="4"/>
  <c r="O92" i="4"/>
  <c r="O94" i="4"/>
  <c r="O98" i="4"/>
  <c r="O102" i="4"/>
  <c r="O104" i="4"/>
  <c r="I124" i="26"/>
  <c r="I120" i="26"/>
  <c r="I117" i="26"/>
  <c r="I115" i="26"/>
  <c r="I114" i="26"/>
  <c r="I110" i="26"/>
  <c r="I107" i="26"/>
  <c r="I105" i="26"/>
  <c r="I104" i="26"/>
  <c r="I101" i="26"/>
  <c r="I96" i="26"/>
  <c r="I99" i="26"/>
  <c r="I98" i="26"/>
  <c r="I95" i="26"/>
  <c r="I90" i="26"/>
  <c r="I94" i="26"/>
  <c r="I87" i="26"/>
  <c r="I85" i="26"/>
  <c r="I84" i="26"/>
  <c r="I81" i="26"/>
  <c r="I79" i="26"/>
  <c r="I78" i="26"/>
  <c r="I76" i="26"/>
  <c r="I75" i="26"/>
  <c r="I74" i="26"/>
  <c r="I68" i="26"/>
  <c r="I71" i="26"/>
  <c r="I69" i="26"/>
  <c r="I66" i="26"/>
  <c r="I65" i="26"/>
  <c r="I64" i="26"/>
  <c r="I62" i="26"/>
  <c r="I61" i="26"/>
  <c r="I60" i="26"/>
  <c r="I59" i="26"/>
  <c r="I55" i="26"/>
  <c r="I52" i="26"/>
  <c r="I50" i="26"/>
  <c r="I44" i="26"/>
  <c r="I49" i="26"/>
  <c r="I46" i="26"/>
  <c r="I43" i="26"/>
  <c r="I41" i="26"/>
  <c r="I40" i="26"/>
  <c r="I39" i="26"/>
  <c r="I36" i="26"/>
  <c r="I33" i="26"/>
  <c r="I29" i="26"/>
  <c r="I34" i="26"/>
  <c r="I31" i="26"/>
  <c r="I30" i="26"/>
  <c r="I27" i="26"/>
  <c r="I26" i="26"/>
  <c r="I25" i="26"/>
  <c r="I24" i="26"/>
  <c r="I21" i="26"/>
  <c r="I19" i="26"/>
  <c r="I18" i="26"/>
  <c r="I16" i="26"/>
  <c r="I15" i="26"/>
  <c r="I14" i="26"/>
  <c r="I12" i="26"/>
  <c r="I11" i="26"/>
  <c r="I10" i="26"/>
  <c r="I9" i="26"/>
  <c r="I7" i="26"/>
  <c r="I6" i="26"/>
  <c r="I5" i="26"/>
  <c r="I4" i="26"/>
  <c r="I3" i="26"/>
  <c r="O82" i="16"/>
  <c r="O72" i="18"/>
  <c r="O82" i="17"/>
  <c r="O72" i="19"/>
  <c r="O66" i="20"/>
  <c r="O82" i="20"/>
  <c r="O82" i="21"/>
  <c r="N68" i="19"/>
  <c r="P67" i="22"/>
  <c r="K10" i="24"/>
  <c r="O77" i="17"/>
  <c r="O78" i="20"/>
  <c r="O77" i="21"/>
  <c r="P67" i="4"/>
  <c r="O72" i="16"/>
  <c r="O72" i="17"/>
  <c r="O77" i="18"/>
  <c r="O68" i="20"/>
  <c r="O71" i="20"/>
  <c r="P71" i="22"/>
  <c r="P78" i="4"/>
  <c r="P81" i="4"/>
  <c r="O73" i="18"/>
  <c r="O76" i="18"/>
  <c r="N66" i="17"/>
  <c r="O83" i="17"/>
  <c r="O73" i="19"/>
  <c r="O76" i="19"/>
  <c r="O83" i="20"/>
  <c r="O66" i="21"/>
  <c r="O83" i="21"/>
  <c r="O67" i="22"/>
  <c r="P66" i="22"/>
  <c r="O72" i="22"/>
  <c r="O76" i="22"/>
  <c r="O78" i="22"/>
  <c r="O82" i="22"/>
  <c r="O71" i="22"/>
  <c r="O73" i="22"/>
  <c r="O77" i="22"/>
  <c r="O81" i="22"/>
  <c r="O83" i="22"/>
  <c r="N66" i="21"/>
  <c r="N68" i="21"/>
  <c r="N67" i="21"/>
  <c r="N72" i="21"/>
  <c r="N76" i="21"/>
  <c r="N78" i="21"/>
  <c r="N82" i="21"/>
  <c r="O67" i="21"/>
  <c r="N71" i="21"/>
  <c r="N73" i="21"/>
  <c r="N77" i="21"/>
  <c r="N81" i="21"/>
  <c r="N83" i="21"/>
  <c r="N66" i="20"/>
  <c r="N68" i="20"/>
  <c r="N67" i="20"/>
  <c r="N72" i="20"/>
  <c r="N76" i="20"/>
  <c r="N78" i="20"/>
  <c r="N82" i="20"/>
  <c r="O67" i="20"/>
  <c r="N71" i="20"/>
  <c r="N73" i="20"/>
  <c r="N77" i="20"/>
  <c r="N81" i="20"/>
  <c r="N83" i="20"/>
  <c r="O68" i="19"/>
  <c r="N66" i="19"/>
  <c r="N67" i="19"/>
  <c r="N72" i="19"/>
  <c r="N76" i="19"/>
  <c r="N78" i="19"/>
  <c r="N82" i="19"/>
  <c r="O67" i="19"/>
  <c r="N71" i="19"/>
  <c r="N73" i="19"/>
  <c r="N77" i="19"/>
  <c r="N81" i="19"/>
  <c r="N83" i="19"/>
  <c r="N82" i="17"/>
  <c r="N68" i="17"/>
  <c r="N67" i="17"/>
  <c r="N72" i="17"/>
  <c r="N76" i="17"/>
  <c r="N78" i="17"/>
  <c r="O66" i="17"/>
  <c r="N71" i="17"/>
  <c r="N73" i="17"/>
  <c r="N77" i="17"/>
  <c r="N81" i="17"/>
  <c r="N83" i="17"/>
  <c r="O81" i="18"/>
  <c r="O78" i="18"/>
  <c r="O71" i="18"/>
  <c r="O68" i="18"/>
  <c r="N66" i="18"/>
  <c r="N68" i="18"/>
  <c r="N67" i="18"/>
  <c r="N72" i="18"/>
  <c r="N76" i="18"/>
  <c r="N78" i="18"/>
  <c r="N82" i="18"/>
  <c r="O67" i="18"/>
  <c r="N71" i="18"/>
  <c r="N73" i="18"/>
  <c r="N77" i="18"/>
  <c r="N81" i="18"/>
  <c r="N83" i="18"/>
  <c r="O81" i="16"/>
  <c r="O77" i="16"/>
  <c r="O71" i="16"/>
  <c r="N66" i="16"/>
  <c r="N68" i="16"/>
  <c r="N67" i="16"/>
  <c r="N72" i="16"/>
  <c r="N76" i="16"/>
  <c r="N78" i="16"/>
  <c r="N82" i="16"/>
  <c r="O67" i="16"/>
  <c r="N71" i="16"/>
  <c r="N73" i="16"/>
  <c r="N77" i="16"/>
  <c r="N81" i="16"/>
  <c r="N83" i="16"/>
  <c r="P82" i="4"/>
  <c r="P77" i="4"/>
  <c r="P72" i="4"/>
  <c r="P68" i="4"/>
  <c r="O67" i="4"/>
  <c r="O68" i="4"/>
  <c r="P66" i="4"/>
  <c r="O66" i="4"/>
  <c r="O72" i="4"/>
  <c r="O76" i="4"/>
  <c r="O78" i="4"/>
  <c r="O82" i="4"/>
  <c r="O71" i="4"/>
  <c r="O73" i="4"/>
  <c r="O77" i="4"/>
  <c r="O81" i="4"/>
  <c r="O83" i="4"/>
  <c r="K3" i="24"/>
  <c r="K4" i="24"/>
  <c r="K5" i="24"/>
  <c r="K6" i="24"/>
  <c r="K8" i="24"/>
  <c r="K9" i="24"/>
  <c r="K7" i="24"/>
  <c r="G55" i="24"/>
  <c r="G43" i="24"/>
  <c r="G33" i="24"/>
  <c r="G80" i="24"/>
  <c r="G77" i="24"/>
  <c r="G72" i="24"/>
  <c r="G78" i="24"/>
  <c r="G74" i="24"/>
  <c r="G83" i="24"/>
  <c r="G38" i="24"/>
  <c r="G54" i="24"/>
  <c r="G68" i="24"/>
  <c r="G47" i="24"/>
  <c r="G37" i="24"/>
  <c r="G69" i="24"/>
  <c r="G67" i="24"/>
  <c r="G39" i="24"/>
  <c r="G64" i="24"/>
  <c r="G62" i="24"/>
  <c r="G61" i="24"/>
  <c r="G59" i="24"/>
  <c r="G71" i="24"/>
  <c r="G53" i="24"/>
  <c r="G46" i="24"/>
  <c r="G35" i="24"/>
  <c r="G52" i="24"/>
  <c r="G34" i="24"/>
  <c r="G58" i="24"/>
  <c r="G57" i="24"/>
  <c r="G49" i="24"/>
  <c r="G44" i="24"/>
  <c r="G42" i="24"/>
  <c r="G32" i="24"/>
  <c r="G31" i="24"/>
  <c r="G28" i="24"/>
  <c r="G26" i="24"/>
  <c r="G25" i="24"/>
  <c r="G23" i="24"/>
  <c r="G22" i="24"/>
  <c r="G21" i="24"/>
  <c r="G19" i="24"/>
  <c r="G18" i="24"/>
  <c r="G17" i="24"/>
  <c r="G16" i="24"/>
  <c r="G14" i="24"/>
  <c r="G13" i="24"/>
  <c r="G12" i="24"/>
  <c r="G11" i="24"/>
  <c r="G10" i="24"/>
  <c r="G8" i="24"/>
  <c r="G7" i="24"/>
  <c r="G6" i="24"/>
  <c r="G5" i="24"/>
  <c r="G4" i="24"/>
  <c r="G3" i="24"/>
  <c r="O9" i="24"/>
  <c r="O10" i="24" s="1"/>
  <c r="U45" i="22"/>
  <c r="U46" i="22"/>
  <c r="U47" i="22"/>
  <c r="T45" i="22"/>
  <c r="T46" i="22"/>
  <c r="T47" i="22"/>
  <c r="S45" i="22"/>
  <c r="S46" i="22"/>
  <c r="S47" i="22"/>
  <c r="U24" i="22"/>
  <c r="U25" i="22"/>
  <c r="U26" i="22"/>
  <c r="T24" i="22"/>
  <c r="T25" i="22"/>
  <c r="T26" i="22"/>
  <c r="S24" i="22"/>
  <c r="S25" i="22"/>
  <c r="S26" i="22"/>
  <c r="U3" i="22"/>
  <c r="U4" i="22"/>
  <c r="U5" i="22"/>
  <c r="T3" i="22"/>
  <c r="T4" i="22"/>
  <c r="T5" i="22"/>
  <c r="S3" i="22"/>
  <c r="S4" i="22"/>
  <c r="S5" i="22"/>
  <c r="N62" i="22"/>
  <c r="M62" i="22"/>
  <c r="N61" i="22"/>
  <c r="M61" i="22"/>
  <c r="N60" i="22"/>
  <c r="M60" i="22"/>
  <c r="N57" i="22"/>
  <c r="M57" i="22"/>
  <c r="N56" i="22"/>
  <c r="M56" i="22"/>
  <c r="N55" i="22"/>
  <c r="M55" i="22"/>
  <c r="N52" i="22"/>
  <c r="M52" i="22"/>
  <c r="N51" i="22"/>
  <c r="M51" i="22"/>
  <c r="N50" i="22"/>
  <c r="M50" i="22"/>
  <c r="N47" i="22"/>
  <c r="M47" i="22"/>
  <c r="N46" i="22"/>
  <c r="M46" i="22"/>
  <c r="N45" i="22"/>
  <c r="M45" i="22"/>
  <c r="N41" i="22"/>
  <c r="M41" i="22"/>
  <c r="N40" i="22"/>
  <c r="M40" i="22"/>
  <c r="N39" i="22"/>
  <c r="M39" i="22"/>
  <c r="N36" i="22"/>
  <c r="M36" i="22"/>
  <c r="N35" i="22"/>
  <c r="M35" i="22"/>
  <c r="N34" i="22"/>
  <c r="M34" i="22"/>
  <c r="N31" i="22"/>
  <c r="M31" i="22"/>
  <c r="N30" i="22"/>
  <c r="M30" i="22"/>
  <c r="N29" i="22"/>
  <c r="M29" i="22"/>
  <c r="N26" i="22"/>
  <c r="M26" i="22"/>
  <c r="N25" i="22"/>
  <c r="M25" i="22"/>
  <c r="N24" i="22"/>
  <c r="M24" i="22"/>
  <c r="N20" i="22"/>
  <c r="M20" i="22"/>
  <c r="N19" i="22"/>
  <c r="M19" i="22"/>
  <c r="N18" i="22"/>
  <c r="M18" i="22"/>
  <c r="N15" i="22"/>
  <c r="M15" i="22"/>
  <c r="N14" i="22"/>
  <c r="M14" i="22"/>
  <c r="N13" i="22"/>
  <c r="M13" i="22"/>
  <c r="N10" i="22"/>
  <c r="M10" i="22"/>
  <c r="N9" i="22"/>
  <c r="M9" i="22"/>
  <c r="N8" i="22"/>
  <c r="M8" i="22"/>
  <c r="N5" i="22"/>
  <c r="M5" i="22"/>
  <c r="N4" i="22"/>
  <c r="M4" i="22"/>
  <c r="N3" i="22"/>
  <c r="M3" i="22"/>
  <c r="S45" i="21"/>
  <c r="R45" i="21"/>
  <c r="S46" i="21"/>
  <c r="S47" i="21"/>
  <c r="R46" i="21"/>
  <c r="R47" i="21"/>
  <c r="S24" i="21"/>
  <c r="R24" i="21"/>
  <c r="S25" i="21"/>
  <c r="S26" i="21"/>
  <c r="R25" i="21"/>
  <c r="R26" i="21"/>
  <c r="S3" i="21"/>
  <c r="R3" i="21"/>
  <c r="S4" i="21"/>
  <c r="S5" i="21"/>
  <c r="R4" i="21"/>
  <c r="R5" i="21"/>
  <c r="M62" i="21"/>
  <c r="L62" i="21"/>
  <c r="M61" i="21"/>
  <c r="L61" i="21"/>
  <c r="M60" i="21"/>
  <c r="L60" i="21"/>
  <c r="M57" i="21"/>
  <c r="L57" i="21"/>
  <c r="M56" i="21"/>
  <c r="L56" i="21"/>
  <c r="M55" i="21"/>
  <c r="L55" i="21"/>
  <c r="M52" i="21"/>
  <c r="L52" i="21"/>
  <c r="M51" i="21"/>
  <c r="L51" i="21"/>
  <c r="M50" i="21"/>
  <c r="L50" i="21"/>
  <c r="M47" i="21"/>
  <c r="L47" i="21"/>
  <c r="M46" i="21"/>
  <c r="L46" i="21"/>
  <c r="M45" i="21"/>
  <c r="L45" i="21"/>
  <c r="M41" i="21"/>
  <c r="L41" i="21"/>
  <c r="M40" i="21"/>
  <c r="L40" i="21"/>
  <c r="M39" i="21"/>
  <c r="L39" i="21"/>
  <c r="M36" i="21"/>
  <c r="L36" i="21"/>
  <c r="M35" i="21"/>
  <c r="L35" i="21"/>
  <c r="M34" i="21"/>
  <c r="L34" i="21"/>
  <c r="M31" i="21"/>
  <c r="L31" i="21"/>
  <c r="M30" i="21"/>
  <c r="L30" i="21"/>
  <c r="M29" i="21"/>
  <c r="L29" i="21"/>
  <c r="M26" i="21"/>
  <c r="L26" i="21"/>
  <c r="M25" i="21"/>
  <c r="L25" i="21"/>
  <c r="M24" i="21"/>
  <c r="L24" i="21"/>
  <c r="M20" i="21"/>
  <c r="L20" i="21"/>
  <c r="M19" i="21"/>
  <c r="L19" i="21"/>
  <c r="M18" i="21"/>
  <c r="L18" i="21"/>
  <c r="M15" i="21"/>
  <c r="L15" i="21"/>
  <c r="M14" i="21"/>
  <c r="L14" i="21"/>
  <c r="M13" i="21"/>
  <c r="L13" i="21"/>
  <c r="M10" i="21"/>
  <c r="L10" i="21"/>
  <c r="M9" i="21"/>
  <c r="L9" i="21"/>
  <c r="M8" i="21"/>
  <c r="L8" i="21"/>
  <c r="M5" i="21"/>
  <c r="L5" i="21"/>
  <c r="M4" i="21"/>
  <c r="L4" i="21"/>
  <c r="M3" i="21"/>
  <c r="L3" i="21"/>
  <c r="S45" i="20"/>
  <c r="S46" i="20"/>
  <c r="S47" i="20"/>
  <c r="R46" i="20"/>
  <c r="R47" i="20"/>
  <c r="R45" i="20"/>
  <c r="S24" i="20"/>
  <c r="S25" i="20"/>
  <c r="S26" i="20"/>
  <c r="R24" i="20"/>
  <c r="R25" i="20"/>
  <c r="R26" i="20"/>
  <c r="S3" i="20"/>
  <c r="S4" i="20"/>
  <c r="S5" i="20"/>
  <c r="R3" i="20"/>
  <c r="R4" i="20"/>
  <c r="R5" i="20"/>
  <c r="M62" i="20"/>
  <c r="L62" i="20"/>
  <c r="M61" i="20"/>
  <c r="L61" i="20"/>
  <c r="M60" i="20"/>
  <c r="L60" i="20"/>
  <c r="M57" i="20"/>
  <c r="L57" i="20"/>
  <c r="M56" i="20"/>
  <c r="L56" i="20"/>
  <c r="M55" i="20"/>
  <c r="L55" i="20"/>
  <c r="M52" i="20"/>
  <c r="L52" i="20"/>
  <c r="M51" i="20"/>
  <c r="L51" i="20"/>
  <c r="M50" i="20"/>
  <c r="L50" i="20"/>
  <c r="M47" i="20"/>
  <c r="L47" i="20"/>
  <c r="M46" i="20"/>
  <c r="L46" i="20"/>
  <c r="M45" i="20"/>
  <c r="L45" i="20"/>
  <c r="O45" i="20" s="1"/>
  <c r="M41" i="20"/>
  <c r="L41" i="20"/>
  <c r="M40" i="20"/>
  <c r="L40" i="20"/>
  <c r="M39" i="20"/>
  <c r="L39" i="20"/>
  <c r="M36" i="20"/>
  <c r="L36" i="20"/>
  <c r="M35" i="20"/>
  <c r="L35" i="20"/>
  <c r="M34" i="20"/>
  <c r="L34" i="20"/>
  <c r="M31" i="20"/>
  <c r="L31" i="20"/>
  <c r="M30" i="20"/>
  <c r="L30" i="20"/>
  <c r="M29" i="20"/>
  <c r="L29" i="20"/>
  <c r="M26" i="20"/>
  <c r="L26" i="20"/>
  <c r="M25" i="20"/>
  <c r="L25" i="20"/>
  <c r="M24" i="20"/>
  <c r="L24" i="20"/>
  <c r="M20" i="20"/>
  <c r="L20" i="20"/>
  <c r="M19" i="20"/>
  <c r="L19" i="20"/>
  <c r="M18" i="20"/>
  <c r="L18" i="20"/>
  <c r="M15" i="20"/>
  <c r="L15" i="20"/>
  <c r="M14" i="20"/>
  <c r="L14" i="20"/>
  <c r="M13" i="20"/>
  <c r="L13" i="20"/>
  <c r="M10" i="20"/>
  <c r="L10" i="20"/>
  <c r="M9" i="20"/>
  <c r="L9" i="20"/>
  <c r="M8" i="20"/>
  <c r="L8" i="20"/>
  <c r="M5" i="20"/>
  <c r="L5" i="20"/>
  <c r="M4" i="20"/>
  <c r="L4" i="20"/>
  <c r="M3" i="20"/>
  <c r="L3" i="20"/>
  <c r="S45" i="19"/>
  <c r="R45" i="19"/>
  <c r="S46" i="19"/>
  <c r="S47" i="19"/>
  <c r="R46" i="19"/>
  <c r="R47" i="19"/>
  <c r="S24" i="19"/>
  <c r="S25" i="19"/>
  <c r="S26" i="19"/>
  <c r="R24" i="19"/>
  <c r="R25" i="19"/>
  <c r="R26" i="19"/>
  <c r="S3" i="19"/>
  <c r="S4" i="19"/>
  <c r="S5" i="19"/>
  <c r="R3" i="19"/>
  <c r="R4" i="19"/>
  <c r="R5" i="19"/>
  <c r="M62" i="19"/>
  <c r="L62" i="19"/>
  <c r="M61" i="19"/>
  <c r="L61" i="19"/>
  <c r="M60" i="19"/>
  <c r="L60" i="19"/>
  <c r="M57" i="19"/>
  <c r="L57" i="19"/>
  <c r="M56" i="19"/>
  <c r="L56" i="19"/>
  <c r="O56" i="19" s="1"/>
  <c r="M55" i="19"/>
  <c r="L55" i="19"/>
  <c r="M52" i="19"/>
  <c r="L52" i="19"/>
  <c r="M51" i="19"/>
  <c r="L51" i="19"/>
  <c r="M50" i="19"/>
  <c r="L50" i="19"/>
  <c r="M47" i="19"/>
  <c r="L47" i="19"/>
  <c r="M46" i="19"/>
  <c r="L46" i="19"/>
  <c r="M45" i="19"/>
  <c r="L45" i="19"/>
  <c r="M41" i="19"/>
  <c r="L41" i="19"/>
  <c r="M40" i="19"/>
  <c r="L40" i="19"/>
  <c r="M39" i="19"/>
  <c r="L39" i="19"/>
  <c r="M36" i="19"/>
  <c r="L36" i="19"/>
  <c r="M35" i="19"/>
  <c r="L35" i="19"/>
  <c r="M34" i="19"/>
  <c r="L34" i="19"/>
  <c r="M31" i="19"/>
  <c r="L31" i="19"/>
  <c r="M30" i="19"/>
  <c r="L30" i="19"/>
  <c r="M29" i="19"/>
  <c r="L29" i="19"/>
  <c r="M26" i="19"/>
  <c r="L26" i="19"/>
  <c r="M25" i="19"/>
  <c r="L25" i="19"/>
  <c r="M24" i="19"/>
  <c r="L24" i="19"/>
  <c r="M20" i="19"/>
  <c r="L20" i="19"/>
  <c r="M19" i="19"/>
  <c r="L19" i="19"/>
  <c r="M18" i="19"/>
  <c r="L18" i="19"/>
  <c r="M15" i="19"/>
  <c r="L15" i="19"/>
  <c r="M14" i="19"/>
  <c r="L14" i="19"/>
  <c r="M13" i="19"/>
  <c r="L13" i="19"/>
  <c r="M10" i="19"/>
  <c r="L10" i="19"/>
  <c r="M9" i="19"/>
  <c r="L9" i="19"/>
  <c r="M8" i="19"/>
  <c r="L8" i="19"/>
  <c r="M5" i="19"/>
  <c r="L5" i="19"/>
  <c r="M4" i="19"/>
  <c r="L4" i="19"/>
  <c r="M3" i="19"/>
  <c r="L3" i="19"/>
  <c r="O3" i="19" s="1"/>
  <c r="S45" i="18"/>
  <c r="S46" i="18"/>
  <c r="S47" i="18"/>
  <c r="R45" i="18"/>
  <c r="R46" i="18"/>
  <c r="R47" i="18"/>
  <c r="S24" i="18"/>
  <c r="S25" i="18"/>
  <c r="S26" i="18"/>
  <c r="R24" i="18"/>
  <c r="R25" i="18"/>
  <c r="R26" i="18"/>
  <c r="S3" i="18"/>
  <c r="S4" i="18"/>
  <c r="S5" i="18"/>
  <c r="R3" i="18"/>
  <c r="R4" i="18"/>
  <c r="R5" i="18"/>
  <c r="M62" i="18"/>
  <c r="L62" i="18"/>
  <c r="O62" i="18" s="1"/>
  <c r="M61" i="18"/>
  <c r="L61" i="18"/>
  <c r="M60" i="18"/>
  <c r="L60" i="18"/>
  <c r="M57" i="18"/>
  <c r="L57" i="18"/>
  <c r="M56" i="18"/>
  <c r="L56" i="18"/>
  <c r="M55" i="18"/>
  <c r="L55" i="18"/>
  <c r="M52" i="18"/>
  <c r="L52" i="18"/>
  <c r="M51" i="18"/>
  <c r="L51" i="18"/>
  <c r="M50" i="18"/>
  <c r="L50" i="18"/>
  <c r="M47" i="18"/>
  <c r="L47" i="18"/>
  <c r="M46" i="18"/>
  <c r="L46" i="18"/>
  <c r="M45" i="18"/>
  <c r="L45" i="18"/>
  <c r="M41" i="18"/>
  <c r="L41" i="18"/>
  <c r="M40" i="18"/>
  <c r="L40" i="18"/>
  <c r="M39" i="18"/>
  <c r="L39" i="18"/>
  <c r="M36" i="18"/>
  <c r="L36" i="18"/>
  <c r="M35" i="18"/>
  <c r="L35" i="18"/>
  <c r="M34" i="18"/>
  <c r="L34" i="18"/>
  <c r="M31" i="18"/>
  <c r="L31" i="18"/>
  <c r="M30" i="18"/>
  <c r="L30" i="18"/>
  <c r="M29" i="18"/>
  <c r="L29" i="18"/>
  <c r="M26" i="18"/>
  <c r="L26" i="18"/>
  <c r="M25" i="18"/>
  <c r="L25" i="18"/>
  <c r="M24" i="18"/>
  <c r="L24" i="18"/>
  <c r="M20" i="18"/>
  <c r="L20" i="18"/>
  <c r="M19" i="18"/>
  <c r="L19" i="18"/>
  <c r="M18" i="18"/>
  <c r="L18" i="18"/>
  <c r="M15" i="18"/>
  <c r="L15" i="18"/>
  <c r="M14" i="18"/>
  <c r="L14" i="18"/>
  <c r="M13" i="18"/>
  <c r="L13" i="18"/>
  <c r="M10" i="18"/>
  <c r="L10" i="18"/>
  <c r="M9" i="18"/>
  <c r="L9" i="18"/>
  <c r="M8" i="18"/>
  <c r="L8" i="18"/>
  <c r="M5" i="18"/>
  <c r="L5" i="18"/>
  <c r="O5" i="18" s="1"/>
  <c r="M4" i="18"/>
  <c r="L4" i="18"/>
  <c r="M3" i="18"/>
  <c r="L3" i="18"/>
  <c r="S45" i="17"/>
  <c r="R45" i="17"/>
  <c r="S46" i="17"/>
  <c r="S47" i="17"/>
  <c r="R46" i="17"/>
  <c r="R47" i="17"/>
  <c r="S24" i="17"/>
  <c r="S25" i="17"/>
  <c r="S26" i="17"/>
  <c r="R24" i="17"/>
  <c r="R25" i="17"/>
  <c r="R26" i="17"/>
  <c r="S3" i="17"/>
  <c r="S4" i="17"/>
  <c r="S5" i="17"/>
  <c r="R3" i="17"/>
  <c r="R4" i="17"/>
  <c r="R5" i="17"/>
  <c r="M62" i="17"/>
  <c r="L62" i="17"/>
  <c r="O62" i="17" s="1"/>
  <c r="M61" i="17"/>
  <c r="L61" i="17"/>
  <c r="O61" i="17" s="1"/>
  <c r="M60" i="17"/>
  <c r="L60" i="17"/>
  <c r="M57" i="17"/>
  <c r="L57" i="17"/>
  <c r="M56" i="17"/>
  <c r="L56" i="17"/>
  <c r="M55" i="17"/>
  <c r="L55" i="17"/>
  <c r="M52" i="17"/>
  <c r="L52" i="17"/>
  <c r="M51" i="17"/>
  <c r="L51" i="17"/>
  <c r="M50" i="17"/>
  <c r="L50" i="17"/>
  <c r="M47" i="17"/>
  <c r="L47" i="17"/>
  <c r="M46" i="17"/>
  <c r="L46" i="17"/>
  <c r="M45" i="17"/>
  <c r="L45" i="17"/>
  <c r="M41" i="17"/>
  <c r="L41" i="17"/>
  <c r="M40" i="17"/>
  <c r="L40" i="17"/>
  <c r="M39" i="17"/>
  <c r="L39" i="17"/>
  <c r="M36" i="17"/>
  <c r="L36" i="17"/>
  <c r="M35" i="17"/>
  <c r="L35" i="17"/>
  <c r="M34" i="17"/>
  <c r="L34" i="17"/>
  <c r="M31" i="17"/>
  <c r="L31" i="17"/>
  <c r="M30" i="17"/>
  <c r="L30" i="17"/>
  <c r="M29" i="17"/>
  <c r="L29" i="17"/>
  <c r="M26" i="17"/>
  <c r="L26" i="17"/>
  <c r="M25" i="17"/>
  <c r="L25" i="17"/>
  <c r="M24" i="17"/>
  <c r="L24" i="17"/>
  <c r="M20" i="17"/>
  <c r="L20" i="17"/>
  <c r="M19" i="17"/>
  <c r="L19" i="17"/>
  <c r="M18" i="17"/>
  <c r="L18" i="17"/>
  <c r="M15" i="17"/>
  <c r="L15" i="17"/>
  <c r="M14" i="17"/>
  <c r="L14" i="17"/>
  <c r="M13" i="17"/>
  <c r="L13" i="17"/>
  <c r="M10" i="17"/>
  <c r="L10" i="17"/>
  <c r="M9" i="17"/>
  <c r="L9" i="17"/>
  <c r="M8" i="17"/>
  <c r="L8" i="17"/>
  <c r="M5" i="17"/>
  <c r="L5" i="17"/>
  <c r="M4" i="17"/>
  <c r="L4" i="17"/>
  <c r="M3" i="17"/>
  <c r="L3" i="17"/>
  <c r="S45" i="16"/>
  <c r="S46" i="16"/>
  <c r="S47" i="16"/>
  <c r="R45" i="16"/>
  <c r="R46" i="16"/>
  <c r="R47" i="16"/>
  <c r="S24" i="16"/>
  <c r="S25" i="16"/>
  <c r="S26" i="16"/>
  <c r="R24" i="16"/>
  <c r="R25" i="16"/>
  <c r="R26" i="16"/>
  <c r="S3" i="16"/>
  <c r="S4" i="16"/>
  <c r="S5" i="16"/>
  <c r="R3" i="16"/>
  <c r="R4" i="16"/>
  <c r="R5" i="16"/>
  <c r="M62" i="16"/>
  <c r="L62" i="16"/>
  <c r="M61" i="16"/>
  <c r="L61" i="16"/>
  <c r="M60" i="16"/>
  <c r="L60" i="16"/>
  <c r="M57" i="16"/>
  <c r="L57" i="16"/>
  <c r="M56" i="16"/>
  <c r="L56" i="16"/>
  <c r="M55" i="16"/>
  <c r="L55" i="16"/>
  <c r="M52" i="16"/>
  <c r="L52" i="16"/>
  <c r="M51" i="16"/>
  <c r="L51" i="16"/>
  <c r="M50" i="16"/>
  <c r="L50" i="16"/>
  <c r="M47" i="16"/>
  <c r="L47" i="16"/>
  <c r="M46" i="16"/>
  <c r="L46" i="16"/>
  <c r="M45" i="16"/>
  <c r="L45" i="16"/>
  <c r="M41" i="16"/>
  <c r="L41" i="16"/>
  <c r="M40" i="16"/>
  <c r="L40" i="16"/>
  <c r="M39" i="16"/>
  <c r="L39" i="16"/>
  <c r="M36" i="16"/>
  <c r="L36" i="16"/>
  <c r="M35" i="16"/>
  <c r="L35" i="16"/>
  <c r="M34" i="16"/>
  <c r="L34" i="16"/>
  <c r="M31" i="16"/>
  <c r="L31" i="16"/>
  <c r="M30" i="16"/>
  <c r="L30" i="16"/>
  <c r="M29" i="16"/>
  <c r="L29" i="16"/>
  <c r="M26" i="16"/>
  <c r="L26" i="16"/>
  <c r="M25" i="16"/>
  <c r="L25" i="16"/>
  <c r="M24" i="16"/>
  <c r="L24" i="16"/>
  <c r="M20" i="16"/>
  <c r="L20" i="16"/>
  <c r="M19" i="16"/>
  <c r="L19" i="16"/>
  <c r="M18" i="16"/>
  <c r="L18" i="16"/>
  <c r="M15" i="16"/>
  <c r="L15" i="16"/>
  <c r="M14" i="16"/>
  <c r="L14" i="16"/>
  <c r="M13" i="16"/>
  <c r="L13" i="16"/>
  <c r="M10" i="16"/>
  <c r="L10" i="16"/>
  <c r="M9" i="16"/>
  <c r="L9" i="16"/>
  <c r="M8" i="16"/>
  <c r="L8" i="16"/>
  <c r="M5" i="16"/>
  <c r="L5" i="16"/>
  <c r="M4" i="16"/>
  <c r="L4" i="16"/>
  <c r="M3" i="16"/>
  <c r="L3" i="16"/>
  <c r="U45" i="4"/>
  <c r="U46" i="4"/>
  <c r="U47" i="4"/>
  <c r="T45" i="4"/>
  <c r="T46" i="4"/>
  <c r="T47" i="4"/>
  <c r="S45" i="4"/>
  <c r="S46" i="4"/>
  <c r="S47" i="4"/>
  <c r="N60" i="4"/>
  <c r="N61" i="4"/>
  <c r="N62" i="4"/>
  <c r="M60" i="4"/>
  <c r="M61" i="4"/>
  <c r="M62" i="4"/>
  <c r="P62" i="4" s="1"/>
  <c r="N55" i="4"/>
  <c r="N56" i="4"/>
  <c r="N57" i="4"/>
  <c r="M55" i="4"/>
  <c r="M56" i="4"/>
  <c r="M57" i="4"/>
  <c r="N50" i="4"/>
  <c r="N51" i="4"/>
  <c r="N52" i="4"/>
  <c r="M50" i="4"/>
  <c r="M51" i="4"/>
  <c r="M52" i="4"/>
  <c r="N45" i="4"/>
  <c r="M45" i="4"/>
  <c r="N46" i="4"/>
  <c r="N47" i="4"/>
  <c r="M46" i="4"/>
  <c r="M47" i="4"/>
  <c r="U24" i="4"/>
  <c r="U25" i="4"/>
  <c r="U26" i="4"/>
  <c r="T24" i="4"/>
  <c r="T25" i="4"/>
  <c r="T26" i="4"/>
  <c r="S24" i="4"/>
  <c r="S25" i="4"/>
  <c r="S26" i="4"/>
  <c r="N39" i="4"/>
  <c r="N40" i="4"/>
  <c r="N41" i="4"/>
  <c r="M39" i="4"/>
  <c r="M40" i="4"/>
  <c r="M41" i="4"/>
  <c r="N34" i="4"/>
  <c r="N35" i="4"/>
  <c r="N36" i="4"/>
  <c r="M34" i="4"/>
  <c r="M35" i="4"/>
  <c r="M36" i="4"/>
  <c r="N29" i="4"/>
  <c r="N30" i="4"/>
  <c r="N31" i="4"/>
  <c r="M29" i="4"/>
  <c r="M30" i="4"/>
  <c r="M31" i="4"/>
  <c r="N24" i="4"/>
  <c r="N25" i="4"/>
  <c r="N26" i="4"/>
  <c r="M24" i="4"/>
  <c r="M25" i="4"/>
  <c r="M26" i="4"/>
  <c r="P26" i="4" s="1"/>
  <c r="U3" i="4"/>
  <c r="U4" i="4"/>
  <c r="U5" i="4"/>
  <c r="T3" i="4"/>
  <c r="T4" i="4"/>
  <c r="T5" i="4"/>
  <c r="S3" i="4"/>
  <c r="S4" i="4"/>
  <c r="S5" i="4"/>
  <c r="N18" i="4"/>
  <c r="N19" i="4"/>
  <c r="N20" i="4"/>
  <c r="M18" i="4"/>
  <c r="M19" i="4"/>
  <c r="M20" i="4"/>
  <c r="N13" i="4"/>
  <c r="N14" i="4"/>
  <c r="N15" i="4"/>
  <c r="M13" i="4"/>
  <c r="M14" i="4"/>
  <c r="M15" i="4"/>
  <c r="N8" i="4"/>
  <c r="N9" i="4"/>
  <c r="N10" i="4"/>
  <c r="M8" i="4"/>
  <c r="M9" i="4"/>
  <c r="M10" i="4"/>
  <c r="N3" i="4"/>
  <c r="N4" i="4"/>
  <c r="N5" i="4"/>
  <c r="M3" i="4"/>
  <c r="M4" i="4"/>
  <c r="M5" i="4"/>
  <c r="M7" i="15"/>
  <c r="M6" i="15"/>
  <c r="M9" i="15" s="1"/>
  <c r="M10" i="15" s="1"/>
  <c r="M5" i="15"/>
  <c r="M3" i="15"/>
  <c r="M2" i="15"/>
  <c r="M1" i="15"/>
  <c r="D3" i="15"/>
  <c r="D4" i="15"/>
  <c r="D5" i="15"/>
  <c r="D6" i="15"/>
  <c r="D7" i="15"/>
  <c r="D8" i="15"/>
  <c r="D9" i="15"/>
  <c r="D11" i="15"/>
  <c r="D12" i="15"/>
  <c r="D13" i="15"/>
  <c r="D14" i="15"/>
  <c r="D15" i="15"/>
  <c r="D16" i="15"/>
  <c r="D18" i="15"/>
  <c r="D19" i="15"/>
  <c r="D20" i="15"/>
  <c r="D21" i="15"/>
  <c r="D22" i="15"/>
  <c r="D24" i="15"/>
  <c r="D25" i="15"/>
  <c r="D26" i="15"/>
  <c r="D27" i="15"/>
  <c r="D29" i="15"/>
  <c r="D30" i="15"/>
  <c r="D31" i="15"/>
  <c r="D33" i="15"/>
  <c r="D34" i="15"/>
  <c r="D36" i="15"/>
  <c r="P7" i="12"/>
  <c r="P6" i="12"/>
  <c r="P9" i="12" s="1"/>
  <c r="P10" i="12" s="1"/>
  <c r="P5" i="12"/>
  <c r="P3" i="12"/>
  <c r="P2" i="12"/>
  <c r="P1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P7" i="2"/>
  <c r="P3" i="2"/>
  <c r="P5" i="2"/>
  <c r="P1" i="2"/>
  <c r="P6" i="2"/>
  <c r="P9" i="2" s="1"/>
  <c r="P10" i="2" s="1"/>
  <c r="P2" i="2"/>
  <c r="K31" i="28" l="1"/>
  <c r="M31" i="28" s="1"/>
  <c r="K35" i="28"/>
  <c r="M35" i="28" s="1"/>
  <c r="K33" i="28"/>
  <c r="M33" i="28" s="1"/>
  <c r="K32" i="28"/>
  <c r="M32" i="28" s="1"/>
  <c r="K37" i="28"/>
  <c r="M37" i="28" s="1"/>
  <c r="K34" i="28"/>
  <c r="M34" i="28" s="1"/>
  <c r="K36" i="28"/>
  <c r="M36" i="28" s="1"/>
  <c r="L11" i="26"/>
  <c r="N11" i="26" s="1"/>
  <c r="L35" i="12"/>
  <c r="L32" i="12"/>
  <c r="L31" i="12"/>
  <c r="L33" i="12"/>
  <c r="C15" i="20"/>
  <c r="L37" i="12"/>
  <c r="L34" i="12"/>
  <c r="L36" i="12"/>
  <c r="H11" i="15"/>
  <c r="J11" i="15" s="1"/>
  <c r="J11" i="24"/>
  <c r="L11" i="24" s="1"/>
  <c r="K37" i="2"/>
  <c r="M37" i="2" s="1"/>
  <c r="K35" i="2"/>
  <c r="M35" i="2" s="1"/>
  <c r="K32" i="2"/>
  <c r="M32" i="2" s="1"/>
  <c r="K28" i="2"/>
  <c r="M28" i="2" s="1"/>
  <c r="K23" i="2"/>
  <c r="M23" i="2" s="1"/>
  <c r="K17" i="2"/>
  <c r="M17" i="2" s="1"/>
  <c r="K10" i="2"/>
  <c r="M10" i="2" s="1"/>
  <c r="O26" i="18"/>
  <c r="N18" i="21"/>
  <c r="O52" i="21"/>
  <c r="O4" i="16"/>
  <c r="O39" i="16"/>
  <c r="C8" i="22"/>
  <c r="C20" i="22"/>
  <c r="C14" i="18"/>
  <c r="O14" i="19"/>
  <c r="O5" i="20"/>
  <c r="O4" i="21"/>
  <c r="C14" i="22"/>
  <c r="C5" i="19"/>
  <c r="C4" i="20"/>
  <c r="C18" i="20"/>
  <c r="C3" i="21"/>
  <c r="C15" i="21"/>
  <c r="B20" i="22"/>
  <c r="C8" i="18"/>
  <c r="C9" i="21"/>
  <c r="C20" i="18"/>
  <c r="C13" i="19"/>
  <c r="C19" i="19"/>
  <c r="C10" i="20"/>
  <c r="O9" i="19"/>
  <c r="O4" i="18"/>
  <c r="O41" i="17"/>
  <c r="O30" i="20"/>
  <c r="O36" i="20"/>
  <c r="O35" i="21"/>
  <c r="O35" i="20"/>
  <c r="O41" i="20"/>
  <c r="B18" i="19"/>
  <c r="O24" i="17"/>
  <c r="O41" i="18"/>
  <c r="B20" i="21"/>
  <c r="B9" i="20"/>
  <c r="B15" i="20"/>
  <c r="B14" i="21"/>
  <c r="O40" i="20"/>
  <c r="O35" i="16"/>
  <c r="O41" i="16"/>
  <c r="O34" i="17"/>
  <c r="O40" i="17"/>
  <c r="O39" i="18"/>
  <c r="O24" i="19"/>
  <c r="O29" i="20"/>
  <c r="O26" i="21"/>
  <c r="O46" i="17"/>
  <c r="O50" i="19"/>
  <c r="O61" i="20"/>
  <c r="O46" i="21"/>
  <c r="O34" i="21"/>
  <c r="O40" i="21"/>
  <c r="P31" i="22"/>
  <c r="B14" i="18"/>
  <c r="B13" i="19"/>
  <c r="B19" i="19"/>
  <c r="B14" i="22"/>
  <c r="B4" i="20"/>
  <c r="B15" i="17"/>
  <c r="B5" i="19"/>
  <c r="B8" i="22"/>
  <c r="B8" i="18"/>
  <c r="B20" i="18"/>
  <c r="B10" i="20"/>
  <c r="B18" i="20"/>
  <c r="B9" i="21"/>
  <c r="B3" i="21"/>
  <c r="B15" i="21"/>
  <c r="G187" i="12"/>
  <c r="G171" i="12"/>
  <c r="G155" i="12"/>
  <c r="G139" i="12"/>
  <c r="G123" i="12"/>
  <c r="G107" i="12"/>
  <c r="G75" i="12"/>
  <c r="G59" i="12"/>
  <c r="G43" i="12"/>
  <c r="G27" i="12"/>
  <c r="G19" i="12"/>
  <c r="G3" i="12"/>
  <c r="P25" i="22"/>
  <c r="G195" i="12"/>
  <c r="G179" i="12"/>
  <c r="G163" i="12"/>
  <c r="G147" i="12"/>
  <c r="G131" i="12"/>
  <c r="G115" i="12"/>
  <c r="G99" i="12"/>
  <c r="G83" i="12"/>
  <c r="G67" i="12"/>
  <c r="G51" i="12"/>
  <c r="G35" i="12"/>
  <c r="G11" i="12"/>
  <c r="G202" i="12"/>
  <c r="G194" i="12"/>
  <c r="G186" i="12"/>
  <c r="G178" i="12"/>
  <c r="G170" i="12"/>
  <c r="G162" i="12"/>
  <c r="G154" i="12"/>
  <c r="G146" i="12"/>
  <c r="G138" i="12"/>
  <c r="G130" i="12"/>
  <c r="G122" i="12"/>
  <c r="G114" i="12"/>
  <c r="G106" i="12"/>
  <c r="G98" i="12"/>
  <c r="G90" i="12"/>
  <c r="G82" i="12"/>
  <c r="G74" i="12"/>
  <c r="G66" i="12"/>
  <c r="G58" i="12"/>
  <c r="G50" i="12"/>
  <c r="G42" i="12"/>
  <c r="G34" i="12"/>
  <c r="G26" i="12"/>
  <c r="G18" i="12"/>
  <c r="G10" i="12"/>
  <c r="G91" i="12"/>
  <c r="C4" i="22"/>
  <c r="C10" i="22"/>
  <c r="C15" i="19"/>
  <c r="C18" i="22"/>
  <c r="C5" i="21"/>
  <c r="C13" i="21"/>
  <c r="C19" i="21"/>
  <c r="B18" i="22"/>
  <c r="B19" i="21"/>
  <c r="B18" i="16"/>
  <c r="O24" i="18"/>
  <c r="O30" i="18"/>
  <c r="O36" i="18"/>
  <c r="O29" i="19"/>
  <c r="O34" i="20"/>
  <c r="O31" i="21"/>
  <c r="O39" i="21"/>
  <c r="B3" i="17"/>
  <c r="B9" i="17"/>
  <c r="P24" i="22"/>
  <c r="C18" i="16"/>
  <c r="C3" i="17"/>
  <c r="C9" i="17"/>
  <c r="C8" i="4"/>
  <c r="B19" i="4"/>
  <c r="I5" i="4"/>
  <c r="C4" i="16"/>
  <c r="C10" i="16"/>
  <c r="B18" i="4"/>
  <c r="O57" i="17"/>
  <c r="O47" i="19"/>
  <c r="O61" i="19"/>
  <c r="N40" i="17"/>
  <c r="P39" i="22"/>
  <c r="B10" i="22"/>
  <c r="B13" i="21"/>
  <c r="O41" i="21"/>
  <c r="O26" i="22"/>
  <c r="O34" i="22"/>
  <c r="O31" i="16"/>
  <c r="O30" i="17"/>
  <c r="O36" i="17"/>
  <c r="O35" i="18"/>
  <c r="O26" i="19"/>
  <c r="O34" i="19"/>
  <c r="O40" i="19"/>
  <c r="O25" i="20"/>
  <c r="O31" i="20"/>
  <c r="O39" i="20"/>
  <c r="O24" i="21"/>
  <c r="O30" i="21"/>
  <c r="P29" i="22"/>
  <c r="P35" i="22"/>
  <c r="P41" i="22"/>
  <c r="B20" i="20"/>
  <c r="B18" i="18"/>
  <c r="B19" i="18"/>
  <c r="B13" i="20"/>
  <c r="C13" i="18"/>
  <c r="C19" i="18"/>
  <c r="C3" i="20"/>
  <c r="C13" i="22"/>
  <c r="C19" i="22"/>
  <c r="C14" i="17"/>
  <c r="C20" i="17"/>
  <c r="B10" i="16"/>
  <c r="C3" i="16"/>
  <c r="C9" i="16"/>
  <c r="C15" i="16"/>
  <c r="C10" i="19"/>
  <c r="C8" i="21"/>
  <c r="C14" i="21"/>
  <c r="C20" i="21"/>
  <c r="C9" i="20"/>
  <c r="C18" i="19"/>
  <c r="O45" i="16"/>
  <c r="O55" i="22"/>
  <c r="C10" i="4"/>
  <c r="I4" i="22"/>
  <c r="B4" i="17"/>
  <c r="C15" i="17"/>
  <c r="C13" i="20"/>
  <c r="C4" i="21"/>
  <c r="B5" i="17"/>
  <c r="N15" i="19"/>
  <c r="B8" i="20"/>
  <c r="P50" i="4"/>
  <c r="B8" i="17"/>
  <c r="B20" i="17"/>
  <c r="B14" i="17"/>
  <c r="O47" i="22"/>
  <c r="I3" i="22"/>
  <c r="B10" i="18"/>
  <c r="B3" i="16"/>
  <c r="B9" i="16"/>
  <c r="B15" i="16"/>
  <c r="P50" i="22"/>
  <c r="H3" i="17"/>
  <c r="J3" i="22"/>
  <c r="I5" i="22"/>
  <c r="C8" i="20"/>
  <c r="C20" i="20"/>
  <c r="C5" i="4"/>
  <c r="C5" i="18"/>
  <c r="C3" i="4"/>
  <c r="B14" i="4"/>
  <c r="C20" i="4"/>
  <c r="I3" i="4"/>
  <c r="J5" i="22"/>
  <c r="C19" i="17"/>
  <c r="C4" i="19"/>
  <c r="C5" i="22"/>
  <c r="C18" i="18"/>
  <c r="C8" i="16"/>
  <c r="C14" i="16"/>
  <c r="C20" i="16"/>
  <c r="C8" i="17"/>
  <c r="B5" i="4"/>
  <c r="B8" i="4"/>
  <c r="C14" i="4"/>
  <c r="H5" i="4"/>
  <c r="J3" i="4"/>
  <c r="I3" i="16"/>
  <c r="I5" i="17"/>
  <c r="H4" i="18"/>
  <c r="I3" i="20"/>
  <c r="I4" i="21"/>
  <c r="C14" i="20"/>
  <c r="B4" i="4"/>
  <c r="C13" i="4"/>
  <c r="H4" i="4"/>
  <c r="P60" i="22"/>
  <c r="H3" i="22"/>
  <c r="K23" i="28"/>
  <c r="M23" i="28" s="1"/>
  <c r="H4" i="22"/>
  <c r="B8" i="16"/>
  <c r="B20" i="16"/>
  <c r="B13" i="17"/>
  <c r="B19" i="17"/>
  <c r="C5" i="17"/>
  <c r="C13" i="17"/>
  <c r="C4" i="18"/>
  <c r="C3" i="19"/>
  <c r="C10" i="18"/>
  <c r="C9" i="19"/>
  <c r="B4" i="19"/>
  <c r="B3" i="20"/>
  <c r="I5" i="19"/>
  <c r="H4" i="20"/>
  <c r="B13" i="18"/>
  <c r="B10" i="19"/>
  <c r="B8" i="21"/>
  <c r="I5" i="16"/>
  <c r="H4" i="17"/>
  <c r="I5" i="20"/>
  <c r="H4" i="21"/>
  <c r="B5" i="22"/>
  <c r="B19" i="22"/>
  <c r="B9" i="4"/>
  <c r="C15" i="4"/>
  <c r="C18" i="4"/>
  <c r="J4" i="4"/>
  <c r="I4" i="16"/>
  <c r="H5" i="18"/>
  <c r="I4" i="20"/>
  <c r="I5" i="21"/>
  <c r="H5" i="22"/>
  <c r="B3" i="22"/>
  <c r="C4" i="17"/>
  <c r="C18" i="17"/>
  <c r="C19" i="20"/>
  <c r="I4" i="17"/>
  <c r="H3" i="18"/>
  <c r="H5" i="19"/>
  <c r="H3" i="21"/>
  <c r="B18" i="21"/>
  <c r="B10" i="21"/>
  <c r="C10" i="17"/>
  <c r="C5" i="20"/>
  <c r="B3" i="4"/>
  <c r="C9" i="4"/>
  <c r="B20" i="4"/>
  <c r="H3" i="4"/>
  <c r="I3" i="17"/>
  <c r="I5" i="18"/>
  <c r="H4" i="19"/>
  <c r="I3" i="21"/>
  <c r="B14" i="20"/>
  <c r="C5" i="16"/>
  <c r="C13" i="16"/>
  <c r="C19" i="16"/>
  <c r="C3" i="18"/>
  <c r="C15" i="18"/>
  <c r="C18" i="21"/>
  <c r="H5" i="16"/>
  <c r="I4" i="18"/>
  <c r="N24" i="19"/>
  <c r="H3" i="19"/>
  <c r="H5" i="20"/>
  <c r="B10" i="17"/>
  <c r="B18" i="17"/>
  <c r="B19" i="20"/>
  <c r="B9" i="22"/>
  <c r="C3" i="22"/>
  <c r="C9" i="22"/>
  <c r="C15" i="22"/>
  <c r="C4" i="4"/>
  <c r="B15" i="4"/>
  <c r="I4" i="4"/>
  <c r="H4" i="16"/>
  <c r="I3" i="18"/>
  <c r="B4" i="22"/>
  <c r="B5" i="21"/>
  <c r="B8" i="19"/>
  <c r="B20" i="19"/>
  <c r="B15" i="22"/>
  <c r="H3" i="16"/>
  <c r="H5" i="17"/>
  <c r="N30" i="18"/>
  <c r="I4" i="19"/>
  <c r="H3" i="20"/>
  <c r="H5" i="21"/>
  <c r="B5" i="16"/>
  <c r="B13" i="16"/>
  <c r="B19" i="16"/>
  <c r="B3" i="18"/>
  <c r="B9" i="18"/>
  <c r="B15" i="18"/>
  <c r="C9" i="18"/>
  <c r="C8" i="19"/>
  <c r="C14" i="19"/>
  <c r="C20" i="19"/>
  <c r="C10" i="21"/>
  <c r="B10" i="4"/>
  <c r="B13" i="4"/>
  <c r="C19" i="4"/>
  <c r="J5" i="4"/>
  <c r="I3" i="19"/>
  <c r="J4" i="22"/>
  <c r="B13" i="22"/>
  <c r="B14" i="16"/>
  <c r="B4" i="18"/>
  <c r="B5" i="20"/>
  <c r="B14" i="19"/>
  <c r="B15" i="19"/>
  <c r="B9" i="19"/>
  <c r="B5" i="18"/>
  <c r="B3" i="19"/>
  <c r="B4" i="21"/>
  <c r="B4" i="16"/>
  <c r="K7" i="28"/>
  <c r="M7" i="28" s="1"/>
  <c r="K18" i="28"/>
  <c r="M18" i="28" s="1"/>
  <c r="K21" i="28"/>
  <c r="M21" i="28" s="1"/>
  <c r="K22" i="28"/>
  <c r="M22" i="28" s="1"/>
  <c r="K5" i="28"/>
  <c r="M5" i="28" s="1"/>
  <c r="K9" i="28"/>
  <c r="M9" i="28" s="1"/>
  <c r="K10" i="28"/>
  <c r="M10" i="28" s="1"/>
  <c r="K6" i="28"/>
  <c r="M6" i="28" s="1"/>
  <c r="K19" i="28"/>
  <c r="M19" i="28" s="1"/>
  <c r="K20" i="28"/>
  <c r="M20" i="28" s="1"/>
  <c r="K26" i="28"/>
  <c r="M26" i="28" s="1"/>
  <c r="K28" i="28"/>
  <c r="M28" i="28" s="1"/>
  <c r="K29" i="28"/>
  <c r="M29" i="28" s="1"/>
  <c r="K30" i="28"/>
  <c r="M30" i="28" s="1"/>
  <c r="K14" i="28"/>
  <c r="M14" i="28" s="1"/>
  <c r="K13" i="28"/>
  <c r="M13" i="28" s="1"/>
  <c r="K27" i="28"/>
  <c r="M27" i="28" s="1"/>
  <c r="K15" i="28"/>
  <c r="M15" i="28" s="1"/>
  <c r="K8" i="28"/>
  <c r="M8" i="28" s="1"/>
  <c r="K12" i="28"/>
  <c r="M12" i="28" s="1"/>
  <c r="K4" i="28"/>
  <c r="M4" i="28" s="1"/>
  <c r="K25" i="28"/>
  <c r="M25" i="28" s="1"/>
  <c r="K3" i="28"/>
  <c r="M3" i="28" s="1"/>
  <c r="K17" i="28"/>
  <c r="M17" i="28" s="1"/>
  <c r="K16" i="28"/>
  <c r="M16" i="28" s="1"/>
  <c r="K11" i="28"/>
  <c r="M11" i="28" s="1"/>
  <c r="K24" i="28"/>
  <c r="M24" i="28" s="1"/>
  <c r="L9" i="26"/>
  <c r="N9" i="26" s="1"/>
  <c r="L4" i="26"/>
  <c r="N4" i="26" s="1"/>
  <c r="L10" i="26"/>
  <c r="N10" i="26" s="1"/>
  <c r="L7" i="26"/>
  <c r="N7" i="26" s="1"/>
  <c r="L5" i="26"/>
  <c r="N5" i="26" s="1"/>
  <c r="L3" i="26"/>
  <c r="N3" i="26" s="1"/>
  <c r="L6" i="26"/>
  <c r="N6" i="26" s="1"/>
  <c r="L8" i="26"/>
  <c r="N8" i="26" s="1"/>
  <c r="J10" i="24"/>
  <c r="O51" i="16"/>
  <c r="O57" i="22"/>
  <c r="J6" i="24"/>
  <c r="J3" i="24"/>
  <c r="J7" i="24"/>
  <c r="J9" i="24"/>
  <c r="J4" i="24"/>
  <c r="J5" i="24"/>
  <c r="J8" i="24"/>
  <c r="O52" i="18"/>
  <c r="O60" i="18"/>
  <c r="O45" i="19"/>
  <c r="O51" i="19"/>
  <c r="G201" i="12"/>
  <c r="G185" i="12"/>
  <c r="G169" i="12"/>
  <c r="G153" i="12"/>
  <c r="G137" i="12"/>
  <c r="G121" i="12"/>
  <c r="G113" i="12"/>
  <c r="G105" i="12"/>
  <c r="G97" i="12"/>
  <c r="G89" i="12"/>
  <c r="G81" i="12"/>
  <c r="G73" i="12"/>
  <c r="G65" i="12"/>
  <c r="G57" i="12"/>
  <c r="G49" i="12"/>
  <c r="G41" i="12"/>
  <c r="G33" i="12"/>
  <c r="G25" i="12"/>
  <c r="G17" i="12"/>
  <c r="G208" i="12"/>
  <c r="G200" i="12"/>
  <c r="G192" i="12"/>
  <c r="G184" i="12"/>
  <c r="G176" i="12"/>
  <c r="G160" i="12"/>
  <c r="G152" i="12"/>
  <c r="G144" i="12"/>
  <c r="G136" i="12"/>
  <c r="G128" i="12"/>
  <c r="G120" i="12"/>
  <c r="G112" i="12"/>
  <c r="G104" i="12"/>
  <c r="G96" i="12"/>
  <c r="G88" i="12"/>
  <c r="G80" i="12"/>
  <c r="G72" i="12"/>
  <c r="G64" i="12"/>
  <c r="G56" i="12"/>
  <c r="G48" i="12"/>
  <c r="G40" i="12"/>
  <c r="G32" i="12"/>
  <c r="G24" i="12"/>
  <c r="G16" i="12"/>
  <c r="G8" i="12"/>
  <c r="O29" i="17"/>
  <c r="O34" i="18"/>
  <c r="O40" i="18"/>
  <c r="O31" i="19"/>
  <c r="O39" i="19"/>
  <c r="N24" i="20"/>
  <c r="O29" i="21"/>
  <c r="O25" i="17"/>
  <c r="O35" i="19"/>
  <c r="O41" i="19"/>
  <c r="N26" i="20"/>
  <c r="O26" i="17"/>
  <c r="O25" i="18"/>
  <c r="O31" i="18"/>
  <c r="O30" i="19"/>
  <c r="O36" i="19"/>
  <c r="O26" i="20"/>
  <c r="G209" i="12"/>
  <c r="G193" i="12"/>
  <c r="G177" i="12"/>
  <c r="G161" i="12"/>
  <c r="G145" i="12"/>
  <c r="G129" i="12"/>
  <c r="G9" i="12"/>
  <c r="O3" i="21"/>
  <c r="O4" i="17"/>
  <c r="O5" i="21"/>
  <c r="N3" i="17"/>
  <c r="N9" i="17"/>
  <c r="O4" i="20"/>
  <c r="O10" i="20"/>
  <c r="N20" i="17"/>
  <c r="N3" i="18"/>
  <c r="N13" i="20"/>
  <c r="O8" i="20"/>
  <c r="O14" i="20"/>
  <c r="P3" i="22"/>
  <c r="O4" i="19"/>
  <c r="O10" i="19"/>
  <c r="O9" i="20"/>
  <c r="O15" i="20"/>
  <c r="P4" i="22"/>
  <c r="O36" i="16"/>
  <c r="P20" i="4"/>
  <c r="P19" i="4"/>
  <c r="O46" i="20"/>
  <c r="O45" i="18"/>
  <c r="O51" i="18"/>
  <c r="O57" i="18"/>
  <c r="O45" i="21"/>
  <c r="O51" i="21"/>
  <c r="O57" i="21"/>
  <c r="O46" i="19"/>
  <c r="O52" i="19"/>
  <c r="N55" i="19"/>
  <c r="N51" i="20"/>
  <c r="O57" i="20"/>
  <c r="O50" i="21"/>
  <c r="O56" i="21"/>
  <c r="O62" i="21"/>
  <c r="N60" i="17"/>
  <c r="P52" i="4"/>
  <c r="O50" i="16"/>
  <c r="O56" i="16"/>
  <c r="O62" i="16"/>
  <c r="O47" i="17"/>
  <c r="O55" i="17"/>
  <c r="O62" i="19"/>
  <c r="O52" i="20"/>
  <c r="O60" i="20"/>
  <c r="I10" i="15"/>
  <c r="P61" i="4"/>
  <c r="O52" i="16"/>
  <c r="O50" i="17"/>
  <c r="O56" i="17"/>
  <c r="O57" i="19"/>
  <c r="O55" i="20"/>
  <c r="O51" i="17"/>
  <c r="O61" i="21"/>
  <c r="P46" i="22"/>
  <c r="P52" i="22"/>
  <c r="I5" i="15"/>
  <c r="O57" i="16"/>
  <c r="O52" i="17"/>
  <c r="O60" i="17"/>
  <c r="O47" i="21"/>
  <c r="O55" i="21"/>
  <c r="P45" i="22"/>
  <c r="P51" i="22"/>
  <c r="I6" i="15"/>
  <c r="I3" i="15"/>
  <c r="N47" i="20"/>
  <c r="O61" i="22"/>
  <c r="I8" i="15"/>
  <c r="I7" i="15"/>
  <c r="O45" i="17"/>
  <c r="O47" i="18"/>
  <c r="O55" i="18"/>
  <c r="O61" i="18"/>
  <c r="O50" i="20"/>
  <c r="P47" i="22"/>
  <c r="O60" i="19"/>
  <c r="N55" i="20"/>
  <c r="N57" i="21"/>
  <c r="P56" i="22"/>
  <c r="P62" i="22"/>
  <c r="I4" i="15"/>
  <c r="N45" i="17"/>
  <c r="O50" i="18"/>
  <c r="O56" i="18"/>
  <c r="O55" i="19"/>
  <c r="O51" i="20"/>
  <c r="O56" i="20"/>
  <c r="O62" i="20"/>
  <c r="O45" i="22"/>
  <c r="O40" i="22"/>
  <c r="P40" i="22"/>
  <c r="P34" i="22"/>
  <c r="O36" i="22"/>
  <c r="P36" i="22"/>
  <c r="O30" i="22"/>
  <c r="P30" i="22"/>
  <c r="O46" i="22"/>
  <c r="O25" i="22"/>
  <c r="O24" i="22"/>
  <c r="P26" i="22"/>
  <c r="P5" i="22"/>
  <c r="O5" i="22"/>
  <c r="O51" i="22"/>
  <c r="P55" i="22"/>
  <c r="P57" i="22"/>
  <c r="P61" i="22"/>
  <c r="O8" i="22"/>
  <c r="O9" i="22"/>
  <c r="O10" i="22"/>
  <c r="O13" i="22"/>
  <c r="O14" i="22"/>
  <c r="O15" i="22"/>
  <c r="O18" i="22"/>
  <c r="O19" i="22"/>
  <c r="O20" i="22"/>
  <c r="O4" i="22"/>
  <c r="O3" i="22"/>
  <c r="P8" i="22"/>
  <c r="P9" i="22"/>
  <c r="P10" i="22"/>
  <c r="P13" i="22"/>
  <c r="P14" i="22"/>
  <c r="P15" i="22"/>
  <c r="P18" i="22"/>
  <c r="P19" i="22"/>
  <c r="P20" i="22"/>
  <c r="O29" i="22"/>
  <c r="O31" i="22"/>
  <c r="O35" i="22"/>
  <c r="O39" i="22"/>
  <c r="O41" i="22"/>
  <c r="O50" i="22"/>
  <c r="O52" i="22"/>
  <c r="O56" i="22"/>
  <c r="O60" i="22"/>
  <c r="O62" i="22"/>
  <c r="O60" i="21"/>
  <c r="N61" i="21"/>
  <c r="N20" i="21"/>
  <c r="N19" i="21"/>
  <c r="N55" i="21"/>
  <c r="O36" i="21"/>
  <c r="N51" i="21"/>
  <c r="N24" i="21"/>
  <c r="N29" i="21"/>
  <c r="N31" i="21"/>
  <c r="N35" i="21"/>
  <c r="N39" i="21"/>
  <c r="N41" i="21"/>
  <c r="N47" i="21"/>
  <c r="N3" i="21"/>
  <c r="N5" i="21"/>
  <c r="N26" i="21"/>
  <c r="N46" i="21"/>
  <c r="O8" i="21"/>
  <c r="O9" i="21"/>
  <c r="O10" i="21"/>
  <c r="O13" i="21"/>
  <c r="O14" i="21"/>
  <c r="O15" i="21"/>
  <c r="O18" i="21"/>
  <c r="O19" i="21"/>
  <c r="O20" i="21"/>
  <c r="N8" i="21"/>
  <c r="N9" i="21"/>
  <c r="N10" i="21"/>
  <c r="N13" i="21"/>
  <c r="N14" i="21"/>
  <c r="N15" i="21"/>
  <c r="N4" i="21"/>
  <c r="N25" i="21"/>
  <c r="N30" i="21"/>
  <c r="N34" i="21"/>
  <c r="N36" i="21"/>
  <c r="N40" i="21"/>
  <c r="N45" i="21"/>
  <c r="O25" i="21"/>
  <c r="N50" i="21"/>
  <c r="N52" i="21"/>
  <c r="N56" i="21"/>
  <c r="N60" i="21"/>
  <c r="N62" i="21"/>
  <c r="N61" i="20"/>
  <c r="N19" i="20"/>
  <c r="O19" i="20"/>
  <c r="N18" i="20"/>
  <c r="N20" i="20"/>
  <c r="O18" i="20"/>
  <c r="O20" i="20"/>
  <c r="N57" i="20"/>
  <c r="N14" i="20"/>
  <c r="O13" i="20"/>
  <c r="N15" i="20"/>
  <c r="N9" i="20"/>
  <c r="N10" i="20"/>
  <c r="N8" i="20"/>
  <c r="O47" i="20"/>
  <c r="O24" i="20"/>
  <c r="O3" i="20"/>
  <c r="N3" i="20"/>
  <c r="N5" i="20"/>
  <c r="N29" i="20"/>
  <c r="N31" i="20"/>
  <c r="N35" i="20"/>
  <c r="N39" i="20"/>
  <c r="N41" i="20"/>
  <c r="N4" i="20"/>
  <c r="N25" i="20"/>
  <c r="N30" i="20"/>
  <c r="N34" i="20"/>
  <c r="N36" i="20"/>
  <c r="N40" i="20"/>
  <c r="N45" i="20"/>
  <c r="N46" i="20"/>
  <c r="N50" i="20"/>
  <c r="N52" i="20"/>
  <c r="N56" i="20"/>
  <c r="N60" i="20"/>
  <c r="N62" i="20"/>
  <c r="N61" i="19"/>
  <c r="O18" i="19"/>
  <c r="O20" i="19"/>
  <c r="N19" i="19"/>
  <c r="O19" i="19"/>
  <c r="N18" i="19"/>
  <c r="N20" i="19"/>
  <c r="N57" i="19"/>
  <c r="O13" i="19"/>
  <c r="N13" i="19"/>
  <c r="N14" i="19"/>
  <c r="O15" i="19"/>
  <c r="N51" i="19"/>
  <c r="O8" i="19"/>
  <c r="N46" i="19"/>
  <c r="O5" i="19"/>
  <c r="N3" i="19"/>
  <c r="N5" i="19"/>
  <c r="N29" i="19"/>
  <c r="N31" i="19"/>
  <c r="N35" i="19"/>
  <c r="N39" i="19"/>
  <c r="N41" i="19"/>
  <c r="N47" i="19"/>
  <c r="N8" i="19"/>
  <c r="N9" i="19"/>
  <c r="N10" i="19"/>
  <c r="N4" i="19"/>
  <c r="N25" i="19"/>
  <c r="N30" i="19"/>
  <c r="N34" i="19"/>
  <c r="N36" i="19"/>
  <c r="N40" i="19"/>
  <c r="N45" i="19"/>
  <c r="N26" i="19"/>
  <c r="O25" i="19"/>
  <c r="N50" i="19"/>
  <c r="N52" i="19"/>
  <c r="N56" i="19"/>
  <c r="N60" i="19"/>
  <c r="N62" i="19"/>
  <c r="N41" i="18"/>
  <c r="N39" i="18"/>
  <c r="N40" i="18"/>
  <c r="N35" i="18"/>
  <c r="N36" i="18"/>
  <c r="N34" i="18"/>
  <c r="N31" i="18"/>
  <c r="N29" i="18"/>
  <c r="O29" i="18"/>
  <c r="N45" i="18"/>
  <c r="O3" i="18"/>
  <c r="N4" i="18"/>
  <c r="N5" i="18"/>
  <c r="N47" i="18"/>
  <c r="N8" i="18"/>
  <c r="N9" i="18"/>
  <c r="N10" i="18"/>
  <c r="N13" i="18"/>
  <c r="N14" i="18"/>
  <c r="N15" i="18"/>
  <c r="N18" i="18"/>
  <c r="N19" i="18"/>
  <c r="N20" i="18"/>
  <c r="N26" i="18"/>
  <c r="N46" i="18"/>
  <c r="N51" i="18"/>
  <c r="N55" i="18"/>
  <c r="N57" i="18"/>
  <c r="N61" i="18"/>
  <c r="O8" i="18"/>
  <c r="O9" i="18"/>
  <c r="O10" i="18"/>
  <c r="O13" i="18"/>
  <c r="O14" i="18"/>
  <c r="O15" i="18"/>
  <c r="O18" i="18"/>
  <c r="O19" i="18"/>
  <c r="O20" i="18"/>
  <c r="O46" i="18"/>
  <c r="N24" i="18"/>
  <c r="N50" i="18"/>
  <c r="N52" i="18"/>
  <c r="N56" i="18"/>
  <c r="N60" i="18"/>
  <c r="N62" i="18"/>
  <c r="N25" i="18"/>
  <c r="N62" i="17"/>
  <c r="N56" i="17"/>
  <c r="O35" i="17"/>
  <c r="N14" i="17"/>
  <c r="N52" i="17"/>
  <c r="N50" i="17"/>
  <c r="O31" i="17"/>
  <c r="N24" i="17"/>
  <c r="N26" i="17"/>
  <c r="N5" i="17"/>
  <c r="N29" i="17"/>
  <c r="N31" i="17"/>
  <c r="N35" i="17"/>
  <c r="N39" i="17"/>
  <c r="N41" i="17"/>
  <c r="N47" i="17"/>
  <c r="O39" i="17"/>
  <c r="O3" i="17"/>
  <c r="O5" i="17"/>
  <c r="N8" i="17"/>
  <c r="N10" i="17"/>
  <c r="N13" i="17"/>
  <c r="N15" i="17"/>
  <c r="N18" i="17"/>
  <c r="N19" i="17"/>
  <c r="N46" i="17"/>
  <c r="N51" i="17"/>
  <c r="N55" i="17"/>
  <c r="N57" i="17"/>
  <c r="N61" i="17"/>
  <c r="O8" i="17"/>
  <c r="O9" i="17"/>
  <c r="O10" i="17"/>
  <c r="O13" i="17"/>
  <c r="O14" i="17"/>
  <c r="O15" i="17"/>
  <c r="O18" i="17"/>
  <c r="O19" i="17"/>
  <c r="O20" i="17"/>
  <c r="N4" i="17"/>
  <c r="N25" i="17"/>
  <c r="N30" i="17"/>
  <c r="N34" i="17"/>
  <c r="N36" i="17"/>
  <c r="E36" i="15"/>
  <c r="I9" i="15"/>
  <c r="G191" i="12"/>
  <c r="G183" i="12"/>
  <c r="G175" i="12"/>
  <c r="G159" i="12"/>
  <c r="G151" i="12"/>
  <c r="G143" i="12"/>
  <c r="G127" i="12"/>
  <c r="G119" i="12"/>
  <c r="G111" i="12"/>
  <c r="G95" i="12"/>
  <c r="G87" i="12"/>
  <c r="G79" i="12"/>
  <c r="G63" i="12"/>
  <c r="G55" i="12"/>
  <c r="G47" i="12"/>
  <c r="G31" i="12"/>
  <c r="G23" i="12"/>
  <c r="G15" i="12"/>
  <c r="P47" i="4"/>
  <c r="O46" i="16"/>
  <c r="O55" i="16"/>
  <c r="O61" i="16"/>
  <c r="P56" i="4"/>
  <c r="O55" i="4"/>
  <c r="N40" i="16"/>
  <c r="O34" i="16"/>
  <c r="O60" i="16"/>
  <c r="O26" i="16"/>
  <c r="O30" i="16"/>
  <c r="N47" i="16"/>
  <c r="O40" i="16"/>
  <c r="N36" i="16"/>
  <c r="N34" i="16"/>
  <c r="O24" i="16"/>
  <c r="N30" i="16"/>
  <c r="N31" i="16"/>
  <c r="N35" i="16"/>
  <c r="N39" i="16"/>
  <c r="N41" i="16"/>
  <c r="N29" i="16"/>
  <c r="O29" i="16"/>
  <c r="N25" i="16"/>
  <c r="N26" i="16"/>
  <c r="N3" i="16"/>
  <c r="N5" i="16"/>
  <c r="O5" i="16"/>
  <c r="O8" i="16"/>
  <c r="O9" i="16"/>
  <c r="O10" i="16"/>
  <c r="O13" i="16"/>
  <c r="O14" i="16"/>
  <c r="O15" i="16"/>
  <c r="O18" i="16"/>
  <c r="O19" i="16"/>
  <c r="O20" i="16"/>
  <c r="N24" i="16"/>
  <c r="O25" i="16"/>
  <c r="N46" i="16"/>
  <c r="O47" i="16"/>
  <c r="O3" i="16"/>
  <c r="N45" i="16"/>
  <c r="N51" i="16"/>
  <c r="N55" i="16"/>
  <c r="N57" i="16"/>
  <c r="N61" i="16"/>
  <c r="N4" i="16"/>
  <c r="N8" i="16"/>
  <c r="N9" i="16"/>
  <c r="N10" i="16"/>
  <c r="N13" i="16"/>
  <c r="N14" i="16"/>
  <c r="N15" i="16"/>
  <c r="N18" i="16"/>
  <c r="N19" i="16"/>
  <c r="N20" i="16"/>
  <c r="N50" i="16"/>
  <c r="N52" i="16"/>
  <c r="N56" i="16"/>
  <c r="N60" i="16"/>
  <c r="N62" i="16"/>
  <c r="P60" i="4"/>
  <c r="O61" i="4"/>
  <c r="O57" i="4"/>
  <c r="O51" i="4"/>
  <c r="O47" i="4"/>
  <c r="P46" i="4"/>
  <c r="O45" i="4"/>
  <c r="O46" i="4"/>
  <c r="P45" i="4"/>
  <c r="P51" i="4"/>
  <c r="P55" i="4"/>
  <c r="P57" i="4"/>
  <c r="O50" i="4"/>
  <c r="O52" i="4"/>
  <c r="O56" i="4"/>
  <c r="O60" i="4"/>
  <c r="O62" i="4"/>
  <c r="P41" i="4"/>
  <c r="P40" i="4"/>
  <c r="P39" i="4"/>
  <c r="P36" i="4"/>
  <c r="P35" i="4"/>
  <c r="P34" i="4"/>
  <c r="P31" i="4"/>
  <c r="P30" i="4"/>
  <c r="P29" i="4"/>
  <c r="P25" i="4"/>
  <c r="O24" i="4"/>
  <c r="O25" i="4"/>
  <c r="P24" i="4"/>
  <c r="O26" i="4"/>
  <c r="O30" i="4"/>
  <c r="O34" i="4"/>
  <c r="O36" i="4"/>
  <c r="O40" i="4"/>
  <c r="O29" i="4"/>
  <c r="O31" i="4"/>
  <c r="O35" i="4"/>
  <c r="O39" i="4"/>
  <c r="O41" i="4"/>
  <c r="P18" i="4"/>
  <c r="P15" i="4"/>
  <c r="P14" i="4"/>
  <c r="P13" i="4"/>
  <c r="P10" i="4"/>
  <c r="P9" i="4"/>
  <c r="P8" i="4"/>
  <c r="P3" i="4"/>
  <c r="O5" i="4"/>
  <c r="O4" i="4"/>
  <c r="P4" i="4"/>
  <c r="O3" i="4"/>
  <c r="P5" i="4"/>
  <c r="O9" i="4"/>
  <c r="O13" i="4"/>
  <c r="O15" i="4"/>
  <c r="O19" i="4"/>
  <c r="O8" i="4"/>
  <c r="O10" i="4"/>
  <c r="O14" i="4"/>
  <c r="O18" i="4"/>
  <c r="O20" i="4"/>
  <c r="G206" i="12"/>
  <c r="G190" i="12"/>
  <c r="G158" i="12"/>
  <c r="G142" i="12"/>
  <c r="G134" i="12"/>
  <c r="G110" i="12"/>
  <c r="G102" i="12"/>
  <c r="G94" i="12"/>
  <c r="G86" i="12"/>
  <c r="G70" i="12"/>
  <c r="G62" i="12"/>
  <c r="G54" i="12"/>
  <c r="G46" i="12"/>
  <c r="G38" i="12"/>
  <c r="G30" i="12"/>
  <c r="G22" i="12"/>
  <c r="G14" i="12"/>
  <c r="G6" i="12"/>
  <c r="G182" i="12"/>
  <c r="G166" i="12"/>
  <c r="G150" i="12"/>
  <c r="G126" i="12"/>
  <c r="L26" i="12"/>
  <c r="L22" i="12"/>
  <c r="G199" i="12"/>
  <c r="G167" i="12"/>
  <c r="G135" i="12"/>
  <c r="G103" i="12"/>
  <c r="G71" i="12"/>
  <c r="G39" i="12"/>
  <c r="G7" i="12"/>
  <c r="E31" i="15"/>
  <c r="E34" i="15"/>
  <c r="E33" i="15"/>
  <c r="E29" i="15"/>
  <c r="E30" i="15"/>
  <c r="E13" i="15"/>
  <c r="E18" i="15"/>
  <c r="E22" i="15"/>
  <c r="E27" i="15"/>
  <c r="E7" i="15"/>
  <c r="E16" i="15"/>
  <c r="E21" i="15"/>
  <c r="E26" i="15"/>
  <c r="E8" i="15"/>
  <c r="E6" i="15"/>
  <c r="E11" i="15"/>
  <c r="E15" i="15"/>
  <c r="E20" i="15"/>
  <c r="E25" i="15"/>
  <c r="E4" i="15"/>
  <c r="E5" i="15"/>
  <c r="E14" i="15"/>
  <c r="E19" i="15"/>
  <c r="E24" i="15"/>
  <c r="E12" i="15"/>
  <c r="E9" i="15"/>
  <c r="E3" i="15"/>
  <c r="G205" i="12"/>
  <c r="G189" i="12"/>
  <c r="G173" i="12"/>
  <c r="G157" i="12"/>
  <c r="G141" i="12"/>
  <c r="L9" i="12"/>
  <c r="G77" i="12"/>
  <c r="G61" i="12"/>
  <c r="G45" i="12"/>
  <c r="G29" i="12"/>
  <c r="G13" i="12"/>
  <c r="G197" i="12"/>
  <c r="G181" i="12"/>
  <c r="G165" i="12"/>
  <c r="G149" i="12"/>
  <c r="G133" i="12"/>
  <c r="G125" i="12"/>
  <c r="G117" i="12"/>
  <c r="G109" i="12"/>
  <c r="G101" i="12"/>
  <c r="G85" i="12"/>
  <c r="G69" i="12"/>
  <c r="G53" i="12"/>
  <c r="G37" i="12"/>
  <c r="G21" i="12"/>
  <c r="G5" i="12"/>
  <c r="L28" i="12"/>
  <c r="L27" i="12"/>
  <c r="L23" i="12"/>
  <c r="G196" i="12"/>
  <c r="G188" i="12"/>
  <c r="L18" i="12"/>
  <c r="G172" i="12"/>
  <c r="G164" i="12"/>
  <c r="G156" i="12"/>
  <c r="G148" i="12"/>
  <c r="G140" i="12"/>
  <c r="G132" i="12"/>
  <c r="G124" i="12"/>
  <c r="G116" i="12"/>
  <c r="L10" i="12"/>
  <c r="G100" i="12"/>
  <c r="G92" i="12"/>
  <c r="G84" i="12"/>
  <c r="G76" i="12"/>
  <c r="G68" i="12"/>
  <c r="G60" i="12"/>
  <c r="G52" i="12"/>
  <c r="G44" i="12"/>
  <c r="G36" i="12"/>
  <c r="G28" i="12"/>
  <c r="G20" i="12"/>
  <c r="G12" i="12"/>
  <c r="G4" i="12"/>
  <c r="L30" i="12"/>
  <c r="L25" i="12"/>
  <c r="L12" i="12"/>
  <c r="L16" i="12"/>
  <c r="L24" i="12"/>
  <c r="L7" i="12"/>
  <c r="G207" i="12"/>
  <c r="L20" i="12"/>
  <c r="L21" i="12"/>
  <c r="L17" i="12"/>
  <c r="L11" i="12"/>
  <c r="L8" i="12"/>
  <c r="L29" i="12"/>
  <c r="G168" i="12"/>
  <c r="L14" i="12"/>
  <c r="L6" i="12"/>
  <c r="G198" i="12"/>
  <c r="G174" i="12"/>
  <c r="G118" i="12"/>
  <c r="G78" i="12"/>
  <c r="L13" i="12"/>
  <c r="L5" i="12"/>
  <c r="G93" i="12"/>
  <c r="L4" i="12"/>
  <c r="L15" i="12"/>
  <c r="G212" i="12"/>
  <c r="G204" i="12"/>
  <c r="G180" i="12"/>
  <c r="G108" i="12"/>
  <c r="L19" i="12"/>
  <c r="L3" i="12"/>
  <c r="G211" i="12"/>
  <c r="G203" i="12"/>
  <c r="G210" i="12"/>
  <c r="G369" i="2"/>
  <c r="G354" i="2"/>
  <c r="G345" i="2"/>
  <c r="G337" i="2"/>
  <c r="G320" i="2"/>
  <c r="G313" i="2"/>
  <c r="G307" i="2"/>
  <c r="G300" i="2"/>
  <c r="G293" i="2"/>
  <c r="G287" i="2"/>
  <c r="G258" i="2"/>
  <c r="G252" i="2"/>
  <c r="G247" i="2"/>
  <c r="G240" i="2"/>
  <c r="G234" i="2"/>
  <c r="G228" i="2"/>
  <c r="G222" i="2"/>
  <c r="G217" i="2"/>
  <c r="G210" i="2"/>
  <c r="G204" i="2"/>
  <c r="G198" i="2"/>
  <c r="G192" i="2"/>
  <c r="G187" i="2"/>
  <c r="G180" i="2"/>
  <c r="G174" i="2"/>
  <c r="G147" i="2"/>
  <c r="G141" i="2"/>
  <c r="G136" i="2"/>
  <c r="G131" i="2"/>
  <c r="G124" i="2"/>
  <c r="G119" i="2"/>
  <c r="G114" i="2"/>
  <c r="G109" i="2"/>
  <c r="G102" i="2"/>
  <c r="G96" i="2"/>
  <c r="G91" i="2"/>
  <c r="G87" i="2"/>
  <c r="G79" i="2"/>
  <c r="G74" i="2"/>
  <c r="G69" i="2"/>
  <c r="G63" i="2"/>
  <c r="G57" i="2"/>
  <c r="G52" i="2"/>
  <c r="G47" i="2"/>
  <c r="G40" i="2"/>
  <c r="G35" i="2"/>
  <c r="G30" i="2"/>
  <c r="G25" i="2"/>
  <c r="G18" i="2"/>
  <c r="G12" i="2"/>
  <c r="G7" i="2"/>
  <c r="G3" i="2"/>
  <c r="G280" i="2"/>
  <c r="G366" i="2"/>
  <c r="G343" i="2"/>
  <c r="G318" i="2"/>
  <c r="G306" i="2"/>
  <c r="G291" i="2"/>
  <c r="G286" i="2"/>
  <c r="G278" i="2"/>
  <c r="G256" i="2"/>
  <c r="G251" i="2"/>
  <c r="G246" i="2"/>
  <c r="G238" i="2"/>
  <c r="G233" i="2"/>
  <c r="G226" i="2"/>
  <c r="G221" i="2"/>
  <c r="G216" i="2"/>
  <c r="G208" i="2"/>
  <c r="G203" i="2"/>
  <c r="G196" i="2"/>
  <c r="G191" i="2"/>
  <c r="G186" i="2"/>
  <c r="G178" i="2"/>
  <c r="G173" i="2"/>
  <c r="G145" i="2"/>
  <c r="G140" i="2"/>
  <c r="G135" i="2"/>
  <c r="G130" i="2"/>
  <c r="G123" i="2"/>
  <c r="G117" i="2"/>
  <c r="G112" i="2"/>
  <c r="G108" i="2"/>
  <c r="G100" i="2"/>
  <c r="G95" i="2"/>
  <c r="G90" i="2"/>
  <c r="G84" i="2"/>
  <c r="G78" i="2"/>
  <c r="G73" i="2"/>
  <c r="G68" i="2"/>
  <c r="G61" i="2"/>
  <c r="G56" i="2"/>
  <c r="G51" i="2"/>
  <c r="G46" i="2"/>
  <c r="G39" i="2"/>
  <c r="G33" i="2"/>
  <c r="G28" i="2"/>
  <c r="G24" i="2"/>
  <c r="G16" i="2"/>
  <c r="G11" i="2"/>
  <c r="G6" i="2"/>
  <c r="G351" i="2"/>
  <c r="G336" i="2"/>
  <c r="G311" i="2"/>
  <c r="G298" i="2"/>
  <c r="G357" i="2"/>
  <c r="G342" i="2"/>
  <c r="G317" i="2"/>
  <c r="G303" i="2"/>
  <c r="G283" i="2"/>
  <c r="G255" i="2"/>
  <c r="G349" i="2"/>
  <c r="G323" i="2"/>
  <c r="G310" i="2"/>
  <c r="G297" i="2"/>
  <c r="G290" i="2"/>
  <c r="G277" i="2"/>
  <c r="G249" i="2"/>
  <c r="G243" i="2"/>
  <c r="G237" i="2"/>
  <c r="G232" i="2"/>
  <c r="G225" i="2"/>
  <c r="G219" i="2"/>
  <c r="G213" i="2"/>
  <c r="G207" i="2"/>
  <c r="G202" i="2"/>
  <c r="G195" i="2"/>
  <c r="G189" i="2"/>
  <c r="G183" i="2"/>
  <c r="G177" i="2"/>
  <c r="G172" i="2"/>
  <c r="G144" i="2"/>
  <c r="G138" i="2"/>
  <c r="G133" i="2"/>
  <c r="G129" i="2"/>
  <c r="G121" i="2"/>
  <c r="G116" i="2"/>
  <c r="G111" i="2"/>
  <c r="G105" i="2"/>
  <c r="G99" i="2"/>
  <c r="G94" i="2"/>
  <c r="G89" i="2"/>
  <c r="G82" i="2"/>
  <c r="G77" i="2"/>
  <c r="G72" i="2"/>
  <c r="G67" i="2"/>
  <c r="G60" i="2"/>
  <c r="G54" i="2"/>
  <c r="G49" i="2"/>
  <c r="G45" i="2"/>
  <c r="G37" i="2"/>
  <c r="G32" i="2"/>
  <c r="G27" i="2"/>
  <c r="G21" i="2"/>
  <c r="G15" i="2"/>
  <c r="G10" i="2"/>
  <c r="G5" i="2"/>
  <c r="G355" i="2"/>
  <c r="G339" i="2"/>
  <c r="G316" i="2"/>
  <c r="G301" i="2"/>
  <c r="G288" i="2"/>
  <c r="G276" i="2"/>
  <c r="G248" i="2"/>
  <c r="G236" i="2"/>
  <c r="G223" i="2"/>
  <c r="G211" i="2"/>
  <c r="G201" i="2"/>
  <c r="G188" i="2"/>
  <c r="G176" i="2"/>
  <c r="G142" i="2"/>
  <c r="G132" i="2"/>
  <c r="G115" i="2"/>
  <c r="G103" i="2"/>
  <c r="G93" i="2"/>
  <c r="G81" i="2"/>
  <c r="G70" i="2"/>
  <c r="G58" i="2"/>
  <c r="G48" i="2"/>
  <c r="G36" i="2"/>
  <c r="G26" i="2"/>
  <c r="G14" i="2"/>
  <c r="G4" i="2"/>
  <c r="G372" i="2"/>
  <c r="G348" i="2"/>
  <c r="G321" i="2"/>
  <c r="G308" i="2"/>
  <c r="G281" i="2"/>
  <c r="G253" i="2"/>
  <c r="G241" i="2"/>
  <c r="G231" i="2"/>
  <c r="G218" i="2"/>
  <c r="G206" i="2"/>
  <c r="G193" i="2"/>
  <c r="G181" i="2"/>
  <c r="G171" i="2"/>
  <c r="G137" i="2"/>
  <c r="G126" i="2"/>
  <c r="G120" i="2"/>
  <c r="G110" i="2"/>
  <c r="G98" i="2"/>
  <c r="G88" i="2"/>
  <c r="G75" i="2"/>
  <c r="G66" i="2"/>
  <c r="G53" i="2"/>
  <c r="G42" i="2"/>
  <c r="G31" i="2"/>
  <c r="G19" i="2"/>
  <c r="G9" i="2"/>
  <c r="L20" i="2"/>
  <c r="G296" i="2"/>
  <c r="L15" i="2"/>
  <c r="L11" i="2"/>
  <c r="L6" i="2"/>
  <c r="L22" i="2"/>
  <c r="L18" i="2"/>
  <c r="L13" i="2"/>
  <c r="L30" i="2"/>
  <c r="L21" i="2"/>
  <c r="L16" i="2"/>
  <c r="L12" i="2"/>
  <c r="L7" i="2"/>
  <c r="L36" i="2"/>
  <c r="L27" i="2"/>
  <c r="L29" i="2"/>
  <c r="L24" i="2"/>
  <c r="L19" i="2"/>
  <c r="L14" i="2"/>
  <c r="L8" i="2"/>
  <c r="L4" i="2"/>
  <c r="L26" i="2"/>
  <c r="L25" i="2"/>
  <c r="L9" i="2"/>
  <c r="L5" i="2"/>
  <c r="L3" i="2"/>
  <c r="L31" i="2"/>
  <c r="L34" i="2"/>
  <c r="L33" i="2"/>
  <c r="K32" i="12" l="1"/>
  <c r="M32" i="12" s="1"/>
  <c r="K34" i="12"/>
  <c r="M34" i="12" s="1"/>
  <c r="K31" i="12"/>
  <c r="M31" i="12" s="1"/>
  <c r="K37" i="12"/>
  <c r="M37" i="12" s="1"/>
  <c r="K33" i="12"/>
  <c r="M33" i="12" s="1"/>
  <c r="K35" i="12"/>
  <c r="M35" i="12" s="1"/>
  <c r="K36" i="12"/>
  <c r="M36" i="12" s="1"/>
  <c r="E20" i="22"/>
  <c r="E5" i="19"/>
  <c r="E14" i="22"/>
  <c r="K24" i="12"/>
  <c r="M24" i="12" s="1"/>
  <c r="E19" i="4"/>
  <c r="E19" i="18"/>
  <c r="K13" i="12"/>
  <c r="M13" i="12" s="1"/>
  <c r="E10" i="4"/>
  <c r="E15" i="18"/>
  <c r="V3" i="16"/>
  <c r="E9" i="22"/>
  <c r="K14" i="12"/>
  <c r="M14" i="12" s="1"/>
  <c r="X5" i="22"/>
  <c r="X7" i="22"/>
  <c r="V8" i="17"/>
  <c r="V2" i="17"/>
  <c r="X2" i="22"/>
  <c r="K5" i="12"/>
  <c r="M5" i="12" s="1"/>
  <c r="V5" i="19"/>
  <c r="X6" i="22"/>
  <c r="V4" i="16"/>
  <c r="V3" i="18"/>
  <c r="X10" i="4"/>
  <c r="V8" i="16"/>
  <c r="V5" i="17"/>
  <c r="V8" i="18"/>
  <c r="V4" i="18"/>
  <c r="V7" i="19"/>
  <c r="V2" i="19"/>
  <c r="V3" i="20"/>
  <c r="V2" i="21"/>
  <c r="E8" i="16"/>
  <c r="V9" i="16"/>
  <c r="V6" i="16"/>
  <c r="V5" i="18"/>
  <c r="X3" i="22"/>
  <c r="V4" i="17"/>
  <c r="V2" i="20"/>
  <c r="V8" i="21"/>
  <c r="V3" i="21"/>
  <c r="V7" i="18"/>
  <c r="V3" i="19"/>
  <c r="V7" i="16"/>
  <c r="V7" i="20"/>
  <c r="X9" i="22"/>
  <c r="V2" i="16"/>
  <c r="V9" i="17"/>
  <c r="V6" i="17"/>
  <c r="V9" i="18"/>
  <c r="V6" i="18"/>
  <c r="V9" i="19"/>
  <c r="V6" i="19"/>
  <c r="V4" i="19"/>
  <c r="V8" i="20"/>
  <c r="V4" i="20"/>
  <c r="V5" i="21"/>
  <c r="X10" i="22"/>
  <c r="V5" i="20"/>
  <c r="V9" i="21"/>
  <c r="V6" i="21"/>
  <c r="V7" i="21"/>
  <c r="V4" i="21"/>
  <c r="X4" i="22"/>
  <c r="X11" i="22"/>
  <c r="X8" i="22"/>
  <c r="X9" i="4"/>
  <c r="D8" i="4"/>
  <c r="X11" i="4"/>
  <c r="X8" i="4"/>
  <c r="V5" i="16"/>
  <c r="V7" i="17"/>
  <c r="V3" i="17"/>
  <c r="V2" i="18"/>
  <c r="V8" i="19"/>
  <c r="V9" i="20"/>
  <c r="V6" i="20"/>
  <c r="X4" i="4"/>
  <c r="X6" i="4"/>
  <c r="E3" i="4"/>
  <c r="E14" i="4"/>
  <c r="X2" i="4"/>
  <c r="X3" i="4"/>
  <c r="X7" i="4"/>
  <c r="X5" i="4"/>
  <c r="D3" i="4"/>
  <c r="E13" i="4"/>
  <c r="E5" i="4"/>
  <c r="E15" i="4"/>
  <c r="E9" i="4"/>
  <c r="D4" i="4"/>
  <c r="E4" i="4"/>
  <c r="D5" i="4"/>
  <c r="D18" i="4"/>
  <c r="E18" i="4"/>
  <c r="D15" i="4"/>
  <c r="E8" i="4"/>
  <c r="L8" i="24"/>
  <c r="L7" i="24"/>
  <c r="L9" i="24"/>
  <c r="L10" i="24"/>
  <c r="L5" i="24"/>
  <c r="L3" i="24"/>
  <c r="L6" i="24"/>
  <c r="L4" i="24"/>
  <c r="E20" i="21"/>
  <c r="E18" i="19"/>
  <c r="E10" i="22"/>
  <c r="E8" i="17"/>
  <c r="E9" i="18"/>
  <c r="E20" i="4"/>
  <c r="E18" i="22"/>
  <c r="D9" i="4"/>
  <c r="E20" i="16"/>
  <c r="D13" i="4"/>
  <c r="E13" i="17"/>
  <c r="E19" i="20"/>
  <c r="E3" i="21"/>
  <c r="D18" i="18"/>
  <c r="E10" i="18"/>
  <c r="D14" i="4"/>
  <c r="D10" i="4"/>
  <c r="E14" i="21"/>
  <c r="E19" i="17"/>
  <c r="E5" i="21"/>
  <c r="D10" i="21"/>
  <c r="E13" i="21"/>
  <c r="D20" i="4"/>
  <c r="D20" i="19"/>
  <c r="E5" i="20"/>
  <c r="D20" i="22"/>
  <c r="D19" i="4"/>
  <c r="D19" i="18"/>
  <c r="D8" i="22"/>
  <c r="E19" i="21"/>
  <c r="E15" i="21"/>
  <c r="D15" i="22"/>
  <c r="E8" i="18"/>
  <c r="E19" i="19"/>
  <c r="E9" i="21"/>
  <c r="D9" i="22"/>
  <c r="E4" i="18"/>
  <c r="E14" i="18"/>
  <c r="D19" i="20"/>
  <c r="E10" i="21"/>
  <c r="D10" i="22"/>
  <c r="E3" i="18"/>
  <c r="D5" i="19"/>
  <c r="E19" i="22"/>
  <c r="E5" i="18"/>
  <c r="E20" i="18"/>
  <c r="D18" i="19"/>
  <c r="D15" i="21"/>
  <c r="E18" i="18"/>
  <c r="D19" i="22"/>
  <c r="D13" i="22"/>
  <c r="D18" i="22"/>
  <c r="H10" i="15"/>
  <c r="E20" i="17"/>
  <c r="E10" i="17"/>
  <c r="E15" i="17"/>
  <c r="D20" i="18"/>
  <c r="D3" i="21"/>
  <c r="D8" i="21"/>
  <c r="E13" i="22"/>
  <c r="D14" i="22"/>
  <c r="E4" i="22"/>
  <c r="D9" i="21"/>
  <c r="D14" i="21"/>
  <c r="D10" i="18"/>
  <c r="E18" i="20"/>
  <c r="E8" i="21"/>
  <c r="D18" i="21"/>
  <c r="E15" i="22"/>
  <c r="E8" i="22"/>
  <c r="E13" i="16"/>
  <c r="D15" i="18"/>
  <c r="E20" i="19"/>
  <c r="D13" i="21"/>
  <c r="D5" i="22"/>
  <c r="E5" i="22"/>
  <c r="D4" i="22"/>
  <c r="E3" i="22"/>
  <c r="D3" i="22"/>
  <c r="E18" i="21"/>
  <c r="D20" i="21"/>
  <c r="D19" i="21"/>
  <c r="E4" i="21"/>
  <c r="D4" i="21"/>
  <c r="D5" i="21"/>
  <c r="E20" i="20"/>
  <c r="D18" i="20"/>
  <c r="D20" i="20"/>
  <c r="E8" i="20"/>
  <c r="D8" i="20"/>
  <c r="E3" i="20"/>
  <c r="D3" i="20"/>
  <c r="D5" i="20"/>
  <c r="E15" i="20"/>
  <c r="D15" i="20"/>
  <c r="E4" i="20"/>
  <c r="D4" i="20"/>
  <c r="E14" i="20"/>
  <c r="D14" i="20"/>
  <c r="E13" i="20"/>
  <c r="D13" i="20"/>
  <c r="E10" i="20"/>
  <c r="D10" i="20"/>
  <c r="E9" i="20"/>
  <c r="D9" i="20"/>
  <c r="D19" i="19"/>
  <c r="E3" i="19"/>
  <c r="E14" i="19"/>
  <c r="D14" i="19"/>
  <c r="E13" i="19"/>
  <c r="D13" i="19"/>
  <c r="E10" i="19"/>
  <c r="D10" i="19"/>
  <c r="E8" i="19"/>
  <c r="D8" i="19"/>
  <c r="E9" i="19"/>
  <c r="D9" i="19"/>
  <c r="E4" i="19"/>
  <c r="D4" i="19"/>
  <c r="D3" i="19"/>
  <c r="E15" i="19"/>
  <c r="D15" i="19"/>
  <c r="E13" i="18"/>
  <c r="D13" i="18"/>
  <c r="D14" i="18"/>
  <c r="D9" i="18"/>
  <c r="D8" i="18"/>
  <c r="D3" i="18"/>
  <c r="D5" i="18"/>
  <c r="D4" i="18"/>
  <c r="D8" i="17"/>
  <c r="E18" i="17"/>
  <c r="D18" i="17"/>
  <c r="E9" i="17"/>
  <c r="D9" i="17"/>
  <c r="E4" i="17"/>
  <c r="D4" i="17"/>
  <c r="D10" i="17"/>
  <c r="D19" i="17"/>
  <c r="D20" i="17"/>
  <c r="E14" i="17"/>
  <c r="D14" i="17"/>
  <c r="E5" i="17"/>
  <c r="D5" i="17"/>
  <c r="D15" i="17"/>
  <c r="D13" i="17"/>
  <c r="E3" i="17"/>
  <c r="D3" i="17"/>
  <c r="H7" i="15"/>
  <c r="H3" i="15"/>
  <c r="H8" i="15"/>
  <c r="H6" i="15"/>
  <c r="H4" i="15"/>
  <c r="H5" i="15"/>
  <c r="H9" i="15"/>
  <c r="K15" i="12"/>
  <c r="M15" i="12" s="1"/>
  <c r="K22" i="12"/>
  <c r="M22" i="12" s="1"/>
  <c r="K9" i="12"/>
  <c r="M9" i="12" s="1"/>
  <c r="K26" i="12"/>
  <c r="M26" i="12" s="1"/>
  <c r="K7" i="12"/>
  <c r="M7" i="12" s="1"/>
  <c r="E18" i="16"/>
  <c r="E10" i="16"/>
  <c r="D9" i="16"/>
  <c r="D20" i="16"/>
  <c r="E9" i="16"/>
  <c r="E3" i="16"/>
  <c r="E15" i="16"/>
  <c r="E19" i="16"/>
  <c r="D13" i="16"/>
  <c r="D14" i="16"/>
  <c r="E14" i="16"/>
  <c r="D8" i="16"/>
  <c r="D15" i="16"/>
  <c r="E4" i="16"/>
  <c r="D19" i="16"/>
  <c r="D18" i="16"/>
  <c r="D3" i="16"/>
  <c r="D10" i="16"/>
  <c r="E5" i="16"/>
  <c r="D5" i="16"/>
  <c r="D4" i="16"/>
  <c r="K23" i="12"/>
  <c r="M23" i="12" s="1"/>
  <c r="K19" i="12"/>
  <c r="M19" i="12" s="1"/>
  <c r="K4" i="12"/>
  <c r="M4" i="12" s="1"/>
  <c r="K25" i="12"/>
  <c r="M25" i="12" s="1"/>
  <c r="K6" i="12"/>
  <c r="M6" i="12" s="1"/>
  <c r="K12" i="12"/>
  <c r="M12" i="12" s="1"/>
  <c r="K20" i="12"/>
  <c r="M20" i="12" s="1"/>
  <c r="K3" i="12"/>
  <c r="M3" i="12" s="1"/>
  <c r="K16" i="12"/>
  <c r="M16" i="12" s="1"/>
  <c r="K18" i="12"/>
  <c r="M18" i="12" s="1"/>
  <c r="K8" i="12"/>
  <c r="M8" i="12" s="1"/>
  <c r="K11" i="12"/>
  <c r="M11" i="12" s="1"/>
  <c r="K27" i="12"/>
  <c r="M27" i="12" s="1"/>
  <c r="K17" i="12"/>
  <c r="M17" i="12" s="1"/>
  <c r="K28" i="12"/>
  <c r="M28" i="12" s="1"/>
  <c r="K10" i="12"/>
  <c r="M10" i="12" s="1"/>
  <c r="K29" i="12"/>
  <c r="M29" i="12" s="1"/>
  <c r="K21" i="12"/>
  <c r="M21" i="12" s="1"/>
  <c r="K30" i="12"/>
  <c r="M30" i="12" s="1"/>
  <c r="K14" i="2"/>
  <c r="M14" i="2" s="1"/>
  <c r="K29" i="2"/>
  <c r="M29" i="2" s="1"/>
  <c r="K34" i="2"/>
  <c r="M34" i="2" s="1"/>
  <c r="K8" i="2"/>
  <c r="M8" i="2" s="1"/>
  <c r="K30" i="2"/>
  <c r="M30" i="2" s="1"/>
  <c r="K9" i="2"/>
  <c r="M9" i="2" s="1"/>
  <c r="K25" i="2"/>
  <c r="M25" i="2" s="1"/>
  <c r="K16" i="2"/>
  <c r="M16" i="2" s="1"/>
  <c r="K33" i="2"/>
  <c r="M33" i="2" s="1"/>
  <c r="K21" i="2"/>
  <c r="M21" i="2" s="1"/>
  <c r="K3" i="2"/>
  <c r="M3" i="2" s="1"/>
  <c r="K36" i="2"/>
  <c r="M36" i="2" s="1"/>
  <c r="K7" i="2"/>
  <c r="M7" i="2" s="1"/>
  <c r="K19" i="2"/>
  <c r="M19" i="2" s="1"/>
  <c r="K27" i="2"/>
  <c r="M27" i="2" s="1"/>
  <c r="K24" i="2"/>
  <c r="M24" i="2" s="1"/>
  <c r="K5" i="2"/>
  <c r="M5" i="2" s="1"/>
  <c r="K26" i="2"/>
  <c r="M26" i="2" s="1"/>
  <c r="K4" i="2"/>
  <c r="M4" i="2" s="1"/>
  <c r="K12" i="2"/>
  <c r="M12" i="2" s="1"/>
  <c r="K6" i="2"/>
  <c r="M6" i="2" s="1"/>
  <c r="K11" i="2"/>
  <c r="M11" i="2" s="1"/>
  <c r="K31" i="2"/>
  <c r="M31" i="2" s="1"/>
  <c r="K13" i="2"/>
  <c r="M13" i="2" s="1"/>
  <c r="K22" i="2"/>
  <c r="M22" i="2" s="1"/>
  <c r="K20" i="2"/>
  <c r="M20" i="2" s="1"/>
  <c r="K15" i="2"/>
  <c r="M15" i="2" s="1"/>
  <c r="K18" i="2"/>
  <c r="M18" i="2" s="1"/>
  <c r="J9" i="15" l="1"/>
  <c r="J10" i="15"/>
  <c r="J5" i="15"/>
  <c r="J3" i="15"/>
  <c r="J4" i="15"/>
  <c r="J6" i="15"/>
  <c r="J7" i="15"/>
  <c r="J8" i="15"/>
</calcChain>
</file>

<file path=xl/sharedStrings.xml><?xml version="1.0" encoding="utf-8"?>
<sst xmlns="http://schemas.openxmlformats.org/spreadsheetml/2006/main" count="28095" uniqueCount="1662">
  <si>
    <t>battle</t>
  </si>
  <si>
    <t>winner1</t>
  </si>
  <si>
    <t>winner1-pw</t>
  </si>
  <si>
    <t>winner1-sw</t>
  </si>
  <si>
    <t>winner1-cp</t>
  </si>
  <si>
    <t>winner1-ability1</t>
  </si>
  <si>
    <t>winner1-ability2</t>
  </si>
  <si>
    <t>winner1-ability3</t>
  </si>
  <si>
    <t>winner1-ability4</t>
  </si>
  <si>
    <t>winner2</t>
  </si>
  <si>
    <t>winner2-pw</t>
  </si>
  <si>
    <t>winner2-sw</t>
  </si>
  <si>
    <t>winner2-cp</t>
  </si>
  <si>
    <t>winner2-ability1</t>
  </si>
  <si>
    <t>winner2-ability2</t>
  </si>
  <si>
    <t>winner2-ability3</t>
  </si>
  <si>
    <t>winner2-ability4</t>
  </si>
  <si>
    <t>loser1</t>
  </si>
  <si>
    <t>loser1-pw</t>
  </si>
  <si>
    <t>loser1-sw</t>
  </si>
  <si>
    <t>loser1-cp</t>
  </si>
  <si>
    <t>loser1-ability1</t>
  </si>
  <si>
    <t>loser1-ability2</t>
  </si>
  <si>
    <t>loser1-ability3</t>
  </si>
  <si>
    <t>loser1-ability4</t>
  </si>
  <si>
    <t>loser2</t>
  </si>
  <si>
    <t>loser2-pw</t>
  </si>
  <si>
    <t>loser2-sw</t>
  </si>
  <si>
    <t>loser2-cp</t>
  </si>
  <si>
    <t>loser2-ability1</t>
  </si>
  <si>
    <t>loser2-ability3</t>
  </si>
  <si>
    <t>loser2-ability4</t>
  </si>
  <si>
    <t>turns</t>
  </si>
  <si>
    <t>oracle</t>
  </si>
  <si>
    <t>13-dangerous-knowledge</t>
  </si>
  <si>
    <t>23-paranoia</t>
  </si>
  <si>
    <t>31-disruption</t>
  </si>
  <si>
    <t>42-castling</t>
  </si>
  <si>
    <t>avenger</t>
  </si>
  <si>
    <t>13-fit-of-energy</t>
  </si>
  <si>
    <t>21-precise-strike</t>
  </si>
  <si>
    <t>31-blade-storm</t>
  </si>
  <si>
    <t>43-sands-of-time</t>
  </si>
  <si>
    <t>avatar</t>
  </si>
  <si>
    <t>11-furious-strike</t>
  </si>
  <si>
    <t>shadow</t>
  </si>
  <si>
    <t>11-kinetic-impact</t>
  </si>
  <si>
    <t>11-aimed-shot</t>
  </si>
  <si>
    <t>druid</t>
  </si>
  <si>
    <t>11-crown-of-thorns</t>
  </si>
  <si>
    <t>22-wolf</t>
  </si>
  <si>
    <t>31-choking-vine</t>
  </si>
  <si>
    <t>42-dryad</t>
  </si>
  <si>
    <t>paragon</t>
  </si>
  <si>
    <t>11-sunder-armor</t>
  </si>
  <si>
    <t>21-spear-throw</t>
  </si>
  <si>
    <t>highlander</t>
  </si>
  <si>
    <t>13-lightning-rod</t>
  </si>
  <si>
    <t>battles</t>
  </si>
  <si>
    <t>hero-1</t>
  </si>
  <si>
    <t>hero-2</t>
  </si>
  <si>
    <t>hero-3</t>
  </si>
  <si>
    <t>hero-4</t>
  </si>
  <si>
    <t>lightbringer</t>
  </si>
  <si>
    <t>crystals</t>
  </si>
  <si>
    <t>12-reflection</t>
  </si>
  <si>
    <t>21-mind-blow</t>
  </si>
  <si>
    <t>11-double-strike</t>
  </si>
  <si>
    <t>11-heavy-strike</t>
  </si>
  <si>
    <t>21-sweeping-strike</t>
  </si>
  <si>
    <t>22-quicksands</t>
  </si>
  <si>
    <t>21-entangling-roots</t>
  </si>
  <si>
    <t>11-sun-strike</t>
  </si>
  <si>
    <t>13-fireball</t>
  </si>
  <si>
    <t>21-flame-claws</t>
  </si>
  <si>
    <t>33-meteor</t>
  </si>
  <si>
    <t>23-blind</t>
  </si>
  <si>
    <t>team-2-win</t>
  </si>
  <si>
    <t>Setups</t>
  </si>
  <si>
    <t>wins</t>
  </si>
  <si>
    <t>win-rate</t>
  </si>
  <si>
    <t>team-1-win</t>
  </si>
  <si>
    <t>Teams</t>
  </si>
  <si>
    <t>22-counterattack</t>
  </si>
  <si>
    <t>23-breath-of-life</t>
  </si>
  <si>
    <t>33-lightning-strike</t>
  </si>
  <si>
    <t>12-heavy-shot</t>
  </si>
  <si>
    <t>32-thunderer</t>
  </si>
  <si>
    <t>41-decapitation</t>
  </si>
  <si>
    <t>12-poison-touch</t>
  </si>
  <si>
    <t>33-power-of-the-pack</t>
  </si>
  <si>
    <t>23-aura-of-light</t>
  </si>
  <si>
    <t>22-cat-hook</t>
  </si>
  <si>
    <t>33-dark-shot</t>
  </si>
  <si>
    <t>43-oblivion</t>
  </si>
  <si>
    <t>21-aura-of-might</t>
  </si>
  <si>
    <t>23-temporal-strike</t>
  </si>
  <si>
    <t>33-bandaging</t>
  </si>
  <si>
    <t>41-piercing-strike</t>
  </si>
  <si>
    <t>23-scorch</t>
  </si>
  <si>
    <t>32-elements-control</t>
  </si>
  <si>
    <t>42-dragon-spirit</t>
  </si>
  <si>
    <t>31-volley</t>
  </si>
  <si>
    <t>13-sun-touch</t>
  </si>
  <si>
    <t>31-retribution</t>
  </si>
  <si>
    <t>32-no-step-back</t>
  </si>
  <si>
    <t>hero</t>
  </si>
  <si>
    <t>Average Crystals Per Battle</t>
  </si>
  <si>
    <t>Average Turns Count</t>
  </si>
  <si>
    <t>ability</t>
  </si>
  <si>
    <t>takes</t>
  </si>
  <si>
    <t>12-shield-bash</t>
  </si>
  <si>
    <t>13-shoulder-to-shoulder</t>
  </si>
  <si>
    <t>23-defender</t>
  </si>
  <si>
    <t>31-assault</t>
  </si>
  <si>
    <t>42-breakthrough</t>
  </si>
  <si>
    <t>43-rallying</t>
  </si>
  <si>
    <t>battles-take-rate</t>
  </si>
  <si>
    <t>take-win-rate</t>
  </si>
  <si>
    <t>loser2-ability2</t>
  </si>
  <si>
    <t>12-strong-grip</t>
  </si>
  <si>
    <t>22-freedom-spirit</t>
  </si>
  <si>
    <t>23-static-attraction</t>
  </si>
  <si>
    <t>31-halving</t>
  </si>
  <si>
    <t>42-ancestral-power</t>
  </si>
  <si>
    <t>43-chain-lightning</t>
  </si>
  <si>
    <t>13-wound-healing</t>
  </si>
  <si>
    <t>32-war-tree</t>
  </si>
  <si>
    <t>41-wrath-of-nature</t>
  </si>
  <si>
    <t>43-symbiosis</t>
  </si>
  <si>
    <t>22-knowledge-steal</t>
  </si>
  <si>
    <t>32-teleportation</t>
  </si>
  <si>
    <t>33-mind-control</t>
  </si>
  <si>
    <t>41-void-vortex</t>
  </si>
  <si>
    <t>43-amnesia</t>
  </si>
  <si>
    <t>12-flame-dash</t>
  </si>
  <si>
    <t>22-cauterization</t>
  </si>
  <si>
    <t>31-dragon-tail</t>
  </si>
  <si>
    <t>41-harmony</t>
  </si>
  <si>
    <t>43-fire</t>
  </si>
  <si>
    <t>13-debilitating-shot</t>
  </si>
  <si>
    <t>21-rapid-fire</t>
  </si>
  <si>
    <t>32-shadow-cloak</t>
  </si>
  <si>
    <t>41-headshot</t>
  </si>
  <si>
    <t>42-phantom</t>
  </si>
  <si>
    <t>12-skies-gift</t>
  </si>
  <si>
    <t>22-aura-of-fortitude</t>
  </si>
  <si>
    <t>32-sun-aegis</t>
  </si>
  <si>
    <t>33-cleansing</t>
  </si>
  <si>
    <t>41-hammer-of-wrath</t>
  </si>
  <si>
    <t>42-divine-radiance</t>
  </si>
  <si>
    <t>43-sunrise</t>
  </si>
  <si>
    <t>12-desert-revenge</t>
  </si>
  <si>
    <t>32-sand-storm</t>
  </si>
  <si>
    <t>33-time-trap</t>
  </si>
  <si>
    <t>41-excellence</t>
  </si>
  <si>
    <t>42-sand-form</t>
  </si>
  <si>
    <t>Min Crystals Per Battle</t>
  </si>
  <si>
    <t>Min Turns Count</t>
  </si>
  <si>
    <t>Max Crystals Per Battle</t>
  </si>
  <si>
    <t>Max Turns Count</t>
  </si>
  <si>
    <t>level</t>
  </si>
  <si>
    <t>spear</t>
  </si>
  <si>
    <t>shield</t>
  </si>
  <si>
    <t>chestpiece</t>
  </si>
  <si>
    <t>sword</t>
  </si>
  <si>
    <t>staff</t>
  </si>
  <si>
    <t>book</t>
  </si>
  <si>
    <t>bracers</t>
  </si>
  <si>
    <t>bow</t>
  </si>
  <si>
    <t>hammer</t>
  </si>
  <si>
    <t>sabre</t>
  </si>
  <si>
    <t>blade</t>
  </si>
  <si>
    <t>setup</t>
  </si>
  <si>
    <t>upgrade</t>
  </si>
  <si>
    <t>rate</t>
  </si>
  <si>
    <t>ability 2</t>
  </si>
  <si>
    <t>ability 3</t>
  </si>
  <si>
    <t>ability 4</t>
  </si>
  <si>
    <t>chestpiece 2</t>
  </si>
  <si>
    <t>chestpiece 3</t>
  </si>
  <si>
    <t>Overall</t>
  </si>
  <si>
    <t>Scenario 0</t>
  </si>
  <si>
    <t>Scenario 1</t>
  </si>
  <si>
    <t>Scenario 2</t>
  </si>
  <si>
    <t>Battle Time (mins)</t>
  </si>
  <si>
    <t>Full Run Time (days)</t>
  </si>
  <si>
    <t>team-3-win</t>
  </si>
  <si>
    <t>spear 2</t>
  </si>
  <si>
    <t>spear 3</t>
  </si>
  <si>
    <t>shield 2</t>
  </si>
  <si>
    <t>shield 3</t>
  </si>
  <si>
    <t>sword 2</t>
  </si>
  <si>
    <t>sword 3</t>
  </si>
  <si>
    <t>crystals per battle</t>
  </si>
  <si>
    <t>staff 2</t>
  </si>
  <si>
    <t>staff 3</t>
  </si>
  <si>
    <t>book 2</t>
  </si>
  <si>
    <t>book 3</t>
  </si>
  <si>
    <t>bracers 2</t>
  </si>
  <si>
    <t>bracers 3</t>
  </si>
  <si>
    <t>bow 2</t>
  </si>
  <si>
    <t>bow 3</t>
  </si>
  <si>
    <t>hammer 2</t>
  </si>
  <si>
    <t>hammer 3</t>
  </si>
  <si>
    <t>sabre 2</t>
  </si>
  <si>
    <t>sabre 3</t>
  </si>
  <si>
    <t>blade 2</t>
  </si>
  <si>
    <t>blade 3</t>
  </si>
  <si>
    <t>Scenario 3</t>
  </si>
  <si>
    <t>loser3</t>
  </si>
  <si>
    <t>loser3-ability1</t>
  </si>
  <si>
    <t>loser3-ability2</t>
  </si>
  <si>
    <t>loser3-ability3</t>
  </si>
  <si>
    <t>loser3-ability4</t>
  </si>
  <si>
    <t>loser3-pw</t>
  </si>
  <si>
    <t>loser3-sw</t>
  </si>
  <si>
    <t>loser3-cp</t>
  </si>
  <si>
    <t>team-4-win</t>
  </si>
  <si>
    <t>Scenario 4</t>
  </si>
  <si>
    <t>Scenario 5</t>
  </si>
  <si>
    <t>0-wins</t>
  </si>
  <si>
    <t>1-wins</t>
  </si>
  <si>
    <t>2-wins</t>
  </si>
  <si>
    <t>3-wins</t>
  </si>
  <si>
    <t>4-wins</t>
  </si>
  <si>
    <t>5-wins</t>
  </si>
  <si>
    <t>navarch</t>
  </si>
  <si>
    <t>11-duelist</t>
  </si>
  <si>
    <t>12-swift-reflexes</t>
  </si>
  <si>
    <t>13-reload</t>
  </si>
  <si>
    <t>21-boarding</t>
  </si>
  <si>
    <t>22-smoke-cloud</t>
  </si>
  <si>
    <t>23-enhanced-charges</t>
  </si>
  <si>
    <t>31-skillful-trick</t>
  </si>
  <si>
    <t>32-shellback</t>
  </si>
  <si>
    <t>33-gunslinger</t>
  </si>
  <si>
    <t>41-fortune</t>
  </si>
  <si>
    <t>42-bomb-toss</t>
  </si>
  <si>
    <t>43-piercing-shot</t>
  </si>
  <si>
    <t>kopis</t>
  </si>
  <si>
    <t>gun</t>
  </si>
  <si>
    <t>kopis 2</t>
  </si>
  <si>
    <t>kopis 3</t>
  </si>
  <si>
    <t>gun 2</t>
  </si>
  <si>
    <t>gun 3</t>
  </si>
  <si>
    <t>c7503010-3bb3-11ee-af66-c36ec25f42ed</t>
  </si>
  <si>
    <t>b8976890-3bf9-11ee-92bc-957275a3fc52</t>
  </si>
  <si>
    <t>16fdb170-3c02-11ee-92bc-957275a3fc52</t>
  </si>
  <si>
    <t>2aac0480-3c0a-11ee-92bc-957275a3fc52</t>
  </si>
  <si>
    <t>91adabe0-3c12-11ee-92bc-957275a3fc52</t>
  </si>
  <si>
    <t>14f44380-3c1b-11ee-92bc-957275a3fc52</t>
  </si>
  <si>
    <t>63a42dd0-3c23-11ee-92bc-957275a3fc52</t>
  </si>
  <si>
    <t>90a8ab10-3c2a-11ee-92bc-957275a3fc52</t>
  </si>
  <si>
    <t>36aa5cf0-3c32-11ee-92bc-957275a3fc52</t>
  </si>
  <si>
    <t>f26eb200-3c38-11ee-92bc-957275a3fc52</t>
  </si>
  <si>
    <t>db4b2d00-3c3e-11ee-92bc-957275a3fc52</t>
  </si>
  <si>
    <t>54cf1240-3c49-11ee-92bc-957275a3fc52</t>
  </si>
  <si>
    <t>4c7e0990-3c51-11ee-92bc-957275a3fc52</t>
  </si>
  <si>
    <t>dd06b650-3c57-11ee-92bc-957275a3fc52</t>
  </si>
  <si>
    <t>ae6a0480-3c5e-11ee-92bc-957275a3fc52</t>
  </si>
  <si>
    <t>e422d950-3ccf-11ee-87a4-ab9a9b268a3f</t>
  </si>
  <si>
    <t>560661e0-3cda-11ee-87a4-ab9a9b268a3f</t>
  </si>
  <si>
    <t>a33aec40-3ce1-11ee-87a4-ab9a9b268a3f</t>
  </si>
  <si>
    <t>66c04890-3cec-11ee-87a4-ab9a9b268a3f</t>
  </si>
  <si>
    <t>9bd40660-3cf2-11ee-87a4-ab9a9b268a3f</t>
  </si>
  <si>
    <t>3fbda650-3cfd-11ee-87a4-ab9a9b268a3f</t>
  </si>
  <si>
    <t>a98ea4e0-3d06-11ee-87a4-ab9a9b268a3f</t>
  </si>
  <si>
    <t>f70e1060-3d0c-11ee-87a4-ab9a9b268a3f</t>
  </si>
  <si>
    <t>2d4f2aa0-3d13-11ee-87a4-ab9a9b268a3f</t>
  </si>
  <si>
    <t>afdb9a00-3d1b-11ee-87a4-ab9a9b268a3f</t>
  </si>
  <si>
    <t>98a06e50-3d21-11ee-87a4-ab9a9b268a3f</t>
  </si>
  <si>
    <t>3ba7f300-3d29-11ee-87a4-ab9a9b268a3f</t>
  </si>
  <si>
    <t>f9ce3ed0-3d2d-11ee-87a4-ab9a9b268a3f</t>
  </si>
  <si>
    <t>589704f0-3d34-11ee-87a4-ab9a9b268a3f</t>
  </si>
  <si>
    <t>5df6c6d0-3d3c-11ee-87a4-ab9a9b268a3f</t>
  </si>
  <si>
    <t>fabcff10-3d42-11ee-87a4-ab9a9b268a3f</t>
  </si>
  <si>
    <t>e5e3df40-3d48-11ee-87a4-ab9a9b268a3f</t>
  </si>
  <si>
    <t>5ce19ac0-3d93-11ee-9961-8ba6b2278444</t>
  </si>
  <si>
    <t>33233f70-3d9a-11ee-9961-8ba6b2278444</t>
  </si>
  <si>
    <t>73d03d00-3da1-11ee-9961-8ba6b2278444</t>
  </si>
  <si>
    <t>e512b250-3da5-11ee-9961-8ba6b2278444</t>
  </si>
  <si>
    <t>538f8280-3dab-11ee-9961-8ba6b2278444</t>
  </si>
  <si>
    <t>24df6fc0-3db2-11ee-9961-8ba6b2278444</t>
  </si>
  <si>
    <t>0893a0b0-3dbd-11ee-9961-8ba6b2278444</t>
  </si>
  <si>
    <t>8dccd2d0-3dc0-11ee-9961-8ba6b2278444</t>
  </si>
  <si>
    <t>4cda7f20-3dca-11ee-9961-8ba6b2278444</t>
  </si>
  <si>
    <t>863a1aa0-3dd4-11ee-9961-8ba6b2278444</t>
  </si>
  <si>
    <t>5881fc70-3ddb-11ee-9961-8ba6b2278444</t>
  </si>
  <si>
    <t>447409f0-3de3-11ee-9961-8ba6b2278444</t>
  </si>
  <si>
    <t>3f8032d0-3de7-11ee-9961-8ba6b2278444</t>
  </si>
  <si>
    <t>d0f1a3d0-3deb-11ee-9961-8ba6b2278444</t>
  </si>
  <si>
    <t>6817a710-3df0-11ee-9961-8ba6b2278444</t>
  </si>
  <si>
    <t>21707300-3dfa-11ee-9961-8ba6b2278444</t>
  </si>
  <si>
    <t>14ede080-3e00-11ee-9961-8ba6b2278444</t>
  </si>
  <si>
    <t>20de63d0-3e08-11ee-9961-8ba6b2278444</t>
  </si>
  <si>
    <t>a13662d0-3e17-11ee-a223-cd0fd5ea3e76</t>
  </si>
  <si>
    <t>458311b0-3e1f-11ee-a223-cd0fd5ea3e76</t>
  </si>
  <si>
    <t>7739afe0-3e27-11ee-a223-cd0fd5ea3e76</t>
  </si>
  <si>
    <t>f59b2850-3e31-11ee-a223-cd0fd5ea3e76</t>
  </si>
  <si>
    <t>e47ef400-3e38-11ee-a223-cd0fd5ea3e76</t>
  </si>
  <si>
    <t>f98228b0-3e40-11ee-a223-cd0fd5ea3e76</t>
  </si>
  <si>
    <t>550658e0-3e4c-11ee-a223-cd0fd5ea3e76</t>
  </si>
  <si>
    <t>b8929a80-3e52-11ee-a223-cd0fd5ea3e76</t>
  </si>
  <si>
    <t>54bddd30-3e57-11ee-a223-cd0fd5ea3e76</t>
  </si>
  <si>
    <t>7a014140-3e5c-11ee-a223-cd0fd5ea3e76</t>
  </si>
  <si>
    <t>c7ce6220-3e63-11ee-a223-cd0fd5ea3e76</t>
  </si>
  <si>
    <t>6087c4b0-3e6a-11ee-a223-cd0fd5ea3e76</t>
  </si>
  <si>
    <t>dec7cf40-3e70-11ee-a223-cd0fd5ea3e76</t>
  </si>
  <si>
    <t>5f3e4c60-3e78-11ee-a223-cd0fd5ea3e76</t>
  </si>
  <si>
    <t>e30f5ba0-3e7e-11ee-a223-cd0fd5ea3e76</t>
  </si>
  <si>
    <t>40df8660-3e84-11ee-a223-cd0fd5ea3e76</t>
  </si>
  <si>
    <t>dfb9b510-3e8b-11ee-a223-cd0fd5ea3e76</t>
  </si>
  <si>
    <t>50fec5a0-3e94-11ee-a223-cd0fd5ea3e76</t>
  </si>
  <si>
    <t>e0a81210-3e9e-11ee-a223-cd0fd5ea3e76</t>
  </si>
  <si>
    <t>b2c72ba0-3ea4-11ee-a223-cd0fd5ea3e76</t>
  </si>
  <si>
    <t>1baff470-3eab-11ee-a223-cd0fd5ea3e76</t>
  </si>
  <si>
    <t>874dc6f0-3eb8-11ee-a223-cd0fd5ea3e76</t>
  </si>
  <si>
    <t>6176f0f0-3ebd-11ee-a223-cd0fd5ea3e76</t>
  </si>
  <si>
    <t>c5024830-3ec3-11ee-a223-cd0fd5ea3e76</t>
  </si>
  <si>
    <t>0cd912e0-3ecb-11ee-a223-cd0fd5ea3e76</t>
  </si>
  <si>
    <t>a952bc50-3ed2-11ee-a223-cd0fd5ea3e76</t>
  </si>
  <si>
    <t>d6033770-3f2c-11ee-94bc-1582ca38dee0</t>
  </si>
  <si>
    <t>8ce59710-3f34-11ee-94bc-1582ca38dee0</t>
  </si>
  <si>
    <t>9fb03650-3f3b-11ee-94bc-1582ca38dee0</t>
  </si>
  <si>
    <t>62ace200-3f43-11ee-94bc-1582ca38dee0</t>
  </si>
  <si>
    <t>6f7057a0-3f49-11ee-94bc-1582ca38dee0</t>
  </si>
  <si>
    <t>700b9e80-3f4f-11ee-94bc-1582ca38dee0</t>
  </si>
  <si>
    <t>0f83be10-3f5b-11ee-94bc-1582ca38dee0</t>
  </si>
  <si>
    <t>123659f0-3f66-11ee-94bc-1582ca38dee0</t>
  </si>
  <si>
    <t>fc2ce590-3f6d-11ee-94bc-1582ca38dee0</t>
  </si>
  <si>
    <t>e1f80510-3f77-11ee-94bc-1582ca38dee0</t>
  </si>
  <si>
    <t>e87719a0-3f7f-11ee-94bc-1582ca38dee0</t>
  </si>
  <si>
    <t>30fa14c0-3f85-11ee-94bc-1582ca38dee0</t>
  </si>
  <si>
    <t>48d337b0-3f8b-11ee-94bc-1582ca38dee0</t>
  </si>
  <si>
    <t>0791b9f0-3f92-11ee-94bc-1582ca38dee0</t>
  </si>
  <si>
    <t>a0c3a7e0-3f98-11ee-94bc-1582ca38dee0</t>
  </si>
  <si>
    <t>37e2f030-3fa4-11ee-94bc-1582ca38dee0</t>
  </si>
  <si>
    <t>f72eaa90-3fe7-11ee-9ced-f59396282287</t>
  </si>
  <si>
    <t>5759ca60-3fef-11ee-9ced-f59396282287</t>
  </si>
  <si>
    <t>de5c38e0-3ff4-11ee-9ced-f59396282287</t>
  </si>
  <si>
    <t>7f006410-3ffa-11ee-9ced-f59396282287</t>
  </si>
  <si>
    <t>e4a64170-4001-11ee-9ced-f59396282287</t>
  </si>
  <si>
    <t>9c5be4b0-400b-11ee-9ced-f59396282287</t>
  </si>
  <si>
    <t>859c3520-4012-11ee-9ced-f59396282287</t>
  </si>
  <si>
    <t>5c7f7b90-401a-11ee-9ced-f59396282287</t>
  </si>
  <si>
    <t>25151b30-4022-11ee-9ced-f59396282287</t>
  </si>
  <si>
    <t>6a3dc060-402a-11ee-9ced-f59396282287</t>
  </si>
  <si>
    <t>6bbdf390-4031-11ee-9ced-f59396282287</t>
  </si>
  <si>
    <t>11c23d80-4039-11ee-9ced-f59396282287</t>
  </si>
  <si>
    <t>2d1b9110-4040-11ee-9ced-f59396282287</t>
  </si>
  <si>
    <t>3f1572d0-4047-11ee-9ced-f59396282287</t>
  </si>
  <si>
    <t>cff02540-404f-11ee-9ced-f59396282287</t>
  </si>
  <si>
    <t>3b3b4810-4056-11ee-9ced-f59396282287</t>
  </si>
  <si>
    <t>c4572b40-405c-11ee-9ced-f59396282287</t>
  </si>
  <si>
    <t>f1f8c850-4062-11ee-9ced-f59396282287</t>
  </si>
  <si>
    <t>8f542260-406e-11ee-9ced-f59396282287</t>
  </si>
  <si>
    <t>1dcca1e0-4077-11ee-9ced-f59396282287</t>
  </si>
  <si>
    <t>acf78170-407f-11ee-9ced-f59396282287</t>
  </si>
  <si>
    <t>63de0a50-4088-11ee-9ced-f59396282287</t>
  </si>
  <si>
    <t>812b8cc0-408f-11ee-9ced-f59396282287</t>
  </si>
  <si>
    <t>a1018440-4095-11ee-9ced-f59396282287</t>
  </si>
  <si>
    <t>63e9a110-409e-11ee-9ced-f59396282287</t>
  </si>
  <si>
    <t>1b3522c0-40a6-11ee-9ced-f59396282287</t>
  </si>
  <si>
    <t>62bf85b0-40ae-11ee-9ced-f59396282287</t>
  </si>
  <si>
    <t>eaf4f920-40b7-11ee-9ced-f59396282287</t>
  </si>
  <si>
    <t>539789d0-40c1-11ee-9ced-f59396282287</t>
  </si>
  <si>
    <t>20f0a4f0-40c9-11ee-9ced-f59396282287</t>
  </si>
  <si>
    <t>497d1550-40d5-11ee-9ced-f59396282287</t>
  </si>
  <si>
    <t>33bf5a80-40de-11ee-9ced-f59396282287</t>
  </si>
  <si>
    <t>34fa98a0-40e9-11ee-9ced-f59396282287</t>
  </si>
  <si>
    <t>cb2ca980-40ee-11ee-9ced-f59396282287</t>
  </si>
  <si>
    <t>43990110-40f5-11ee-9ced-f59396282287</t>
  </si>
  <si>
    <t>beb447d0-4102-11ee-9ced-f59396282287</t>
  </si>
  <si>
    <t>71d2d390-4108-11ee-9ced-f59396282287</t>
  </si>
  <si>
    <t>32a7e450-4110-11ee-9ced-f59396282287</t>
  </si>
  <si>
    <t>d47fe9b0-4117-11ee-9ced-f59396282287</t>
  </si>
  <si>
    <t>16640e10-4127-11ee-9ced-f59396282287</t>
  </si>
  <si>
    <t>f12cde00-412c-11ee-9ced-f59396282287</t>
  </si>
  <si>
    <t>54684080-4133-11ee-9ced-f59396282287</t>
  </si>
  <si>
    <t>88518970-4178-11ee-8c42-3f990c7c1190</t>
  </si>
  <si>
    <t>d17948b0-4180-11ee-8c42-3f990c7c1190</t>
  </si>
  <si>
    <t>2b7c1060-4189-11ee-8c42-3f990c7c1190</t>
  </si>
  <si>
    <t>587f7c30-4190-11ee-8c42-3f990c7c1190</t>
  </si>
  <si>
    <t>c7ac6280-4195-11ee-8c42-3f990c7c1190</t>
  </si>
  <si>
    <t>0676bd60-419d-11ee-8c42-3f990c7c1190</t>
  </si>
  <si>
    <t>660d33c0-41a3-11ee-8c42-3f990c7c1190</t>
  </si>
  <si>
    <t>891f6a80-41a9-11ee-8c42-3f990c7c1190</t>
  </si>
  <si>
    <t>8a5591d0-41af-11ee-8c42-3f990c7c1190</t>
  </si>
  <si>
    <t>4581dab0-41b8-11ee-8c42-3f990c7c1190</t>
  </si>
  <si>
    <t>28e9a0b0-41c0-11ee-8c42-3f990c7c1190</t>
  </si>
  <si>
    <t>618b6740-41c6-11ee-8c42-3f990c7c1190</t>
  </si>
  <si>
    <t>07da0800-41cb-11ee-8c42-3f990c7c1190</t>
  </si>
  <si>
    <t>301b8220-41d6-11ee-8c42-3f990c7c1190</t>
  </si>
  <si>
    <t>af12cec0-41dc-11ee-8c42-3f990c7c1190</t>
  </si>
  <si>
    <t>8fffbba0-41e2-11ee-8c42-3f990c7c1190</t>
  </si>
  <si>
    <t>dd008140-41e8-11ee-8c42-3f990c7c1190</t>
  </si>
  <si>
    <t>1b97a1b0-41f1-11ee-8c42-3f990c7c1190</t>
  </si>
  <si>
    <t>7872fa40-41f8-11ee-8c42-3f990c7c1190</t>
  </si>
  <si>
    <t>e8aa87e0-41ff-11ee-8c42-3f990c7c1190</t>
  </si>
  <si>
    <t>c916c120-4207-11ee-8c42-3f990c7c1190</t>
  </si>
  <si>
    <t>e29eec40-4210-11ee-8c42-3f990c7c1190</t>
  </si>
  <si>
    <t>0a06c180-4217-11ee-8c42-3f990c7c1190</t>
  </si>
  <si>
    <t>241e77e0-421f-11ee-8c42-3f990c7c1190</t>
  </si>
  <si>
    <t>77bc4910-4227-11ee-8c42-3f990c7c1190</t>
  </si>
  <si>
    <t>1c3f8dc0-422e-11ee-8c42-3f990c7c1190</t>
  </si>
  <si>
    <t>a391d480-4234-11ee-8c42-3f990c7c1190</t>
  </si>
  <si>
    <t>6bbaba80-423a-11ee-8c42-3f990c7c1190</t>
  </si>
  <si>
    <t>6e8a6d90-4240-11ee-8c42-3f990c7c1190</t>
  </si>
  <si>
    <t>83b6ca90-4247-11ee-8c42-3f990c7c1190</t>
  </si>
  <si>
    <t>40fb8bd0-4253-11ee-8c42-3f990c7c1190</t>
  </si>
  <si>
    <t>4ad45d40-425c-11ee-8c42-3f990c7c1190</t>
  </si>
  <si>
    <t>a65751c0-4263-11ee-8c42-3f990c7c1190</t>
  </si>
  <si>
    <t>60eb3d20-426a-11ee-8c42-3f990c7c1190</t>
  </si>
  <si>
    <t>d0b0cf10-4271-11ee-8c42-3f990c7c1190</t>
  </si>
  <si>
    <t>d9a402d0-4277-11ee-8c42-3f990c7c1190</t>
  </si>
  <si>
    <t>8d69fcb0-427e-11ee-8c42-3f990c7c1190</t>
  </si>
  <si>
    <t>b6cbf440-4284-11ee-8c42-3f990c7c1190</t>
  </si>
  <si>
    <t>c9969380-428b-11ee-8c42-3f990c7c1190</t>
  </si>
  <si>
    <t>b92b5520-4291-11ee-8c42-3f990c7c1190</t>
  </si>
  <si>
    <t>395dfd60-4297-11ee-8c42-3f990c7c1190</t>
  </si>
  <si>
    <t>c28d9a30-429e-11ee-8c42-3f990c7c1190</t>
  </si>
  <si>
    <t>54d01a00-42a7-11ee-8c42-3f990c7c1190</t>
  </si>
  <si>
    <t>26a319f0-42ae-11ee-8c42-3f990c7c1190</t>
  </si>
  <si>
    <t>2dcf4c80-42b8-11ee-8c42-3f990c7c1190</t>
  </si>
  <si>
    <t>fb282b70-42bd-11ee-8c42-3f990c7c1190</t>
  </si>
  <si>
    <t>245c2340-42c6-11ee-8c42-3f990c7c1190</t>
  </si>
  <si>
    <t>70008d30-42cc-11ee-8c42-3f990c7c1190</t>
  </si>
  <si>
    <t>3b4f6b50-42d2-11ee-8c42-3f990c7c1190</t>
  </si>
  <si>
    <t>3becea30-42da-11ee-8c42-3f990c7c1190</t>
  </si>
  <si>
    <t>be2f8d10-42e7-11ee-8c42-3f990c7c1190</t>
  </si>
  <si>
    <t>28e53bc0-42f0-11ee-8c42-3f990c7c1190</t>
  </si>
  <si>
    <t>af4fb000-42f5-11ee-8c42-3f990c7c1190</t>
  </si>
  <si>
    <t>37d01680-42fc-11ee-8c42-3f990c7c1190</t>
  </si>
  <si>
    <t>86351c80-4301-11ee-8c42-3f990c7c1190</t>
  </si>
  <si>
    <t>4fae81e0-4308-11ee-8c42-3f990c7c1190</t>
  </si>
  <si>
    <t>146492d0-430f-11ee-8c42-3f990c7c1190</t>
  </si>
  <si>
    <t>cd4db460-4315-11ee-8c42-3f990c7c1190</t>
  </si>
  <si>
    <t>28ad7b60-431b-11ee-8c42-3f990c7c1190</t>
  </si>
  <si>
    <t>bab93090-431f-11ee-8c42-3f990c7c1190</t>
  </si>
  <si>
    <t>44b719e0-4327-11ee-8c42-3f990c7c1190</t>
  </si>
  <si>
    <t>f6f25510-432d-11ee-8c42-3f990c7c1190</t>
  </si>
  <si>
    <t>27d4c540-4334-11ee-8c42-3f990c7c1190</t>
  </si>
  <si>
    <t>b188b7d0-433c-11ee-8c42-3f990c7c1190</t>
  </si>
  <si>
    <t>cd907e60-4344-11ee-8c42-3f990c7c1190</t>
  </si>
  <si>
    <t>6f19f5f0-4349-11ee-8c42-3f990c7c1190</t>
  </si>
  <si>
    <t>241cc020-4351-11ee-8c42-3f990c7c1190</t>
  </si>
  <si>
    <t>ce7f0270-4357-11ee-8c42-3f990c7c1190</t>
  </si>
  <si>
    <t>76e1fce0-435f-11ee-8c42-3f990c7c1190</t>
  </si>
  <si>
    <t>11487330-4366-11ee-8c42-3f990c7c1190</t>
  </si>
  <si>
    <t>6e91e1c0-436b-11ee-8c42-3f990c7c1190</t>
  </si>
  <si>
    <t>44886920-4371-11ee-8c42-3f990c7c1190</t>
  </si>
  <si>
    <t>8faa2b00-4376-11ee-8c42-3f990c7c1190</t>
  </si>
  <si>
    <t>dd2b6b40-437c-11ee-8c42-3f990c7c1190</t>
  </si>
  <si>
    <t>474a4640-4387-11ee-8c42-3f990c7c1190</t>
  </si>
  <si>
    <t>89299430-438c-11ee-8c42-3f990c7c1190</t>
  </si>
  <si>
    <t>c776a8c0-4393-11ee-8c42-3f990c7c1190</t>
  </si>
  <si>
    <t>7e757160-4398-11ee-8c42-3f990c7c1190</t>
  </si>
  <si>
    <t>563c2f70-439f-11ee-8c42-3f990c7c1190</t>
  </si>
  <si>
    <t>78fd1c70-43a6-11ee-8c42-3f990c7c1190</t>
  </si>
  <si>
    <t>dc7f0fc0-43aa-11ee-8c42-3f990c7c1190</t>
  </si>
  <si>
    <t>4a7b4170-43b4-11ee-8c42-3f990c7c1190</t>
  </si>
  <si>
    <t>df350a30-43b9-11ee-8c42-3f990c7c1190</t>
  </si>
  <si>
    <t>0e024b70-43bf-11ee-8c42-3f990c7c1190</t>
  </si>
  <si>
    <t>291f0b30-43c6-11ee-8c42-3f990c7c1190</t>
  </si>
  <si>
    <t>8caf2f50-43ca-11ee-8c42-3f990c7c1190</t>
  </si>
  <si>
    <t>64c46610-43d2-11ee-8c42-3f990c7c1190</t>
  </si>
  <si>
    <t>13201290-43d8-11ee-8c42-3f990c7c1190</t>
  </si>
  <si>
    <t>4105e490-43de-11ee-8c42-3f990c7c1190</t>
  </si>
  <si>
    <t>ffc56320-43e2-11ee-8c42-3f990c7c1190</t>
  </si>
  <si>
    <t>ffc94c00-43e8-11ee-8c42-3f990c7c1190</t>
  </si>
  <si>
    <t>70742a50-43ef-11ee-8c42-3f990c7c1190</t>
  </si>
  <si>
    <t>643eed20-43f8-11ee-8c42-3f990c7c1190</t>
  </si>
  <si>
    <t>c9e0bdc0-43fd-11ee-8c42-3f990c7c1190</t>
  </si>
  <si>
    <t>2f839fd0-4403-11ee-8c42-3f990c7c1190</t>
  </si>
  <si>
    <t>5ba1f840-4409-11ee-8c42-3f990c7c1190</t>
  </si>
  <si>
    <t>99f0a890-4412-11ee-8c42-3f990c7c1190</t>
  </si>
  <si>
    <t>f7d44960-4419-11ee-8c42-3f990c7c1190</t>
  </si>
  <si>
    <t>e8f1e300-4421-11ee-8c42-3f990c7c1190</t>
  </si>
  <si>
    <t>8569c240-442a-11ee-8c42-3f990c7c1190</t>
  </si>
  <si>
    <t>66236a20-4430-11ee-8c42-3f990c7c1190</t>
  </si>
  <si>
    <t>d551ec30-4437-11ee-8c42-3f990c7c1190</t>
  </si>
  <si>
    <t>f2d572c0-443e-11ee-8c42-3f990c7c1190</t>
  </si>
  <si>
    <t>9d9bea90-4444-11ee-8c42-3f990c7c1190</t>
  </si>
  <si>
    <t>92e70140-444c-11ee-8c42-3f990c7c1190</t>
  </si>
  <si>
    <t>e27b1160-4451-11ee-8c42-3f990c7c1190</t>
  </si>
  <si>
    <t>0c1d5e90-445e-11ee-8c42-3f990c7c1190</t>
  </si>
  <si>
    <t>84a49120-4464-11ee-8c42-3f990c7c1190</t>
  </si>
  <si>
    <t>abfdc060-446a-11ee-8c42-3f990c7c1190</t>
  </si>
  <si>
    <t>0bc2c0d0-4471-11ee-8c42-3f990c7c1190</t>
  </si>
  <si>
    <t>feeffd60-4474-11ee-8c42-3f990c7c1190</t>
  </si>
  <si>
    <t>5dbadbd0-447a-11ee-8c42-3f990c7c1190</t>
  </si>
  <si>
    <t>9959cae0-4482-11ee-8c42-3f990c7c1190</t>
  </si>
  <si>
    <t>de825e20-448c-11ee-8c42-3f990c7c1190</t>
  </si>
  <si>
    <t>d3805bb0-4493-11ee-8c42-3f990c7c1190</t>
  </si>
  <si>
    <t>f0b96460-449d-11ee-8c42-3f990c7c1190</t>
  </si>
  <si>
    <t>4e4fd6f0-44a2-11ee-8c42-3f990c7c1190</t>
  </si>
  <si>
    <t>cb8bc280-44a9-11ee-8c42-3f990c7c1190</t>
  </si>
  <si>
    <t>5f53b130-44af-11ee-8c42-3f990c7c1190</t>
  </si>
  <si>
    <t>253841f0-44b4-11ee-8c42-3f990c7c1190</t>
  </si>
  <si>
    <t>77caef40-44bd-11ee-8c42-3f990c7c1190</t>
  </si>
  <si>
    <t>5fa8f090-44c4-11ee-8c42-3f990c7c1190</t>
  </si>
  <si>
    <t>b9ad02b0-44ca-11ee-8c42-3f990c7c1190</t>
  </si>
  <si>
    <t>de408cd0-44d1-11ee-8c42-3f990c7c1190</t>
  </si>
  <si>
    <t>1664ad00-44da-11ee-8c42-3f990c7c1190</t>
  </si>
  <si>
    <t>5d0bd480-44e5-11ee-8c42-3f990c7c1190</t>
  </si>
  <si>
    <t>d52e14a0-44f4-11ee-8c42-3f990c7c1190</t>
  </si>
  <si>
    <t>745447d0-44f9-11ee-8c42-3f990c7c1190</t>
  </si>
  <si>
    <t>fbf2cf40-44fe-11ee-8c42-3f990c7c1190</t>
  </si>
  <si>
    <t>973a3a40-4506-11ee-8c42-3f990c7c1190</t>
  </si>
  <si>
    <t>73c4acd0-450b-11ee-8c42-3f990c7c1190</t>
  </si>
  <si>
    <t>93fa1780-4513-11ee-8c42-3f990c7c1190</t>
  </si>
  <si>
    <t>ee024eb0-4521-11ee-8c42-3f990c7c1190</t>
  </si>
  <si>
    <t>bfd0f3c0-4526-11ee-8c42-3f990c7c1190</t>
  </si>
  <si>
    <t>88b54840-4531-11ee-8c42-3f990c7c1190</t>
  </si>
  <si>
    <t>3d191de0-453a-11ee-8c42-3f990c7c1190</t>
  </si>
  <si>
    <t>e7932df0-4540-11ee-8c42-3f990c7c1190</t>
  </si>
  <si>
    <t>cfbea870-4546-11ee-8c42-3f990c7c1190</t>
  </si>
  <si>
    <t>693becb0-454c-11ee-8c42-3f990c7c1190</t>
  </si>
  <si>
    <t>06033660-4553-11ee-8c42-3f990c7c1190</t>
  </si>
  <si>
    <t>7c56caa0-455a-11ee-8c42-3f990c7c1190</t>
  </si>
  <si>
    <t>e161c790-4561-11ee-8c42-3f990c7c1190</t>
  </si>
  <si>
    <t>63ecc240-4568-11ee-8c42-3f990c7c1190</t>
  </si>
  <si>
    <t>8b481460-456e-11ee-8c42-3f990c7c1190</t>
  </si>
  <si>
    <t>918c5f50-4575-11ee-8c42-3f990c7c1190</t>
  </si>
  <si>
    <t>44607f20-457c-11ee-8c42-3f990c7c1190</t>
  </si>
  <si>
    <t>504e5540-4582-11ee-8c42-3f990c7c1190</t>
  </si>
  <si>
    <t>c78205c0-4588-11ee-8c42-3f990c7c1190</t>
  </si>
  <si>
    <t>efb8d5b0-458c-11ee-8c42-3f990c7c1190</t>
  </si>
  <si>
    <t>df199990-4593-11ee-8c42-3f990c7c1190</t>
  </si>
  <si>
    <t>ea223540-4598-11ee-8c42-3f990c7c1190</t>
  </si>
  <si>
    <t>789a1880-45a1-11ee-8c42-3f990c7c1190</t>
  </si>
  <si>
    <t>eb0cf780-45a5-11ee-8c42-3f990c7c1190</t>
  </si>
  <si>
    <t>e0a2da30-45aa-11ee-8c42-3f990c7c1190</t>
  </si>
  <si>
    <t>ddf77a30-45b3-11ee-8c42-3f990c7c1190</t>
  </si>
  <si>
    <t>44379ef0-45bf-11ee-8c42-3f990c7c1190</t>
  </si>
  <si>
    <t>f7f50c50-45d0-11ee-8c42-3f990c7c1190</t>
  </si>
  <si>
    <t>6b9a9030-45db-11ee-8c42-3f990c7c1190</t>
  </si>
  <si>
    <t>be325fe0-45df-11ee-8c42-3f990c7c1190</t>
  </si>
  <si>
    <t>fda95900-45e7-11ee-8c42-3f990c7c1190</t>
  </si>
  <si>
    <t>7b6edc60-45ee-11ee-8c42-3f990c7c1190</t>
  </si>
  <si>
    <t>49ad9200-45f5-11ee-8c42-3f990c7c1190</t>
  </si>
  <si>
    <t>2cc9ec90-45fc-11ee-8c42-3f990c7c1190</t>
  </si>
  <si>
    <t>4cc79050-4602-11ee-8c42-3f990c7c1190</t>
  </si>
  <si>
    <t>ef5d5ce0-4608-11ee-8c42-3f990c7c1190</t>
  </si>
  <si>
    <t>8acaff70-460e-11ee-8c42-3f990c7c1190</t>
  </si>
  <si>
    <t>57410300-4615-11ee-8c42-3f990c7c1190</t>
  </si>
  <si>
    <t>ba355f80-461d-11ee-8c42-3f990c7c1190</t>
  </si>
  <si>
    <t>13edb810-4623-11ee-8c42-3f990c7c1190</t>
  </si>
  <si>
    <t>155cc9b0-4629-11ee-8c42-3f990c7c1190</t>
  </si>
  <si>
    <t>14402000-4632-11ee-8c42-3f990c7c1190</t>
  </si>
  <si>
    <t>3e95ed70-4638-11ee-8c42-3f990c7c1190</t>
  </si>
  <si>
    <t>ce980fa0-463f-11ee-8c42-3f990c7c1190</t>
  </si>
  <si>
    <t>ba95e450-4644-11ee-8c42-3f990c7c1190</t>
  </si>
  <si>
    <t>c5ee0d50-464e-11ee-8c42-3f990c7c1190</t>
  </si>
  <si>
    <t>e167e460-4659-11ee-8c42-3f990c7c1190</t>
  </si>
  <si>
    <t>225a2850-4661-11ee-8c42-3f990c7c1190</t>
  </si>
  <si>
    <t>83d19e40-4668-11ee-8c42-3f990c7c1190</t>
  </si>
  <si>
    <t>373d6a30-466f-11ee-8c42-3f990c7c1190</t>
  </si>
  <si>
    <t>08e6d400-4674-11ee-8c42-3f990c7c1190</t>
  </si>
  <si>
    <t>f9dec7c0-467c-11ee-8c42-3f990c7c1190</t>
  </si>
  <si>
    <t>72963ca0-4684-11ee-8c42-3f990c7c1190</t>
  </si>
  <si>
    <t>619cab80-468b-11ee-8c42-3f990c7c1190</t>
  </si>
  <si>
    <t>ea1ee6c0-4691-11ee-8c42-3f990c7c1190</t>
  </si>
  <si>
    <t>e82aa1c0-469a-11ee-8c42-3f990c7c1190</t>
  </si>
  <si>
    <t>27d7ff10-46a1-11ee-8c42-3f990c7c1190</t>
  </si>
  <si>
    <t>acc42d30-46a5-11ee-8c42-3f990c7c1190</t>
  </si>
  <si>
    <t>0deeff30-46ac-11ee-8c42-3f990c7c1190</t>
  </si>
  <si>
    <t>61b0b370-46b1-11ee-8c42-3f990c7c1190</t>
  </si>
  <si>
    <t>3cbf3ef0-46b7-11ee-8c42-3f990c7c1190</t>
  </si>
  <si>
    <t>c4a63680-46bb-11ee-8c42-3f990c7c1190</t>
  </si>
  <si>
    <t>d9440490-46c1-11ee-8c42-3f990c7c1190</t>
  </si>
  <si>
    <t>57a80320-46ce-11ee-8c42-3f990c7c1190</t>
  </si>
  <si>
    <t>30b63fe0-46d6-11ee-8c42-3f990c7c1190</t>
  </si>
  <si>
    <t>df490520-46df-11ee-8c42-3f990c7c1190</t>
  </si>
  <si>
    <t>e9bd4150-46ea-11ee-8c42-3f990c7c1190</t>
  </si>
  <si>
    <t>f4c6a050-46ef-11ee-8c42-3f990c7c1190</t>
  </si>
  <si>
    <t>3ad247f0-46f7-11ee-8c42-3f990c7c1190</t>
  </si>
  <si>
    <t>23971c40-46fd-11ee-8c42-3f990c7c1190</t>
  </si>
  <si>
    <t>783f5890-4705-11ee-8c42-3f990c7c1190</t>
  </si>
  <si>
    <t>39f86810-470a-11ee-8c42-3f990c7c1190</t>
  </si>
  <si>
    <t>ad9d7390-4710-11ee-8c42-3f990c7c1190</t>
  </si>
  <si>
    <t>9235dc40-4716-11ee-8c42-3f990c7c1190</t>
  </si>
  <si>
    <t>adef3c10-471b-11ee-8c42-3f990c7c1190</t>
  </si>
  <si>
    <t>1857d1a0-4723-11ee-8c42-3f990c7c1190</t>
  </si>
  <si>
    <t>9fa70b20-4729-11ee-8c42-3f990c7c1190</t>
  </si>
  <si>
    <t>73089d80-4734-11ee-8c42-3f990c7c1190</t>
  </si>
  <si>
    <t>a1793fd0-4739-11ee-8c42-3f990c7c1190</t>
  </si>
  <si>
    <t>f6148b30-473e-11ee-8c42-3f990c7c1190</t>
  </si>
  <si>
    <t>fd482a10-4743-11ee-8c42-3f990c7c1190</t>
  </si>
  <si>
    <t>a2b36850-474b-11ee-8c42-3f990c7c1190</t>
  </si>
  <si>
    <t>836c3060-4752-11ee-8c42-3f990c7c1190</t>
  </si>
  <si>
    <t>c9c5c990-475c-11ee-8c42-3f990c7c1190</t>
  </si>
  <si>
    <t>e06f4620-4762-11ee-8c42-3f990c7c1190</t>
  </si>
  <si>
    <t>3ba572d0-476d-11ee-8c42-3f990c7c1190</t>
  </si>
  <si>
    <t>ee55ac60-4772-11ee-8c42-3f990c7c1190</t>
  </si>
  <si>
    <t>0643e880-477a-11ee-8c42-3f990c7c1190</t>
  </si>
  <si>
    <t>d14ae830-477f-11ee-8c42-3f990c7c1190</t>
  </si>
  <si>
    <t>0b3294e0-4789-11ee-8c42-3f990c7c1190</t>
  </si>
  <si>
    <t>d81fced0-4790-11ee-8c42-3f990c7c1190</t>
  </si>
  <si>
    <t>476d8e20-4797-11ee-8c42-3f990c7c1190</t>
  </si>
  <si>
    <t>6a035700-479f-11ee-8c42-3f990c7c1190</t>
  </si>
  <si>
    <t>970674b0-47a6-11ee-8c42-3f990c7c1190</t>
  </si>
  <si>
    <t>3891e810-47ab-11ee-8c42-3f990c7c1190</t>
  </si>
  <si>
    <t>806852b0-47b4-11ee-8c42-3f990c7c1190</t>
  </si>
  <si>
    <t>8a8d16b0-47bc-11ee-8c42-3f990c7c1190</t>
  </si>
  <si>
    <t>19e8f8b0-47c2-11ee-8c42-3f990c7c1190</t>
  </si>
  <si>
    <t>45241280-47c7-11ee-8c42-3f990c7c1190</t>
  </si>
  <si>
    <t>c7f8dce0-47cc-11ee-8c42-3f990c7c1190</t>
  </si>
  <si>
    <t>d056edd0-47d8-11ee-8c42-3f990c7c1190</t>
  </si>
  <si>
    <t>12912d00-47de-11ee-8c42-3f990c7c1190</t>
  </si>
  <si>
    <t>e45865c0-47e7-11ee-8c42-3f990c7c1190</t>
  </si>
  <si>
    <t>904d5600-47ee-11ee-8c42-3f990c7c1190</t>
  </si>
  <si>
    <t>23d71fb0-47f3-11ee-8c42-3f990c7c1190</t>
  </si>
  <si>
    <t>abc26030-47fb-11ee-8c42-3f990c7c1190</t>
  </si>
  <si>
    <t>72d8a840-4802-11ee-8c42-3f990c7c1190</t>
  </si>
  <si>
    <t>fac0c660-4808-11ee-8c42-3f990c7c1190</t>
  </si>
  <si>
    <t>06654200-4810-11ee-8c42-3f990c7c1190</t>
  </si>
  <si>
    <t>f41bcdc0-4815-11ee-8c42-3f990c7c1190</t>
  </si>
  <si>
    <t>c86ea550-481d-11ee-8c42-3f990c7c1190</t>
  </si>
  <si>
    <t>079d95c0-4822-11ee-8c42-3f990c7c1190</t>
  </si>
  <si>
    <t>a2027380-482a-11ee-8c42-3f990c7c1190</t>
  </si>
  <si>
    <t>bea4ba70-4834-11ee-8c42-3f990c7c1190</t>
  </si>
  <si>
    <t>91a7fd00-483b-11ee-8c42-3f990c7c1190</t>
  </si>
  <si>
    <t>3bf7df00-3a7c-11ee-b719-3513ceefcc52</t>
  </si>
  <si>
    <t>44a98070-3a83-11ee-b719-3513ceefcc52</t>
  </si>
  <si>
    <t>c488bb10-3a94-11ee-b719-3513ceefcc52</t>
  </si>
  <si>
    <t>d7f6c970-3a9f-11ee-b719-3513ceefcc52</t>
  </si>
  <si>
    <t>3840ad20-3aad-11ee-b719-3513ceefcc52</t>
  </si>
  <si>
    <t>65a3dfa0-3ac9-11ee-b719-3513ceefcc52</t>
  </si>
  <si>
    <t>52a53b70-3aeb-11ee-b719-3513ceefcc52</t>
  </si>
  <si>
    <t>cc89e5b0-3af2-11ee-b719-3513ceefcc52</t>
  </si>
  <si>
    <t>f4861210-3b00-11ee-b719-3513ceefcc52</t>
  </si>
  <si>
    <t>30870e90-3b1a-11ee-b719-3513ceefcc52</t>
  </si>
  <si>
    <t>fae957e0-3b21-11ee-b719-3513ceefcc52</t>
  </si>
  <si>
    <t>74d76940-3b2f-11ee-b719-3513ceefcc52</t>
  </si>
  <si>
    <t>9dad9430-3b38-11ee-b719-3513ceefcc52</t>
  </si>
  <si>
    <t>034e6bb0-3b44-11ee-b719-3513ceefcc52</t>
  </si>
  <si>
    <t>c3887120-3b9c-11ee-8ced-9dce09e38f55</t>
  </si>
  <si>
    <t>b8c4ef90-3ba9-11ee-8ced-9dce09e38f55</t>
  </si>
  <si>
    <t>ccc7b850-3bbe-11ee-8ced-9dce09e38f55</t>
  </si>
  <si>
    <t>98f11e50-3bcc-11ee-8ced-9dce09e38f55</t>
  </si>
  <si>
    <t>4244da00-3bd7-11ee-8ced-9dce09e38f55</t>
  </si>
  <si>
    <t>9b293200-3be2-11ee-8ced-9dce09e38f55</t>
  </si>
  <si>
    <t>6b7332e0-3be7-11ee-8ced-9dce09e38f55</t>
  </si>
  <si>
    <t>7d58d710-3bf3-11ee-8ced-9dce09e38f55</t>
  </si>
  <si>
    <t>3e2dd910-3c01-11ee-8ced-9dce09e38f55</t>
  </si>
  <si>
    <t>38052640-3c17-11ee-8ced-9dce09e38f55</t>
  </si>
  <si>
    <t>f50a3280-3c3a-11ee-8ced-9dce09e38f55</t>
  </si>
  <si>
    <t>ba575350-3c41-11ee-8ced-9dce09e38f55</t>
  </si>
  <si>
    <t>d65a5bc0-3c45-11ee-8ced-9dce09e38f55</t>
  </si>
  <si>
    <t>b931da90-3c4b-11ee-8ced-9dce09e38f55</t>
  </si>
  <si>
    <t>5e0816b0-3c51-11ee-8ced-9dce09e38f55</t>
  </si>
  <si>
    <t>5dfb0510-3c56-11ee-8ced-9dce09e38f55</t>
  </si>
  <si>
    <t>feb22690-3c5c-11ee-8ced-9dce09e38f55</t>
  </si>
  <si>
    <t>4db3a8c0-3c64-11ee-8ced-9dce09e38f55</t>
  </si>
  <si>
    <t>827643e0-3c6b-11ee-8ced-9dce09e38f55</t>
  </si>
  <si>
    <t>291200f0-3c75-11ee-8ced-9dce09e38f55</t>
  </si>
  <si>
    <t>25cfa300-3c7c-11ee-8ced-9dce09e38f55</t>
  </si>
  <si>
    <t>519f9b10-3c87-11ee-8ced-9dce09e38f55</t>
  </si>
  <si>
    <t>19f25ac0-3c8e-11ee-8ced-9dce09e38f55</t>
  </si>
  <si>
    <t>2258f400-3c96-11ee-8ced-9dce09e38f55</t>
  </si>
  <si>
    <t>27bd85f0-3ca0-11ee-8ced-9dce09e38f55</t>
  </si>
  <si>
    <t>6827c010-3ca5-11ee-8ced-9dce09e38f55</t>
  </si>
  <si>
    <t>280bba10-3cad-11ee-8ced-9dce09e38f55</t>
  </si>
  <si>
    <t>f62e0380-3cb2-11ee-8ced-9dce09e38f55</t>
  </si>
  <si>
    <t>be4e6bc0-3cbd-11ee-8ced-9dce09e38f55</t>
  </si>
  <si>
    <t>26985c80-3cc4-11ee-8ced-9dce09e38f55</t>
  </si>
  <si>
    <t>0b8c9ca0-3cd1-11ee-8ced-9dce09e38f55</t>
  </si>
  <si>
    <t>f5ce1e80-3cd9-11ee-8ced-9dce09e38f55</t>
  </si>
  <si>
    <t>baebe000-3ce2-11ee-8ced-9dce09e38f55</t>
  </si>
  <si>
    <t>1d39cab0-3ce8-11ee-8ced-9dce09e38f55</t>
  </si>
  <si>
    <t>689a5860-3cef-11ee-8ced-9dce09e38f55</t>
  </si>
  <si>
    <t>d7910190-3cf6-11ee-8ced-9dce09e38f55</t>
  </si>
  <si>
    <t>11ed53f0-3cfe-11ee-8ced-9dce09e38f55</t>
  </si>
  <si>
    <t>3ba8ef20-3d02-11ee-8ced-9dce09e38f55</t>
  </si>
  <si>
    <t>1378d4f0-3d09-11ee-8ced-9dce09e38f55</t>
  </si>
  <si>
    <t>6c8e39f0-3d12-11ee-8ced-9dce09e38f55</t>
  </si>
  <si>
    <t>a409be10-3d1a-11ee-8ced-9dce09e38f55</t>
  </si>
  <si>
    <t>2561de10-3d21-11ee-8ced-9dce09e38f55</t>
  </si>
  <si>
    <t>12028270-3d26-11ee-8ced-9dce09e38f55</t>
  </si>
  <si>
    <t>03c1ec40-3d2c-11ee-8ced-9dce09e38f55</t>
  </si>
  <si>
    <t>55210d80-3d33-11ee-8ced-9dce09e38f55</t>
  </si>
  <si>
    <t>602f9ca0-3d38-11ee-8ced-9dce09e38f55</t>
  </si>
  <si>
    <t>75543170-3d3f-11ee-8ced-9dce09e38f55</t>
  </si>
  <si>
    <t>1c8dc710-3d47-11ee-8ced-9dce09e38f55</t>
  </si>
  <si>
    <t>6d54a320-3d52-11ee-8ced-9dce09e38f55</t>
  </si>
  <si>
    <t>76019ec0-3d5b-11ee-8ced-9dce09e38f55</t>
  </si>
  <si>
    <t>a73f1fe0-3d64-11ee-8ced-9dce09e38f55</t>
  </si>
  <si>
    <t>a3116d00-3d6a-11ee-8ced-9dce09e38f55</t>
  </si>
  <si>
    <t>d3142100-3d6f-11ee-8ced-9dce09e38f55</t>
  </si>
  <si>
    <t>10777c60-3d78-11ee-8ced-9dce09e38f55</t>
  </si>
  <si>
    <t>f7b53b80-3d7d-11ee-8ced-9dce09e38f55</t>
  </si>
  <si>
    <t>10c7e550-3d83-11ee-8ced-9dce09e38f55</t>
  </si>
  <si>
    <t>4f170040-3d8b-11ee-8ced-9dce09e38f55</t>
  </si>
  <si>
    <t>543cff60-3d91-11ee-8ced-9dce09e38f55</t>
  </si>
  <si>
    <t>c152a900-3d97-11ee-8ced-9dce09e38f55</t>
  </si>
  <si>
    <t>eefc86a0-3da1-11ee-8ced-9dce09e38f55</t>
  </si>
  <si>
    <t>dd0ef890-3da8-11ee-8ced-9dce09e38f55</t>
  </si>
  <si>
    <t>b99c1850-3daf-11ee-8ced-9dce09e38f55</t>
  </si>
  <si>
    <t>10e9e340-3de6-11ee-a21f-01ec6f1812cc</t>
  </si>
  <si>
    <t>93bdbbe0-3dee-11ee-a21f-01ec6f1812cc</t>
  </si>
  <si>
    <t>7344bab0-3df5-11ee-a21f-01ec6f1812cc</t>
  </si>
  <si>
    <t>eab8e4b0-3dfd-11ee-a21f-01ec6f1812cc</t>
  </si>
  <si>
    <t>26670b70-3e05-11ee-a21f-01ec6f1812cc</t>
  </si>
  <si>
    <t>462f3890-3e11-11ee-a21f-01ec6f1812cc</t>
  </si>
  <si>
    <t>aac85650-3e17-11ee-a21f-01ec6f1812cc</t>
  </si>
  <si>
    <t>322108e0-3e22-11ee-a21f-01ec6f1812cc</t>
  </si>
  <si>
    <t>49ff7110-3e2a-11ee-a21f-01ec6f1812cc</t>
  </si>
  <si>
    <t>dc55f570-3e2f-11ee-a21f-01ec6f1812cc</t>
  </si>
  <si>
    <t>9e8b0e90-3e3b-11ee-a21f-01ec6f1812cc</t>
  </si>
  <si>
    <t>b63b61e0-3e43-11ee-a21f-01ec6f1812cc</t>
  </si>
  <si>
    <t>b14a4280-3e4a-11ee-a21f-01ec6f1812cc</t>
  </si>
  <si>
    <t>037dcac0-3e52-11ee-a21f-01ec6f1812cc</t>
  </si>
  <si>
    <t>87831e80-3e5a-11ee-a21f-01ec6f1812cc</t>
  </si>
  <si>
    <t>50aee3a0-3e62-11ee-a21f-01ec6f1812cc</t>
  </si>
  <si>
    <t>2c13ba90-3e6a-11ee-a21f-01ec6f1812cc</t>
  </si>
  <si>
    <t>6df23dd0-3e72-11ee-a21f-01ec6f1812cc</t>
  </si>
  <si>
    <t>54eec350-3e7a-11ee-a21f-01ec6f1812cc</t>
  </si>
  <si>
    <t>3dafa000-3e80-11ee-a21f-01ec6f1812cc</t>
  </si>
  <si>
    <t>b06ed800-3e89-11ee-a21f-01ec6f1812cc</t>
  </si>
  <si>
    <t>5defd490-3e92-11ee-a21f-01ec6f1812cc</t>
  </si>
  <si>
    <t>db257400-3e98-11ee-a21f-01ec6f1812cc</t>
  </si>
  <si>
    <t>e5414940-3e9e-11ee-a21f-01ec6f1812cc</t>
  </si>
  <si>
    <t>3eacfde0-3ea3-11ee-a21f-01ec6f1812cc</t>
  </si>
  <si>
    <t>a7e3ca30-3eaa-11ee-a21f-01ec6f1812cc</t>
  </si>
  <si>
    <t>01a104c0-3eb0-11ee-a21f-01ec6f1812cc</t>
  </si>
  <si>
    <t>758f1ca0-3eb5-11ee-a21f-01ec6f1812cc</t>
  </si>
  <si>
    <t>7cb99e50-3ebb-11ee-a21f-01ec6f1812cc</t>
  </si>
  <si>
    <t>222be170-3ec3-11ee-a21f-01ec6f1812cc</t>
  </si>
  <si>
    <t>5dc9f810-3ec9-11ee-a21f-01ec6f1812cc</t>
  </si>
  <si>
    <t>79362cd0-3ecf-11ee-a21f-01ec6f1812cc</t>
  </si>
  <si>
    <t>55771dd0-3ed5-11ee-a21f-01ec6f1812cc</t>
  </si>
  <si>
    <t>f87f0290-3eda-11ee-a21f-01ec6f1812cc</t>
  </si>
  <si>
    <t>1d333410-3ee2-11ee-a21f-01ec6f1812cc</t>
  </si>
  <si>
    <t>6e483450-3ee6-11ee-a21f-01ec6f1812cc</t>
  </si>
  <si>
    <t>d5158fd0-3eef-11ee-a21f-01ec6f1812cc</t>
  </si>
  <si>
    <t>b2baf600-3ef9-11ee-a21f-01ec6f1812cc</t>
  </si>
  <si>
    <t>09e66220-3eff-11ee-a21f-01ec6f1812cc</t>
  </si>
  <si>
    <t>829a0670-3f06-11ee-a21f-01ec6f1812cc</t>
  </si>
  <si>
    <t>06a86240-3f0c-11ee-a21f-01ec6f1812cc</t>
  </si>
  <si>
    <t>74ea41c0-3f10-11ee-a21f-01ec6f1812cc</t>
  </si>
  <si>
    <t>a1ea27f0-3f13-11ee-a21f-01ec6f1812cc</t>
  </si>
  <si>
    <t>c7c84560-3f18-11ee-a21f-01ec6f1812cc</t>
  </si>
  <si>
    <t>416aabf0-3f1f-11ee-a21f-01ec6f1812cc</t>
  </si>
  <si>
    <t>6c0a2200-3f24-11ee-a21f-01ec6f1812cc</t>
  </si>
  <si>
    <t>649ca610-3f2d-11ee-a21f-01ec6f1812cc</t>
  </si>
  <si>
    <t>23f2e660-3f32-11ee-a21f-01ec6f1812cc</t>
  </si>
  <si>
    <t>3ec2c600-3f36-11ee-a21f-01ec6f1812cc</t>
  </si>
  <si>
    <t>64ae9050-3f41-11ee-a21f-01ec6f1812cc</t>
  </si>
  <si>
    <t>907ce970-3f46-11ee-a21f-01ec6f1812cc</t>
  </si>
  <si>
    <t>3bdf8f50-3f4e-11ee-a21f-01ec6f1812cc</t>
  </si>
  <si>
    <t>5cf50120-3f53-11ee-a21f-01ec6f1812cc</t>
  </si>
  <si>
    <t>ebf6d1b0-3f57-11ee-a21f-01ec6f1812cc</t>
  </si>
  <si>
    <t>ce8a8630-3f5c-11ee-a21f-01ec6f1812cc</t>
  </si>
  <si>
    <t>f337ef00-3f65-11ee-a21f-01ec6f1812cc</t>
  </si>
  <si>
    <t>685d0040-3f6b-11ee-a21f-01ec6f1812cc</t>
  </si>
  <si>
    <t>2cc45f80-3f73-11ee-a21f-01ec6f1812cc</t>
  </si>
  <si>
    <t>40297f20-3f7c-11ee-a21f-01ec6f1812cc</t>
  </si>
  <si>
    <t>f47d5690-3f81-11ee-a21f-01ec6f1812cc</t>
  </si>
  <si>
    <t>d2101bf0-3f87-11ee-a21f-01ec6f1812cc</t>
  </si>
  <si>
    <t>8ababfd0-3f8c-11ee-a21f-01ec6f1812cc</t>
  </si>
  <si>
    <t>c27b31a0-3f93-11ee-a21f-01ec6f1812cc</t>
  </si>
  <si>
    <t>92373fd0-3f97-11ee-a21f-01ec6f1812cc</t>
  </si>
  <si>
    <t>62401900-3f9c-11ee-a21f-01ec6f1812cc</t>
  </si>
  <si>
    <t>a87eb780-3fa3-11ee-a21f-01ec6f1812cc</t>
  </si>
  <si>
    <t>66b6e830-3fa9-11ee-a21f-01ec6f1812cc</t>
  </si>
  <si>
    <t>016a2650-3fad-11ee-a21f-01ec6f1812cc</t>
  </si>
  <si>
    <t>fd938990-3fb1-11ee-a21f-01ec6f1812cc</t>
  </si>
  <si>
    <t>8495d430-3fbb-11ee-a21f-01ec6f1812cc</t>
  </si>
  <si>
    <t>4bb212e0-3fc6-11ee-a21f-01ec6f1812cc</t>
  </si>
  <si>
    <t>801aeab0-3fcc-11ee-a21f-01ec6f1812cc</t>
  </si>
  <si>
    <t>73f2ad30-3fd2-11ee-a21f-01ec6f1812cc</t>
  </si>
  <si>
    <t>b92dbe60-3fd9-11ee-a21f-01ec6f1812cc</t>
  </si>
  <si>
    <t>0b198c10-3fdd-11ee-a21f-01ec6f1812cc</t>
  </si>
  <si>
    <t>7c9e8140-3fe4-11ee-a21f-01ec6f1812cc</t>
  </si>
  <si>
    <t>03a27330-3fe6-11ee-a21f-01ec6f1812cc</t>
  </si>
  <si>
    <t>cdb8d8b0-3fe8-11ee-a21f-01ec6f1812cc</t>
  </si>
  <si>
    <t>7b79d660-3fef-11ee-a21f-01ec6f1812cc</t>
  </si>
  <si>
    <t>d5d02730-3ff5-11ee-a21f-01ec6f1812cc</t>
  </si>
  <si>
    <t>006dc880-3ffb-11ee-a21f-01ec6f1812cc</t>
  </si>
  <si>
    <t>a0e26d50-4002-11ee-a21f-01ec6f1812cc</t>
  </si>
  <si>
    <t>d5d9e600-4007-11ee-a21f-01ec6f1812cc</t>
  </si>
  <si>
    <t>6ccbcf00-400e-11ee-a21f-01ec6f1812cc</t>
  </si>
  <si>
    <t>40d91970-4013-11ee-a21f-01ec6f1812cc</t>
  </si>
  <si>
    <t>9ff9b900-4018-11ee-a21f-01ec6f1812cc</t>
  </si>
  <si>
    <t>658e5f90-401e-11ee-a21f-01ec6f1812cc</t>
  </si>
  <si>
    <t>169e7020-4044-11ee-b18b-bbfbe2333509</t>
  </si>
  <si>
    <t>e4228850-404a-11ee-b18b-bbfbe2333509</t>
  </si>
  <si>
    <t>fc08c010-404f-11ee-b18b-bbfbe2333509</t>
  </si>
  <si>
    <t>73d5bfd0-4055-11ee-b18b-bbfbe2333509</t>
  </si>
  <si>
    <t>b92e2790-405d-11ee-b18b-bbfbe2333509</t>
  </si>
  <si>
    <t>e5617220-4064-11ee-b18b-bbfbe2333509</t>
  </si>
  <si>
    <t>8e1938c0-406b-11ee-b18b-bbfbe2333509</t>
  </si>
  <si>
    <t>00d9bb30-4073-11ee-b18b-bbfbe2333509</t>
  </si>
  <si>
    <t>ddcec7b0-407d-11ee-b18b-bbfbe2333509</t>
  </si>
  <si>
    <t>26c85cf0-4084-11ee-b18b-bbfbe2333509</t>
  </si>
  <si>
    <t>7eb51d40-4089-11ee-b18b-bbfbe2333509</t>
  </si>
  <si>
    <t>ebcb1500-408f-11ee-b18b-bbfbe2333509</t>
  </si>
  <si>
    <t>ef1336f0-4096-11ee-b18b-bbfbe2333509</t>
  </si>
  <si>
    <t>83295ac0-409e-11ee-b18b-bbfbe2333509</t>
  </si>
  <si>
    <t>812449b0-40a3-11ee-b18b-bbfbe2333509</t>
  </si>
  <si>
    <t>f5ec34e0-40aa-11ee-b18b-bbfbe2333509</t>
  </si>
  <si>
    <t>fa2c9980-40b1-11ee-b18b-bbfbe2333509</t>
  </si>
  <si>
    <t>4842b1a0-40b6-11ee-b18b-bbfbe2333509</t>
  </si>
  <si>
    <t>b80f3680-40bf-11ee-b18b-bbfbe2333509</t>
  </si>
  <si>
    <t>18efd590-40c5-11ee-b18b-bbfbe2333509</t>
  </si>
  <si>
    <t>f57b0b70-40c9-11ee-b18b-bbfbe2333509</t>
  </si>
  <si>
    <t>27488270-40d1-11ee-b18b-bbfbe2333509</t>
  </si>
  <si>
    <t>970a07a0-40d6-11ee-b18b-bbfbe2333509</t>
  </si>
  <si>
    <t>fe72dfd0-40df-11ee-b18b-bbfbe2333509</t>
  </si>
  <si>
    <t>10a17810-40e5-11ee-b18b-bbfbe2333509</t>
  </si>
  <si>
    <t>3e42bc70-40ea-11ee-b18b-bbfbe2333509</t>
  </si>
  <si>
    <t>f0815300-40f0-11ee-b18b-bbfbe2333509</t>
  </si>
  <si>
    <t>1a87ab70-40f8-11ee-b18b-bbfbe2333509</t>
  </si>
  <si>
    <t>d351d350-40fe-11ee-b18b-bbfbe2333509</t>
  </si>
  <si>
    <t>ec1a54c0-4103-11ee-b18b-bbfbe2333509</t>
  </si>
  <si>
    <t>95ac3240-410b-11ee-b18b-bbfbe2333509</t>
  </si>
  <si>
    <t>3e1ce850-4113-11ee-b18b-bbfbe2333509</t>
  </si>
  <si>
    <t>40665460-4119-11ee-b18b-bbfbe2333509</t>
  </si>
  <si>
    <t>b638d1c0-4120-11ee-b18b-bbfbe2333509</t>
  </si>
  <si>
    <t>89d7df20-4127-11ee-b18b-bbfbe2333509</t>
  </si>
  <si>
    <t>035463a0-412d-11ee-b18b-bbfbe2333509</t>
  </si>
  <si>
    <t>de0bce70-4132-11ee-b18b-bbfbe2333509</t>
  </si>
  <si>
    <t>9584efd0-413a-11ee-b18b-bbfbe2333509</t>
  </si>
  <si>
    <t>0a2aa270-4141-11ee-b18b-bbfbe2333509</t>
  </si>
  <si>
    <t>6da613d0-414a-11ee-b18b-bbfbe2333509</t>
  </si>
  <si>
    <t>1acb7850-4152-11ee-b18b-bbfbe2333509</t>
  </si>
  <si>
    <t>165ba8d0-4157-11ee-b18b-bbfbe2333509</t>
  </si>
  <si>
    <t>dac05ae0-415c-11ee-b18b-bbfbe2333509</t>
  </si>
  <si>
    <t>799a9b80-4162-11ee-b18b-bbfbe2333509</t>
  </si>
  <si>
    <t>abfacab0-416b-11ee-b18b-bbfbe2333509</t>
  </si>
  <si>
    <t>806e25c0-4177-11ee-b18b-bbfbe2333509</t>
  </si>
  <si>
    <t>9c499610-4188-11ee-b18b-bbfbe2333509</t>
  </si>
  <si>
    <t>b7714060-4191-11ee-b18b-bbfbe2333509</t>
  </si>
  <si>
    <t>8e020160-4196-11ee-b18b-bbfbe2333509</t>
  </si>
  <si>
    <t>4dffcf80-419f-11ee-b18b-bbfbe2333509</t>
  </si>
  <si>
    <t>b350b9a0-41a7-11ee-b18b-bbfbe2333509</t>
  </si>
  <si>
    <t>f3faa9f0-41ae-11ee-b18b-bbfbe2333509</t>
  </si>
  <si>
    <t>60c8ff70-41b7-11ee-b18b-bbfbe2333509</t>
  </si>
  <si>
    <t>3004c7d0-41c0-11ee-b18b-bbfbe2333509</t>
  </si>
  <si>
    <t>81a70200-41c6-11ee-b18b-bbfbe2333509</t>
  </si>
  <si>
    <t>ea6cf600-41cb-11ee-b18b-bbfbe2333509</t>
  </si>
  <si>
    <t>1a470170-41d3-11ee-b18b-bbfbe2333509</t>
  </si>
  <si>
    <t>84f978a0-41d7-11ee-b18b-bbfbe2333509</t>
  </si>
  <si>
    <t>db338a70-41dd-11ee-b18b-bbfbe2333509</t>
  </si>
  <si>
    <t>e4566ba0-41e1-11ee-b18b-bbfbe2333509</t>
  </si>
  <si>
    <t>1706be00-41e8-11ee-b18b-bbfbe2333509</t>
  </si>
  <si>
    <t>9f3c1f80-41f3-11ee-b18b-bbfbe2333509</t>
  </si>
  <si>
    <t>d326def0-41ff-11ee-b18b-bbfbe2333509</t>
  </si>
  <si>
    <t>ee45c4c0-420a-11ee-b18b-bbfbe2333509</t>
  </si>
  <si>
    <t>c4968f30-4212-11ee-b18b-bbfbe2333509</t>
  </si>
  <si>
    <t>b01b0340-4219-11ee-b18b-bbfbe2333509</t>
  </si>
  <si>
    <t>4128c5e0-421d-11ee-b18b-bbfbe2333509</t>
  </si>
  <si>
    <t>f36c5060-4221-11ee-b18b-bbfbe2333509</t>
  </si>
  <si>
    <t>02a6d5f0-4227-11ee-b18b-bbfbe2333509</t>
  </si>
  <si>
    <t>eb666500-422a-11ee-b18b-bbfbe2333509</t>
  </si>
  <si>
    <t>80b6c540-422c-11ee-b18b-bbfbe2333509</t>
  </si>
  <si>
    <t>faa126c0-4231-11ee-b18b-bbfbe2333509</t>
  </si>
  <si>
    <t>63406ad0-4235-11ee-b18b-bbfbe2333509</t>
  </si>
  <si>
    <t>3ce510a0-423c-11ee-b18b-bbfbe2333509</t>
  </si>
  <si>
    <t>7d7cea70-4241-11ee-b18b-bbfbe2333509</t>
  </si>
  <si>
    <t>5af38a60-4249-11ee-b18b-bbfbe2333509</t>
  </si>
  <si>
    <t>048abf10-4251-11ee-b18b-bbfbe2333509</t>
  </si>
  <si>
    <t>e3265700-4258-11ee-b18b-bbfbe2333509</t>
  </si>
  <si>
    <t>1fa9cf20-4260-11ee-b18b-bbfbe2333509</t>
  </si>
  <si>
    <t>b79d29f0-4263-11ee-b18b-bbfbe2333509</t>
  </si>
  <si>
    <t>e6774700-4269-11ee-b18b-bbfbe2333509</t>
  </si>
  <si>
    <t>f3f25dc0-4278-11ee-b18b-bbfbe2333509</t>
  </si>
  <si>
    <t>f9a739f0-427f-11ee-b18b-bbfbe2333509</t>
  </si>
  <si>
    <t>d123c510-4285-11ee-b18b-bbfbe2333509</t>
  </si>
  <si>
    <t>194c51e0-4290-11ee-b18b-bbfbe2333509</t>
  </si>
  <si>
    <t>20222e70-4297-11ee-b18b-bbfbe2333509</t>
  </si>
  <si>
    <t>7f3e6130-429c-11ee-b18b-bbfbe2333509</t>
  </si>
  <si>
    <t>d98c2de0-429f-11ee-b18b-bbfbe2333509</t>
  </si>
  <si>
    <t>f07d5a70-42a8-11ee-b18b-bbfbe2333509</t>
  </si>
  <si>
    <t>b44e9100-42ac-11ee-b18b-bbfbe2333509</t>
  </si>
  <si>
    <t>afdfd2f0-42b1-11ee-b18b-bbfbe2333509</t>
  </si>
  <si>
    <t>5f683fa0-42b7-11ee-b18b-bbfbe2333509</t>
  </si>
  <si>
    <t>a279cc00-42bc-11ee-b18b-bbfbe2333509</t>
  </si>
  <si>
    <t>eae93f20-42c1-11ee-b18b-bbfbe2333509</t>
  </si>
  <si>
    <t>ee302560-42c4-11ee-b18b-bbfbe2333509</t>
  </si>
  <si>
    <t>141101f0-42ca-11ee-b18b-bbfbe2333509</t>
  </si>
  <si>
    <t>0e6c8300-42cf-11ee-b18b-bbfbe2333509</t>
  </si>
  <si>
    <t>3e66f9a0-42d4-11ee-b18b-bbfbe2333509</t>
  </si>
  <si>
    <t>4ae799e0-42da-11ee-b18b-bbfbe2333509</t>
  </si>
  <si>
    <t>1cc79550-42e5-11ee-b18b-bbfbe2333509</t>
  </si>
  <si>
    <t>716c0110-42ed-11ee-b18b-bbfbe2333509</t>
  </si>
  <si>
    <t>4b8377d0-42f2-11ee-b18b-bbfbe2333509</t>
  </si>
  <si>
    <t>4688bb80-42f9-11ee-b18b-bbfbe2333509</t>
  </si>
  <si>
    <t>47c28c50-42ff-11ee-b18b-bbfbe2333509</t>
  </si>
  <si>
    <t>48f8eca0-4303-11ee-b18b-bbfbe2333509</t>
  </si>
  <si>
    <t>e1dd2530-4308-11ee-b18b-bbfbe2333509</t>
  </si>
  <si>
    <t>cfab7420-430d-11ee-b18b-bbfbe2333509</t>
  </si>
  <si>
    <t>e7f5f350-430f-11ee-b18b-bbfbe2333509</t>
  </si>
  <si>
    <t>db0a65d0-4315-11ee-b18b-bbfbe2333509</t>
  </si>
  <si>
    <t>42756fa0-4319-11ee-b18b-bbfbe2333509</t>
  </si>
  <si>
    <t>73f01310-431d-11ee-b18b-bbfbe2333509</t>
  </si>
  <si>
    <t>49ec1150-4326-11ee-b18b-bbfbe2333509</t>
  </si>
  <si>
    <t>cedcfa60-432a-11ee-b18b-bbfbe2333509</t>
  </si>
  <si>
    <t>fb014640-4330-11ee-b18b-bbfbe2333509</t>
  </si>
  <si>
    <t>1de48850-4338-11ee-b18b-bbfbe2333509</t>
  </si>
  <si>
    <t>fc6b5860-4342-11ee-b18b-bbfbe2333509</t>
  </si>
  <si>
    <t>715a6580-4348-11ee-b18b-bbfbe2333509</t>
  </si>
  <si>
    <t>a3745630-434c-11ee-b18b-bbfbe2333509</t>
  </si>
  <si>
    <t>5bf90610-4352-11ee-b18b-bbfbe2333509</t>
  </si>
  <si>
    <t>3b7616a0-4355-11ee-b18b-bbfbe2333509</t>
  </si>
  <si>
    <t>b3e69ed0-4359-11ee-b18b-bbfbe2333509</t>
  </si>
  <si>
    <t>c4466a80-435e-11ee-b18b-bbfbe2333509</t>
  </si>
  <si>
    <t>9d4cad70-4365-11ee-b18b-bbfbe2333509</t>
  </si>
  <si>
    <t>14a76df0-436c-11ee-b18b-bbfbe2333509</t>
  </si>
  <si>
    <t>5cf0a650-436f-11ee-b18b-bbfbe2333509</t>
  </si>
  <si>
    <t>cf0fb8a0-4376-11ee-b18b-bbfbe2333509</t>
  </si>
  <si>
    <t>f66661c0-437a-11ee-b18b-bbfbe2333509</t>
  </si>
  <si>
    <t>45f98450-437c-11ee-b18b-bbfbe2333509</t>
  </si>
  <si>
    <t>b49f8a90-4385-11ee-b18b-bbfbe2333509</t>
  </si>
  <si>
    <t>f6733fc0-438a-11ee-b18b-bbfbe2333509</t>
  </si>
  <si>
    <t>4d2d8570-438e-11ee-b18b-bbfbe2333509</t>
  </si>
  <si>
    <t>32b00a90-4395-11ee-b18b-bbfbe2333509</t>
  </si>
  <si>
    <t>e02c8530-439b-11ee-b18b-bbfbe2333509</t>
  </si>
  <si>
    <t>a6f9d600-43a5-11ee-b18b-bbfbe2333509</t>
  </si>
  <si>
    <t>92731160-43aa-11ee-b18b-bbfbe2333509</t>
  </si>
  <si>
    <t>ad006260-43b1-11ee-b18b-bbfbe2333509</t>
  </si>
  <si>
    <t>93fcaee0-43bb-11ee-b18b-bbfbe2333509</t>
  </si>
  <si>
    <t>7b4264a0-43be-11ee-b18b-bbfbe2333509</t>
  </si>
  <si>
    <t>898c7a40-43c4-11ee-b18b-bbfbe2333509</t>
  </si>
  <si>
    <t>7d0e1860-43c8-11ee-b18b-bbfbe2333509</t>
  </si>
  <si>
    <t>0e7e9f00-43cd-11ee-b18b-bbfbe2333509</t>
  </si>
  <si>
    <t>a7aa7270-43d3-11ee-b18b-bbfbe2333509</t>
  </si>
  <si>
    <t>da588cd0-43d7-11ee-b18b-bbfbe2333509</t>
  </si>
  <si>
    <t>332edf40-43dc-11ee-b18b-bbfbe2333509</t>
  </si>
  <si>
    <t>1c9586f0-43e4-11ee-b18b-bbfbe2333509</t>
  </si>
  <si>
    <t>e4d804e0-43e8-11ee-b18b-bbfbe2333509</t>
  </si>
  <si>
    <t>021dc9b0-43f1-11ee-b18b-bbfbe2333509</t>
  </si>
  <si>
    <t>5ebf3870-43f6-11ee-b18b-bbfbe2333509</t>
  </si>
  <si>
    <t>b3118200-43fd-11ee-b18b-bbfbe2333509</t>
  </si>
  <si>
    <t>adfb4b40-4400-11ee-b18b-bbfbe2333509</t>
  </si>
  <si>
    <t>dbee9fe0-4408-11ee-b18b-bbfbe2333509</t>
  </si>
  <si>
    <t>d38079a0-440d-11ee-b18b-bbfbe2333509</t>
  </si>
  <si>
    <t>34d37470-4411-11ee-b18b-bbfbe2333509</t>
  </si>
  <si>
    <t>b7580680-4417-11ee-b18b-bbfbe2333509</t>
  </si>
  <si>
    <t>63c6ec40-441f-11ee-b18b-bbfbe2333509</t>
  </si>
  <si>
    <t>48840910-4427-11ee-b18b-bbfbe2333509</t>
  </si>
  <si>
    <t>55f98610-442c-11ee-b18b-bbfbe2333509</t>
  </si>
  <si>
    <t>29d6a350-4432-11ee-b18b-bbfbe2333509</t>
  </si>
  <si>
    <t>24dcbf70-443b-11ee-b18b-bbfbe2333509</t>
  </si>
  <si>
    <t>3378e220-4440-11ee-b18b-bbfbe2333509</t>
  </si>
  <si>
    <t>e13a2df0-4446-11ee-b18b-bbfbe2333509</t>
  </si>
  <si>
    <t>14ceb0b0-444b-11ee-b18b-bbfbe2333509</t>
  </si>
  <si>
    <t>1e5bda80-4451-11ee-b18b-bbfbe2333509</t>
  </si>
  <si>
    <t>fd931300-4454-11ee-b18b-bbfbe2333509</t>
  </si>
  <si>
    <t>37b29560-445a-11ee-b18b-bbfbe2333509</t>
  </si>
  <si>
    <t>cc6f4450-445f-11ee-b18b-bbfbe2333509</t>
  </si>
  <si>
    <t>c420d3b0-4467-11ee-b18b-bbfbe2333509</t>
  </si>
  <si>
    <t>ef9f0670-446b-11ee-b18b-bbfbe2333509</t>
  </si>
  <si>
    <t>9b925060-446f-11ee-b18b-bbfbe2333509</t>
  </si>
  <si>
    <t>11e963e0-4473-11ee-b18b-bbfbe2333509</t>
  </si>
  <si>
    <t>8bd1c990-4478-11ee-b18b-bbfbe2333509</t>
  </si>
  <si>
    <t>094cb9f0-4480-11ee-b18b-bbfbe2333509</t>
  </si>
  <si>
    <t>0c0b7280-4485-11ee-b18b-bbfbe2333509</t>
  </si>
  <si>
    <t>50d9a300-448a-11ee-b18b-bbfbe2333509</t>
  </si>
  <si>
    <t>6570fde0-448f-11ee-b18b-bbfbe2333509</t>
  </si>
  <si>
    <t>78d5f340-4494-11ee-b18b-bbfbe2333509</t>
  </si>
  <si>
    <t>e4a3daa0-449a-11ee-b18b-bbfbe2333509</t>
  </si>
  <si>
    <t>3fef39d0-44a1-11ee-b18b-bbfbe2333509</t>
  </si>
  <si>
    <t>e63946b0-44a5-11ee-b18b-bbfbe2333509</t>
  </si>
  <si>
    <t>678d8100-44aa-11ee-b18b-bbfbe2333509</t>
  </si>
  <si>
    <t>5a82c400-44b6-11ee-b18b-bbfbe2333509</t>
  </si>
  <si>
    <t>ac271de0-44b8-11ee-b18b-bbfbe2333509</t>
  </si>
  <si>
    <t>0ac51ff0-44be-11ee-b18b-bbfbe2333509</t>
  </si>
  <si>
    <t>9ec8f440-44c5-11ee-b18b-bbfbe2333509</t>
  </si>
  <si>
    <t>01d84fa0-44ca-11ee-b18b-bbfbe2333509</t>
  </si>
  <si>
    <t>bdf51720-458f-11ee-ada0-752f197872b4</t>
  </si>
  <si>
    <t>7ee14670-45a4-11ee-ada0-752f197872b4</t>
  </si>
  <si>
    <t>cb8f4540-45b7-11ee-ada0-752f197872b4</t>
  </si>
  <si>
    <t>67229410-45c4-11ee-ada0-752f197872b4</t>
  </si>
  <si>
    <t>50879470-45d4-11ee-ada0-752f197872b4</t>
  </si>
  <si>
    <t>cb057170-45db-11ee-ada0-752f197872b4</t>
  </si>
  <si>
    <t>2d6fe700-45f0-11ee-ada0-752f197872b4</t>
  </si>
  <si>
    <t>10a5eea0-45f8-11ee-ada0-752f197872b4</t>
  </si>
  <si>
    <t>e42ab5e0-4601-11ee-ada0-752f197872b4</t>
  </si>
  <si>
    <t>23944b10-4616-11ee-ada0-752f197872b4</t>
  </si>
  <si>
    <t>3ab6b970-4622-11ee-ada0-752f197872b4</t>
  </si>
  <si>
    <t>f56aa890-462b-11ee-ada0-752f197872b4</t>
  </si>
  <si>
    <t>2ecbbf20-4640-11ee-ada0-752f197872b4</t>
  </si>
  <si>
    <t>ae9d5340-4653-11ee-ada0-752f197872b4</t>
  </si>
  <si>
    <t>7e3ab1b0-465e-11ee-ada0-752f197872b4</t>
  </si>
  <si>
    <t>8726cea0-4666-11ee-ada0-752f197872b4</t>
  </si>
  <si>
    <t>1ee3ef80-4670-11ee-ada0-752f197872b4</t>
  </si>
  <si>
    <t>877d6a60-4677-11ee-ada0-752f197872b4</t>
  </si>
  <si>
    <t>62d03460-4689-11ee-ada0-752f197872b4</t>
  </si>
  <si>
    <t>71d54680-4698-11ee-ada0-752f197872b4</t>
  </si>
  <si>
    <t>b887bf00-46ab-11ee-ada0-752f197872b4</t>
  </si>
  <si>
    <t>43c2b3d0-46c1-11ee-ada0-752f197872b4</t>
  </si>
  <si>
    <t>67992b50-46cf-11ee-ada0-752f197872b4</t>
  </si>
  <si>
    <t>f528cd40-46de-11ee-ada0-752f197872b4</t>
  </si>
  <si>
    <t>7b93b9e0-46e8-11ee-ada0-752f197872b4</t>
  </si>
  <si>
    <t>fcf3a210-46ee-11ee-ada0-752f197872b4</t>
  </si>
  <si>
    <t>29b5baf0-46fd-11ee-ada0-752f197872b4</t>
  </si>
  <si>
    <t>3b4ae770-4704-11ee-ada0-752f197872b4</t>
  </si>
  <si>
    <t>3a529930-470e-11ee-ada0-752f197872b4</t>
  </si>
  <si>
    <t>e3b37ba0-4715-11ee-ada0-752f197872b4</t>
  </si>
  <si>
    <t>79cb7990-2f19-11ee-b61f-35cc94e275cf</t>
  </si>
  <si>
    <t>db02c420-2f1e-11ee-b61f-35cc94e275cf</t>
  </si>
  <si>
    <t>eb34f020-2f23-11ee-b61f-35cc94e275cf</t>
  </si>
  <si>
    <t>cbffb660-2f26-11ee-b61f-35cc94e275cf</t>
  </si>
  <si>
    <t>83889690-2f2b-11ee-b61f-35cc94e275cf</t>
  </si>
  <si>
    <t>4cb40a60-2f2f-11ee-b61f-35cc94e275cf</t>
  </si>
  <si>
    <t>348d29b0-2f36-11ee-b61f-35cc94e275cf</t>
  </si>
  <si>
    <t>ccdaa080-2f3b-11ee-b61f-35cc94e275cf</t>
  </si>
  <si>
    <t>3dd08700-2f41-11ee-b61f-35cc94e275cf</t>
  </si>
  <si>
    <t>f7810980-2f42-11ee-b61f-35cc94e275cf</t>
  </si>
  <si>
    <t>8642a420-2f44-11ee-b61f-35cc94e275cf</t>
  </si>
  <si>
    <t>5c894420-2f46-11ee-b61f-35cc94e275cf</t>
  </si>
  <si>
    <t>a9217630-2f47-11ee-b61f-35cc94e275cf</t>
  </si>
  <si>
    <t>6feaa1f0-2f49-11ee-b61f-35cc94e275cf</t>
  </si>
  <si>
    <t>35cc88b0-2f50-11ee-b61f-35cc94e275cf</t>
  </si>
  <si>
    <t>1afd0f80-2f52-11ee-b61f-35cc94e275cf</t>
  </si>
  <si>
    <t>6d8cd040-2f53-11ee-b61f-35cc94e275cf</t>
  </si>
  <si>
    <t>02458790-2f59-11ee-b61f-35cc94e275cf</t>
  </si>
  <si>
    <t>282811d0-2f5e-11ee-b61f-35cc94e275cf</t>
  </si>
  <si>
    <t>45aaaad0-2f61-11ee-b61f-35cc94e275cf</t>
  </si>
  <si>
    <t>6aea5040-2f64-11ee-b61f-35cc94e275cf</t>
  </si>
  <si>
    <t>84444e30-2f67-11ee-b61f-35cc94e275cf</t>
  </si>
  <si>
    <t>a2f73bc0-2f68-11ee-b61f-35cc94e275cf</t>
  </si>
  <si>
    <t>2666e360-2f6a-11ee-b61f-35cc94e275cf</t>
  </si>
  <si>
    <t>8f032c20-2f6b-11ee-b61f-35cc94e275cf</t>
  </si>
  <si>
    <t>582ed8f0-2f6d-11ee-b61f-35cc94e275cf</t>
  </si>
  <si>
    <t>8f52f270-2f6e-11ee-b61f-35cc94e275cf</t>
  </si>
  <si>
    <t>2a91b9a0-2f70-11ee-b61f-35cc94e275cf</t>
  </si>
  <si>
    <t>94a6f150-2f72-11ee-b61f-35cc94e275cf</t>
  </si>
  <si>
    <t>9709fcb0-2f74-11ee-b61f-35cc94e275cf</t>
  </si>
  <si>
    <t>9c210f10-2f77-11ee-b61f-35cc94e275cf</t>
  </si>
  <si>
    <t>fec4ccd0-2f7a-11ee-b61f-35cc94e275cf</t>
  </si>
  <si>
    <t>160248d0-2f7d-11ee-b61f-35cc94e275cf</t>
  </si>
  <si>
    <t>481c4b70-2f7f-11ee-b61f-35cc94e275cf</t>
  </si>
  <si>
    <t>d5afdb70-2f82-11ee-b61f-35cc94e275cf</t>
  </si>
  <si>
    <t>853fad10-2f86-11ee-b61f-35cc94e275cf</t>
  </si>
  <si>
    <t>475b86f0-2f94-11ee-b61f-35cc94e275cf</t>
  </si>
  <si>
    <t>e88791b0-2f97-11ee-b61f-35cc94e275cf</t>
  </si>
  <si>
    <t>85516180-2fa0-11ee-b61f-35cc94e275cf</t>
  </si>
  <si>
    <t>0c544200-2fa2-11ee-b61f-35cc94e275cf</t>
  </si>
  <si>
    <t>d74867e0-2fa5-11ee-b61f-35cc94e275cf</t>
  </si>
  <si>
    <t>517e31a0-2fa8-11ee-b61f-35cc94e275cf</t>
  </si>
  <si>
    <t>24d04cf0-2fae-11ee-b61f-35cc94e275cf</t>
  </si>
  <si>
    <t>66ad89f0-2fb1-11ee-b61f-35cc94e275cf</t>
  </si>
  <si>
    <t>753fc190-2fb6-11ee-b61f-35cc94e275cf</t>
  </si>
  <si>
    <t>23e5ebf0-2fb9-11ee-b61f-35cc94e275cf</t>
  </si>
  <si>
    <t>986d3360-2fba-11ee-b61f-35cc94e275cf</t>
  </si>
  <si>
    <t>c570fc10-2fbb-11ee-b61f-35cc94e275cf</t>
  </si>
  <si>
    <t>133d1a40-2fbd-11ee-b61f-35cc94e275cf</t>
  </si>
  <si>
    <t>63b688b0-2fbf-11ee-b61f-35cc94e275cf</t>
  </si>
  <si>
    <t>b4c1afd0-2fc1-11ee-b61f-35cc94e275cf</t>
  </si>
  <si>
    <t>9366cc60-2fc3-11ee-b61f-35cc94e275cf</t>
  </si>
  <si>
    <t>a1699210-2fc4-11ee-b61f-35cc94e275cf</t>
  </si>
  <si>
    <t>793432a0-2fc9-11ee-b61f-35cc94e275cf</t>
  </si>
  <si>
    <t>f9f44340-2fcd-11ee-b61f-35cc94e275cf</t>
  </si>
  <si>
    <t>89ea0630-2fd1-11ee-b61f-35cc94e275cf</t>
  </si>
  <si>
    <t>a7224530-2fd3-11ee-b61f-35cc94e275cf</t>
  </si>
  <si>
    <t>578f73f0-2fd6-11ee-b61f-35cc94e275cf</t>
  </si>
  <si>
    <t>6d522c40-2fd7-11ee-b61f-35cc94e275cf</t>
  </si>
  <si>
    <t>f15a6a60-2fd8-11ee-b61f-35cc94e275cf</t>
  </si>
  <si>
    <t>519f8990-2fda-11ee-b61f-35cc94e275cf</t>
  </si>
  <si>
    <t>b4de39b0-2fdb-11ee-b61f-35cc94e275cf</t>
  </si>
  <si>
    <t>e60bfd00-2fdc-11ee-b61f-35cc94e275cf</t>
  </si>
  <si>
    <t>6c653000-2fde-11ee-b61f-35cc94e275cf</t>
  </si>
  <si>
    <t>d107c070-2fe0-11ee-b61f-35cc94e275cf</t>
  </si>
  <si>
    <t>860fa270-2fe2-11ee-b61f-35cc94e275cf</t>
  </si>
  <si>
    <t>308653f0-2fe5-11ee-b61f-35cc94e275cf</t>
  </si>
  <si>
    <t>4cb5e010-2fe8-11ee-b61f-35cc94e275cf</t>
  </si>
  <si>
    <t>a0526070-2fea-11ee-b61f-35cc94e275cf</t>
  </si>
  <si>
    <t>ec02ae10-2fec-11ee-b61f-35cc94e275cf</t>
  </si>
  <si>
    <t>dc23bc10-2ff0-11ee-b61f-35cc94e275cf</t>
  </si>
  <si>
    <t>067eaf10-2ff6-11ee-b61f-35cc94e275cf</t>
  </si>
  <si>
    <t>2fbdf4f0-2f63-11ee-a877-3f732e0466c9</t>
  </si>
  <si>
    <t>67537770-2f70-11ee-a877-3f732e0466c9</t>
  </si>
  <si>
    <t>f9aa9810-2f75-11ee-a877-3f732e0466c9</t>
  </si>
  <si>
    <t>ca97fd80-2f7d-11ee-a877-3f732e0466c9</t>
  </si>
  <si>
    <t>6e47d480-2fa3-11ee-a877-3f732e0466c9</t>
  </si>
  <si>
    <t>fdf1f960-2faf-11ee-a877-3f732e0466c9</t>
  </si>
  <si>
    <t>6c8a3210-2fbb-11ee-a877-3f732e0466c9</t>
  </si>
  <si>
    <t>12dc82b0-2fc8-11ee-a877-3f732e0466c9</t>
  </si>
  <si>
    <t>496bf1c0-2fd3-11ee-a877-3f732e0466c9</t>
  </si>
  <si>
    <t>44f7cdc0-2fde-11ee-a877-3f732e0466c9</t>
  </si>
  <si>
    <t>099f7c40-2fe4-11ee-a877-3f732e0466c9</t>
  </si>
  <si>
    <t>d2d7a4d0-2fe8-11ee-a877-3f732e0466c9</t>
  </si>
  <si>
    <t>c6ee9330-2fee-11ee-a877-3f732e0466c9</t>
  </si>
  <si>
    <t>67f8a190-2ff3-11ee-a877-3f732e0466c9</t>
  </si>
  <si>
    <t>f6f2b480-2ff8-11ee-a877-3f732e0466c9</t>
  </si>
  <si>
    <t>6a995bc0-3001-11ee-a877-3f732e0466c9</t>
  </si>
  <si>
    <t>58c59740-3008-11ee-a877-3f732e0466c9</t>
  </si>
  <si>
    <t>a0e3a750-3013-11ee-a877-3f732e0466c9</t>
  </si>
  <si>
    <t>0cad4190-301d-11ee-a877-3f732e0466c9</t>
  </si>
  <si>
    <t>a8be5dd0-3027-11ee-a877-3f732e0466c9</t>
  </si>
  <si>
    <t>e0b31420-3030-11ee-a877-3f732e0466c9</t>
  </si>
  <si>
    <t>676a5360-3037-11ee-a877-3f732e0466c9</t>
  </si>
  <si>
    <t>fda4d670-3041-11ee-a877-3f732e0466c9</t>
  </si>
  <si>
    <t>ff280820-304e-11ee-a877-3f732e0466c9</t>
  </si>
  <si>
    <t>8039de10-305a-11ee-a877-3f732e0466c9</t>
  </si>
  <si>
    <t>f047f210-305e-11ee-a877-3f732e0466c9</t>
  </si>
  <si>
    <t>28774af0-3069-11ee-a877-3f732e0466c9</t>
  </si>
  <si>
    <t>b5e68a10-306c-11ee-a877-3f732e0466c9</t>
  </si>
  <si>
    <t>0744abd0-3072-11ee-a877-3f732e0466c9</t>
  </si>
  <si>
    <t>74f324f0-3076-11ee-a877-3f732e0466c9</t>
  </si>
  <si>
    <t>9d7ee3f0-3080-11ee-a877-3f732e0466c9</t>
  </si>
  <si>
    <t>17668650-3086-11ee-a877-3f732e0466c9</t>
  </si>
  <si>
    <t>dcff0f60-3089-11ee-a877-3f732e0466c9</t>
  </si>
  <si>
    <t>69123660-308c-11ee-a877-3f732e0466c9</t>
  </si>
  <si>
    <t>26eaa5c0-3090-11ee-a877-3f732e0466c9</t>
  </si>
  <si>
    <t>9bc005d0-3094-11ee-a877-3f732e0466c9</t>
  </si>
  <si>
    <t>0cb49eb0-3098-11ee-a877-3f732e0466c9</t>
  </si>
  <si>
    <t>99ad4e40-309b-11ee-a877-3f732e0466c9</t>
  </si>
  <si>
    <t>1f33fcc0-30a2-11ee-a877-3f732e0466c9</t>
  </si>
  <si>
    <t>94a4b5a0-30aa-11ee-a877-3f732e0466c9</t>
  </si>
  <si>
    <t>0a5ec900-30b2-11ee-a877-3f732e0466c9</t>
  </si>
  <si>
    <t>03876f60-30b7-11ee-a877-3f732e0466c9</t>
  </si>
  <si>
    <t>6ed2f240-30bb-11ee-a877-3f732e0466c9</t>
  </si>
  <si>
    <t>d442a470-30c2-11ee-a877-3f732e0466c9</t>
  </si>
  <si>
    <t>67ca19a0-30c6-11ee-a877-3f732e0466c9</t>
  </si>
  <si>
    <t>94829260-30d0-11ee-a877-3f732e0466c9</t>
  </si>
  <si>
    <t>e8db1a50-30d3-11ee-a877-3f732e0466c9</t>
  </si>
  <si>
    <t>bc761af0-30d8-11ee-a877-3f732e0466c9</t>
  </si>
  <si>
    <t>a966e5b0-30de-11ee-a877-3f732e0466c9</t>
  </si>
  <si>
    <t>ef725120-30e3-11ee-a877-3f732e0466c9</t>
  </si>
  <si>
    <t>5a22b760-30e6-11ee-a877-3f732e0466c9</t>
  </si>
  <si>
    <t>18c84550-30eb-11ee-a877-3f732e0466c9</t>
  </si>
  <si>
    <t>38cb26f0-30f6-11ee-a877-3f732e0466c9</t>
  </si>
  <si>
    <t>a464d790-30ff-11ee-a877-3f732e0466c9</t>
  </si>
  <si>
    <t>d96fdea0-310c-11ee-a877-3f732e0466c9</t>
  </si>
  <si>
    <t>a5082c60-3113-11ee-a877-3f732e0466c9</t>
  </si>
  <si>
    <t>e56c80d0-311d-11ee-a877-3f732e0466c9</t>
  </si>
  <si>
    <t>0c79e490-3125-11ee-a877-3f732e0466c9</t>
  </si>
  <si>
    <t>f2944340-3133-11ee-a877-3f732e0466c9</t>
  </si>
  <si>
    <t>4920e510-313e-11ee-a877-3f732e0466c9</t>
  </si>
  <si>
    <t>912f1e00-3146-11ee-a877-3f732e0466c9</t>
  </si>
  <si>
    <t>2ed165c0-314a-11ee-a877-3f732e0466c9</t>
  </si>
  <si>
    <t>241a4470-3150-11ee-a877-3f732e0466c9</t>
  </si>
  <si>
    <t>6e50cde0-3153-11ee-a877-3f732e0466c9</t>
  </si>
  <si>
    <t>9c3922d0-3157-11ee-a877-3f732e0466c9</t>
  </si>
  <si>
    <t>b6c20700-315e-11ee-a877-3f732e0466c9</t>
  </si>
  <si>
    <t>8630fc10-3161-11ee-a877-3f732e0466c9</t>
  </si>
  <si>
    <t>ff7dcff0-3164-11ee-a877-3f732e0466c9</t>
  </si>
  <si>
    <t>92b979a0-3169-11ee-a877-3f732e0466c9</t>
  </si>
  <si>
    <t>6bfc7ed0-316d-11ee-a877-3f732e0466c9</t>
  </si>
  <si>
    <t>f9db1a30-3173-11ee-a877-3f732e0466c9</t>
  </si>
  <si>
    <t>e627c800-31c1-11ee-81b5-4733e6bee4aa</t>
  </si>
  <si>
    <t>680479f0-31cb-11ee-81b5-4733e6bee4aa</t>
  </si>
  <si>
    <t>1e6e1fc0-31d6-11ee-81b5-4733e6bee4aa</t>
  </si>
  <si>
    <t>4bbe6bb0-31e0-11ee-81b5-4733e6bee4aa</t>
  </si>
  <si>
    <t>be350c80-31ea-11ee-81b5-4733e6bee4aa</t>
  </si>
  <si>
    <t>f7bebab0-31f3-11ee-81b5-4733e6bee4aa</t>
  </si>
  <si>
    <t>5e921b90-31fb-11ee-81b5-4733e6bee4aa</t>
  </si>
  <si>
    <t>c435e800-3200-11ee-81b5-4733e6bee4aa</t>
  </si>
  <si>
    <t>635fb5f0-320b-11ee-81b5-4733e6bee4aa</t>
  </si>
  <si>
    <t>b71ddd20-5501-11ee-b7ab-db7f5372d07d</t>
  </si>
  <si>
    <t>c609b430-550b-11ee-b7ab-db7f5372d07d</t>
  </si>
  <si>
    <t>3bc56350-5515-11ee-b7ab-db7f5372d07d</t>
  </si>
  <si>
    <t>9bc06b10-551f-11ee-b7ab-db7f5372d07d</t>
  </si>
  <si>
    <t>9dd837e0-328b-11ee-b6cd-bd3f95b9a581</t>
  </si>
  <si>
    <t>0aa79ed0-3294-11ee-b6cd-bd3f95b9a581</t>
  </si>
  <si>
    <t>5bfde240-32a2-11ee-b6cd-bd3f95b9a581</t>
  </si>
  <si>
    <t>e23207a0-32d0-11ee-b6cd-bd3f95b9a581</t>
  </si>
  <si>
    <t>ed425130-32e5-11ee-b6cd-bd3f95b9a581</t>
  </si>
  <si>
    <t>cb4ec880-32ed-11ee-b6cd-bd3f95b9a581</t>
  </si>
  <si>
    <t>c5adc3a0-3300-11ee-b6cd-bd3f95b9a581</t>
  </si>
  <si>
    <t>745517c0-3309-11ee-b6cd-bd3f95b9a581</t>
  </si>
  <si>
    <t>99e96610-337e-11ee-9e6d-85fa3fbea402</t>
  </si>
  <si>
    <t>bb0ad1e0-339b-11ee-9e6d-85fa3fbea402</t>
  </si>
  <si>
    <t>e7cd9090-33b5-11ee-9e6d-85fa3fbea402</t>
  </si>
  <si>
    <t>bf00a3b0-33c8-11ee-9e6d-85fa3fbea402</t>
  </si>
  <si>
    <t>60be5c20-3445-11ee-9b05-0dd0bbf90178</t>
  </si>
  <si>
    <t>92dc5130-3459-11ee-9b05-0dd0bbf90178</t>
  </si>
  <si>
    <t>99bb6dd0-3466-11ee-9b05-0dd0bbf90178</t>
  </si>
  <si>
    <t>63d4a260-347d-11ee-9b05-0dd0bbf90178</t>
  </si>
  <si>
    <t>38a8ddf0-3490-11ee-9b05-0dd0bbf90178</t>
  </si>
  <si>
    <t>92802400-34f4-11ee-950c-e987e0f91043</t>
  </si>
  <si>
    <t>b16d3e20-3526-11ee-950c-e987e0f91043</t>
  </si>
  <si>
    <t>bdacdcc0-3537-11ee-950c-e987e0f91043</t>
  </si>
  <si>
    <t>06b7e810-3547-11ee-950c-e987e0f91043</t>
  </si>
  <si>
    <t>97991ea0-3559-11ee-950c-e987e0f91043</t>
  </si>
  <si>
    <t>03cf8ad0-356b-11ee-950c-e987e0f91043</t>
  </si>
  <si>
    <t>94255e90-35af-11ee-9220-e715ada46c16</t>
  </si>
  <si>
    <t>73601de0-35d1-11ee-9220-e715ada46c16</t>
  </si>
  <si>
    <t>04979020-35f7-11ee-9220-e715ada46c16</t>
  </si>
  <si>
    <t>fbacd0c0-3604-11ee-9220-e715ada46c16</t>
  </si>
  <si>
    <t>513b6e10-3610-11ee-9220-e715ada46c16</t>
  </si>
  <si>
    <t>0c680840-361d-11ee-9220-e715ada46c16</t>
  </si>
  <si>
    <t>a3d457c0-362b-11ee-9220-e715ada46c16</t>
  </si>
  <si>
    <t>a5eb2c60-3684-11ee-8924-e50d87df6c3c</t>
  </si>
  <si>
    <t>354b96b0-3694-11ee-8924-e50d87df6c3c</t>
  </si>
  <si>
    <t>4c0d4370-36cc-11ee-8924-e50d87df6c3c</t>
  </si>
  <si>
    <t>a579be90-36d4-11ee-8924-e50d87df6c3c</t>
  </si>
  <si>
    <t>cd046d60-3743-11ee-8682-0b3845afca54</t>
  </si>
  <si>
    <t>6b1e4a90-3751-11ee-8682-0b3845afca54</t>
  </si>
  <si>
    <t>59b29a40-37a6-11ee-8682-0b3845afca54</t>
  </si>
  <si>
    <t>ad845640-37ba-11ee-8682-0b3845afca54</t>
  </si>
  <si>
    <t>8693b9f0-380e-11ee-b39b-2f9537f3ca34</t>
  </si>
  <si>
    <t>dfbbb960-3813-11ee-b39b-2f9537f3ca34</t>
  </si>
  <si>
    <t>5a398140-3819-11ee-b39b-2f9537f3ca34</t>
  </si>
  <si>
    <t>485ded30-3823-11ee-b39b-2f9537f3ca34</t>
  </si>
  <si>
    <t>ea3806b0-3830-11ee-b39b-2f9537f3ca34</t>
  </si>
  <si>
    <t>9fbc3910-383c-11ee-b39b-2f9537f3ca34</t>
  </si>
  <si>
    <t>81a91780-3847-11ee-b39b-2f9537f3ca34</t>
  </si>
  <si>
    <t>c8ea8660-3856-11ee-b39b-2f9537f3ca34</t>
  </si>
  <si>
    <t>8ab45990-386d-11ee-b39b-2f9537f3ca34</t>
  </si>
  <si>
    <t>08d37260-38e7-11ee-87af-592766e27bfa</t>
  </si>
  <si>
    <t>97130ac0-38f3-11ee-87af-592766e27bfa</t>
  </si>
  <si>
    <t>068dd0b0-38fe-11ee-87af-592766e27bfa</t>
  </si>
  <si>
    <t>9a638590-3904-11ee-87af-592766e27bfa</t>
  </si>
  <si>
    <t>824e0b30-3925-11ee-87af-592766e27bfa</t>
  </si>
  <si>
    <t>6e0f0880-392b-11ee-87af-592766e27bfa</t>
  </si>
  <si>
    <t>44a59910-3934-11ee-87af-592766e27bfa</t>
  </si>
  <si>
    <t>c7135b40-399c-11ee-99cb-cba62f06e06a</t>
  </si>
  <si>
    <t>a24c4780-3a65-11ee-8d2b-f7332234770b</t>
  </si>
  <si>
    <t>75d66d50-3a6c-11ee-8d2b-f7332234770b</t>
  </si>
  <si>
    <t>41176af0-3a81-11ee-8d2b-f7332234770b</t>
  </si>
  <si>
    <t>00bb15b0-3a8b-11ee-8d2b-f7332234770b</t>
  </si>
  <si>
    <t>ce176850-3a96-11ee-8d2b-f7332234770b</t>
  </si>
  <si>
    <t>f9ef67f0-3aa7-11ee-8d2b-f7332234770b</t>
  </si>
  <si>
    <t>87420310-3ac6-11ee-8d2b-f7332234770b</t>
  </si>
  <si>
    <t>af388a20-3ad4-11ee-8d2b-f7332234770b</t>
  </si>
  <si>
    <t>c129c670-3b35-11ee-af66-c36ec25f42ed</t>
  </si>
  <si>
    <t>fa1ccb30-3b44-11ee-af66-c36ec25f42ed</t>
  </si>
  <si>
    <t>b384fc40-3b55-11ee-af66-c36ec25f42ed</t>
  </si>
  <si>
    <t>5c8029f0-3b5b-11ee-af66-c36ec25f42ed</t>
  </si>
  <si>
    <t>d8366640-3b6a-11ee-af66-c36ec25f42ed</t>
  </si>
  <si>
    <t>2b182bb0-3b79-11ee-af66-c36ec25f42ed</t>
  </si>
  <si>
    <t>d4696e00-3b91-11ee-af66-c36ec25f42ed</t>
  </si>
  <si>
    <t>8fe60780-3b9f-11ee-af66-c36ec25f42ed</t>
  </si>
  <si>
    <t>dc00a410-48a4-11ee-88f2-cfeca2fcfc2d</t>
  </si>
  <si>
    <t>ad8c87e0-48b6-11ee-88f2-cfeca2fcfc2d</t>
  </si>
  <si>
    <t>abd43110-48d8-11ee-88f2-cfeca2fcfc2d</t>
  </si>
  <si>
    <t>69b61120-48ee-11ee-88f2-cfeca2fcfc2d</t>
  </si>
  <si>
    <t>87de0120-490d-11ee-88f2-cfeca2fcfc2d</t>
  </si>
  <si>
    <t>583655b0-4919-11ee-88f2-cfeca2fcfc2d</t>
  </si>
  <si>
    <t>c195efa0-4934-11ee-88f2-cfeca2fcfc2d</t>
  </si>
  <si>
    <t>493bebf0-494c-11ee-88f2-cfeca2fcfc2d</t>
  </si>
  <si>
    <t>abf7e8a0-497b-11ee-88f2-cfeca2fcfc2d</t>
  </si>
  <si>
    <t>cfc1b5f0-4989-11ee-88f2-cfeca2fcfc2d</t>
  </si>
  <si>
    <t>c17e1c10-499b-11ee-88f2-cfeca2fcfc2d</t>
  </si>
  <si>
    <t>41b01b80-49b6-11ee-88f2-cfeca2fcfc2d</t>
  </si>
  <si>
    <t>2f341c60-49fa-11ee-88f2-cfeca2fcfc2d</t>
  </si>
  <si>
    <t>2d73c990-4a0c-11ee-88f2-cfeca2fcfc2d</t>
  </si>
  <si>
    <t>37af0d10-4a67-11ee-88f2-cfeca2fcfc2d</t>
  </si>
  <si>
    <t>5f81bca0-4a6e-11ee-88f2-cfeca2fcfc2d</t>
  </si>
  <si>
    <t>fab33930-4a76-11ee-88f2-cfeca2fcfc2d</t>
  </si>
  <si>
    <t>0d816140-4a86-11ee-88f2-cfeca2fcfc2d</t>
  </si>
  <si>
    <t>234609d0-4a91-11ee-88f2-cfeca2fcfc2d</t>
  </si>
  <si>
    <t>1d56e920-4a9d-11ee-88f2-cfeca2fcfc2d</t>
  </si>
  <si>
    <t>87264bf0-4aa4-11ee-88f2-cfeca2fcfc2d</t>
  </si>
  <si>
    <t>73b65da0-4aed-11ee-88f2-cfeca2fcfc2d</t>
  </si>
  <si>
    <t>7299c610-4b19-11ee-88f2-cfeca2fcfc2d</t>
  </si>
  <si>
    <t>63bbabd0-4b29-11ee-88f2-cfeca2fcfc2d</t>
  </si>
  <si>
    <t>0a5bdc10-4b3b-11ee-88f2-cfeca2fcfc2d</t>
  </si>
  <si>
    <t>ef933b80-4b4e-11ee-88f2-cfeca2fcfc2d</t>
  </si>
  <si>
    <t>dbeb96d0-4b54-11ee-88f2-cfeca2fcfc2d</t>
  </si>
  <si>
    <t>68002090-4b5b-11ee-88f2-cfeca2fcfc2d</t>
  </si>
  <si>
    <t>07291610-4b64-11ee-88f2-cfeca2fcfc2d</t>
  </si>
  <si>
    <t>76b5ed50-4b82-11ee-88f2-cfeca2fcfc2d</t>
  </si>
  <si>
    <t>5d93a030-4b8a-11ee-88f2-cfeca2fcfc2d</t>
  </si>
  <si>
    <t>25aec330-4b93-11ee-88f2-cfeca2fcfc2d</t>
  </si>
  <si>
    <t>bc9c1420-4ba0-11ee-88f2-cfeca2fcfc2d</t>
  </si>
  <si>
    <t>77ba36c0-4baa-11ee-88f2-cfeca2fcfc2d</t>
  </si>
  <si>
    <t>03035600-4bb8-11ee-88f2-cfeca2fcfc2d</t>
  </si>
  <si>
    <t>5c282780-4bc5-11ee-88f2-cfeca2fcfc2d</t>
  </si>
  <si>
    <t>55ebf0e0-4bd4-11ee-88f2-cfeca2fcfc2d</t>
  </si>
  <si>
    <t>9d3c7bf0-4bd8-11ee-88f2-cfeca2fcfc2d</t>
  </si>
  <si>
    <t>112ea0c0-4c05-11ee-88f2-cfeca2fcfc2d</t>
  </si>
  <si>
    <t>876f8f40-52ce-11ee-b7ab-db7f5372d07d</t>
  </si>
  <si>
    <t>c2c84fc0-52e5-11ee-b7ab-db7f5372d07d</t>
  </si>
  <si>
    <t>05904bd0-52f2-11ee-b7ab-db7f5372d07d</t>
  </si>
  <si>
    <t>689c80d0-5320-11ee-b7ab-db7f5372d07d</t>
  </si>
  <si>
    <t>f9c27ad0-532d-11ee-b7ab-db7f5372d07d</t>
  </si>
  <si>
    <t>7bc883b0-5358-11ee-b7ab-db7f5372d07d</t>
  </si>
  <si>
    <t>32c8c100-535f-11ee-b7ab-db7f5372d07d</t>
  </si>
  <si>
    <t>d6286e70-537f-11ee-b7ab-db7f5372d07d</t>
  </si>
  <si>
    <t>fe7ef330-53b6-11ee-b7ab-db7f5372d07d</t>
  </si>
  <si>
    <t>7a6982c0-53c2-11ee-b7ab-db7f5372d07d</t>
  </si>
  <si>
    <t>ae1cc430-53de-11ee-b7ab-db7f5372d07d</t>
  </si>
  <si>
    <t>921f0a90-53e8-11ee-b7ab-db7f5372d07d</t>
  </si>
  <si>
    <t>6b6682f0-53f4-11ee-b7ab-db7f5372d07d</t>
  </si>
  <si>
    <t>2dc09d50-540d-11ee-b7ab-db7f5372d07d</t>
  </si>
  <si>
    <t>2e1cbeb0-541b-11ee-b7ab-db7f5372d07d</t>
  </si>
  <si>
    <t>1ba41790-5436-11ee-b7ab-db7f5372d07d</t>
  </si>
  <si>
    <t>96d67a70-3041-11ee-b61f-35cc94e275cf</t>
  </si>
  <si>
    <t>4845b640-304c-11ee-b61f-35cc94e275cf</t>
  </si>
  <si>
    <t>c9703f20-3069-11ee-b61f-35cc94e275cf</t>
  </si>
  <si>
    <t>8c9c1ab0-307d-11ee-b61f-35cc94e275cf</t>
  </si>
  <si>
    <t>221ee8b0-3097-11ee-b61f-35cc94e275cf</t>
  </si>
  <si>
    <t>fc9787b0-309a-11ee-b61f-35cc94e275cf</t>
  </si>
  <si>
    <t>513e9d70-30a1-11ee-b61f-35cc94e275cf</t>
  </si>
  <si>
    <t>c9b1ca70-30b5-11ee-b61f-35cc94e275cf</t>
  </si>
  <si>
    <t>c34010a0-30df-11ee-b61f-35cc94e275cf</t>
  </si>
  <si>
    <t>deb54940-30e9-11ee-b61f-35cc94e275cf</t>
  </si>
  <si>
    <t>6f886880-311c-11ee-b61f-35cc94e275cf</t>
  </si>
  <si>
    <t>e3154d90-3121-11ee-b61f-35cc94e275cf</t>
  </si>
  <si>
    <t>2a9f9e90-312c-11ee-b61f-35cc94e275cf</t>
  </si>
  <si>
    <t>0f29be80-3176-11ee-abdc-0bdf6745af2f</t>
  </si>
  <si>
    <t>acad9a10-317f-11ee-abdc-0bdf6745af2f</t>
  </si>
  <si>
    <t>ce046fc0-3186-11ee-abdc-0bdf6745af2f</t>
  </si>
  <si>
    <t>ad77df30-3190-11ee-abdc-0bdf6745af2f</t>
  </si>
  <si>
    <t>e34cada0-3197-11ee-abdc-0bdf6745af2f</t>
  </si>
  <si>
    <t>b2e4c800-31ba-11ee-abdc-0bdf6745af2f</t>
  </si>
  <si>
    <t>b6692ea0-31cc-11ee-abdc-0bdf6745af2f</t>
  </si>
  <si>
    <t>2876b4c0-31d4-11ee-abdc-0bdf6745af2f</t>
  </si>
  <si>
    <t>60cd9d60-31df-11ee-abdc-0bdf6745af2f</t>
  </si>
  <si>
    <t>b28832d0-31eb-11ee-abdc-0bdf6745af2f</t>
  </si>
  <si>
    <t>4144f1d0-31f5-11ee-abdc-0bdf6745af2f</t>
  </si>
  <si>
    <t>e77f1c00-3200-11ee-abdc-0bdf6745af2f</t>
  </si>
  <si>
    <t>68ec2af0-3204-11ee-abdc-0bdf6745af2f</t>
  </si>
  <si>
    <t>dea95d80-3209-11ee-abdc-0bdf6745af2f</t>
  </si>
  <si>
    <t>f856e060-3211-11ee-abdc-0bdf6745af2f</t>
  </si>
  <si>
    <t>aff76a70-321a-11ee-abdc-0bdf6745af2f</t>
  </si>
  <si>
    <t>9cb29ee0-3223-11ee-abdc-0bdf6745af2f</t>
  </si>
  <si>
    <t>e38d0f90-3227-11ee-abdc-0bdf6745af2f</t>
  </si>
  <si>
    <t>b5679eb0-3230-11ee-abdc-0bdf6745af2f</t>
  </si>
  <si>
    <t>f06cef60-3244-11ee-abdc-0bdf6745af2f</t>
  </si>
  <si>
    <t>9e8ddf00-3259-11ee-abdc-0bdf6745af2f</t>
  </si>
  <si>
    <t>b36bc350-325f-11ee-abdc-0bdf6745af2f</t>
  </si>
  <si>
    <t>9ee54cd0-3264-11ee-abdc-0bdf6745af2f</t>
  </si>
  <si>
    <t>36d130c0-326c-11ee-abdc-0bdf6745af2f</t>
  </si>
  <si>
    <t>204685d0-3271-11ee-abdc-0bdf6745af2f</t>
  </si>
  <si>
    <t>b98e1ca0-328d-11ee-abdc-0bdf6745af2f</t>
  </si>
  <si>
    <t>84818590-3299-11ee-abdc-0bdf6745af2f</t>
  </si>
  <si>
    <t>d67aaed0-329e-11ee-abdc-0bdf6745af2f</t>
  </si>
  <si>
    <t>5b63f5f0-32d3-11ee-a935-c1317b26aaf9</t>
  </si>
  <si>
    <t>016476b0-32d8-11ee-a935-c1317b26aaf9</t>
  </si>
  <si>
    <t>d89eb4c0-32f5-11ee-a935-c1317b26aaf9</t>
  </si>
  <si>
    <t>9e8c3440-32fc-11ee-a935-c1317b26aaf9</t>
  </si>
  <si>
    <t>66382ca0-3303-11ee-a935-c1317b26aaf9</t>
  </si>
  <si>
    <t>e0ba7340-3306-11ee-a935-c1317b26aaf9</t>
  </si>
  <si>
    <t>b535de40-330a-11ee-a935-c1317b26aaf9</t>
  </si>
  <si>
    <t>9d6824a0-3312-11ee-a935-c1317b26aaf9</t>
  </si>
  <si>
    <t>88947120-331a-11ee-a935-c1317b26aaf9</t>
  </si>
  <si>
    <t>92291b60-3328-11ee-a935-c1317b26aaf9</t>
  </si>
  <si>
    <t>a8cea050-332e-11ee-a935-c1317b26aaf9</t>
  </si>
  <si>
    <t>113af940-334d-11ee-a935-c1317b26aaf9</t>
  </si>
  <si>
    <t>5960ca20-335b-11ee-a935-c1317b26aaf9</t>
  </si>
  <si>
    <t>d3967330-3365-11ee-a935-c1317b26aaf9</t>
  </si>
  <si>
    <t>d4cd12e0-336f-11ee-a935-c1317b26aaf9</t>
  </si>
  <si>
    <t>2f7174f0-337c-11ee-a935-c1317b26aaf9</t>
  </si>
  <si>
    <t>ba115f10-338d-11ee-a935-c1317b26aaf9</t>
  </si>
  <si>
    <t>11205370-339c-11ee-a935-c1317b26aaf9</t>
  </si>
  <si>
    <t>d9237a40-33a7-11ee-a935-c1317b26aaf9</t>
  </si>
  <si>
    <t>c7e64910-33b1-11ee-a935-c1317b26aaf9</t>
  </si>
  <si>
    <t>ae999b20-33ba-11ee-a935-c1317b26aaf9</t>
  </si>
  <si>
    <t>3c73dba0-33bf-11ee-a935-c1317b26aaf9</t>
  </si>
  <si>
    <t>98454c00-33cb-11ee-a935-c1317b26aaf9</t>
  </si>
  <si>
    <t>d05cfe30-33d5-11ee-a935-c1317b26aaf9</t>
  </si>
  <si>
    <t>b0de3220-33f5-11ee-a935-c1317b26aaf9</t>
  </si>
  <si>
    <t>60b61700-33fe-11ee-a935-c1317b26aaf9</t>
  </si>
  <si>
    <t>973e08d0-3405-11ee-a935-c1317b26aaf9</t>
  </si>
  <si>
    <t>a5a67f10-340f-11ee-a935-c1317b26aaf9</t>
  </si>
  <si>
    <t>751c95b0-3436-11ee-a935-c1317b26aaf9</t>
  </si>
  <si>
    <t>8c463ec0-343c-11ee-a935-c1317b26aaf9</t>
  </si>
  <si>
    <t>3d2724a0-3444-11ee-a935-c1317b26aaf9</t>
  </si>
  <si>
    <t>ee316040-3452-11ee-a935-c1317b26aaf9</t>
  </si>
  <si>
    <t>9ac6b690-3456-11ee-a935-c1317b26aaf9</t>
  </si>
  <si>
    <t>c9873120-345c-11ee-a935-c1317b26aaf9</t>
  </si>
  <si>
    <t>d8cdcf30-3462-11ee-a935-c1317b26aaf9</t>
  </si>
  <si>
    <t>be914a60-3468-11ee-a935-c1317b26aaf9</t>
  </si>
  <si>
    <t>eb53fc50-3472-11ee-a935-c1317b26aaf9</t>
  </si>
  <si>
    <t>7f7a8c20-3480-11ee-a935-c1317b26aaf9</t>
  </si>
  <si>
    <t>03d9d800-348f-11ee-a935-c1317b26aaf9</t>
  </si>
  <si>
    <t>dfcf7c40-34a1-11ee-a935-c1317b26aaf9</t>
  </si>
  <si>
    <t>a4359fd0-34a5-11ee-a935-c1317b26aaf9</t>
  </si>
  <si>
    <t>7e6c2560-34ac-11ee-a935-c1317b26aaf9</t>
  </si>
  <si>
    <t>d3fdb7a0-34b1-11ee-a935-c1317b26aaf9</t>
  </si>
  <si>
    <t>487f7210-34b9-11ee-a935-c1317b26aaf9</t>
  </si>
  <si>
    <t>22ae6ba0-34c2-11ee-a935-c1317b26aaf9</t>
  </si>
  <si>
    <t>0adef590-34d0-11ee-a935-c1317b26aaf9</t>
  </si>
  <si>
    <t>15568d20-34db-11ee-a935-c1317b26aaf9</t>
  </si>
  <si>
    <t>9cbaf1f0-3505-11ee-a935-c1317b26aaf9</t>
  </si>
  <si>
    <t>dac1b940-350d-11ee-a935-c1317b26aaf9</t>
  </si>
  <si>
    <t>0a021cc0-3515-11ee-a935-c1317b26aaf9</t>
  </si>
  <si>
    <t>7e27fec0-3520-11ee-a935-c1317b26aaf9</t>
  </si>
  <si>
    <t>85eb16f0-3526-11ee-a935-c1317b26aaf9</t>
  </si>
  <si>
    <t>3706c140-3541-11ee-a935-c1317b26aaf9</t>
  </si>
  <si>
    <t>2ff15290-3559-11ee-a935-c1317b26aaf9</t>
  </si>
  <si>
    <t>3b493c30-355d-11ee-a935-c1317b26aaf9</t>
  </si>
  <si>
    <t>920b0580-356c-11ee-a935-c1317b26aaf9</t>
  </si>
  <si>
    <t>22346c80-3579-11ee-a935-c1317b26aaf9</t>
  </si>
  <si>
    <t>77e0c7d0-3580-11ee-a935-c1317b26aaf9</t>
  </si>
  <si>
    <t>ccd2acc0-3587-11ee-a935-c1317b26aaf9</t>
  </si>
  <si>
    <t>fe7de0a0-358c-11ee-a935-c1317b26aaf9</t>
  </si>
  <si>
    <t>1c1d4910-3593-11ee-a935-c1317b26aaf9</t>
  </si>
  <si>
    <t>fe4e7d20-3595-11ee-a935-c1317b26aaf9</t>
  </si>
  <si>
    <t>cbf8cce0-359a-11ee-a935-c1317b26aaf9</t>
  </si>
  <si>
    <t>e5a03210-359e-11ee-a935-c1317b26aaf9</t>
  </si>
  <si>
    <t>75e29f50-35ab-11ee-a935-c1317b26aaf9</t>
  </si>
  <si>
    <t>bcd3afd0-35b0-11ee-a935-c1317b26aaf9</t>
  </si>
  <si>
    <t>77629980-35b4-11ee-a935-c1317b26aaf9</t>
  </si>
  <si>
    <t>eeee0520-35f5-11ee-b719-3513ceefcc52</t>
  </si>
  <si>
    <t>406ba7b0-35f9-11ee-b719-3513ceefcc52</t>
  </si>
  <si>
    <t>6fb2ba90-3603-11ee-b719-3513ceefcc52</t>
  </si>
  <si>
    <t>80f421c0-360a-11ee-b719-3513ceefcc52</t>
  </si>
  <si>
    <t>5f4deb30-3611-11ee-b719-3513ceefcc52</t>
  </si>
  <si>
    <t>64649d80-3616-11ee-b719-3513ceefcc52</t>
  </si>
  <si>
    <t>109f6900-3620-11ee-b719-3513ceefcc52</t>
  </si>
  <si>
    <t>b14e8620-3624-11ee-b719-3513ceefcc52</t>
  </si>
  <si>
    <t>fb8b93b0-3631-11ee-b719-3513ceefcc52</t>
  </si>
  <si>
    <t>03ec5d60-3636-11ee-b719-3513ceefcc52</t>
  </si>
  <si>
    <t>a4de1a10-3640-11ee-b719-3513ceefcc52</t>
  </si>
  <si>
    <t>0ff21130-3650-11ee-b719-3513ceefcc52</t>
  </si>
  <si>
    <t>55ac3610-365a-11ee-b719-3513ceefcc52</t>
  </si>
  <si>
    <t>7c2425b0-3663-11ee-b719-3513ceefcc52</t>
  </si>
  <si>
    <t>4d686b70-3670-11ee-b719-3513ceefcc52</t>
  </si>
  <si>
    <t>f616fb90-367c-11ee-b719-3513ceefcc52</t>
  </si>
  <si>
    <t>a9465690-368a-11ee-b719-3513ceefcc52</t>
  </si>
  <si>
    <t>705a66a0-368f-11ee-b719-3513ceefcc52</t>
  </si>
  <si>
    <t>08f11410-3698-11ee-b719-3513ceefcc52</t>
  </si>
  <si>
    <t>9f3741d0-36a0-11ee-b719-3513ceefcc52</t>
  </si>
  <si>
    <t>e515e600-36a7-11ee-b719-3513ceefcc52</t>
  </si>
  <si>
    <t>c3e6bb90-36ab-11ee-b719-3513ceefcc52</t>
  </si>
  <si>
    <t>d01e6bf0-36b1-11ee-b719-3513ceefcc52</t>
  </si>
  <si>
    <t>2219ece0-36bc-11ee-b719-3513ceefcc52</t>
  </si>
  <si>
    <t>beb69990-36c1-11ee-b719-3513ceefcc52</t>
  </si>
  <si>
    <t>18051750-36c8-11ee-b719-3513ceefcc52</t>
  </si>
  <si>
    <t>649fe4a0-36cd-11ee-b719-3513ceefcc52</t>
  </si>
  <si>
    <t>b86171d0-36d2-11ee-b719-3513ceefcc52</t>
  </si>
  <si>
    <t>a723c840-36d8-11ee-b719-3513ceefcc52</t>
  </si>
  <si>
    <t>00e2f740-36e1-11ee-b719-3513ceefcc52</t>
  </si>
  <si>
    <t>a7c7f250-36ea-11ee-b719-3513ceefcc52</t>
  </si>
  <si>
    <t>f8365250-36ee-11ee-b719-3513ceefcc52</t>
  </si>
  <si>
    <t>d2b9a2e0-36f6-11ee-b719-3513ceefcc52</t>
  </si>
  <si>
    <t>4f9b8790-36fe-11ee-b719-3513ceefcc52</t>
  </si>
  <si>
    <t>7e6d8a20-370b-11ee-b719-3513ceefcc52</t>
  </si>
  <si>
    <t>09a48fb0-3713-11ee-b719-3513ceefcc52</t>
  </si>
  <si>
    <t>a81da810-3719-11ee-b719-3513ceefcc52</t>
  </si>
  <si>
    <t>581405e0-372c-11ee-b719-3513ceefcc52</t>
  </si>
  <si>
    <t>543bd3c0-3737-11ee-b719-3513ceefcc52</t>
  </si>
  <si>
    <t>2068b5d0-373d-11ee-b719-3513ceefcc52</t>
  </si>
  <si>
    <t>e73458f0-3746-11ee-b719-3513ceefcc52</t>
  </si>
  <si>
    <t>d9cbb390-3749-11ee-b719-3513ceefcc52</t>
  </si>
  <si>
    <t>4baf6000-3750-11ee-b719-3513ceefcc52</t>
  </si>
  <si>
    <t>45222430-3754-11ee-b719-3513ceefcc52</t>
  </si>
  <si>
    <t>8dd636e0-3758-11ee-b719-3513ceefcc52</t>
  </si>
  <si>
    <t>aeb24830-3768-11ee-b719-3513ceefcc52</t>
  </si>
  <si>
    <t>00807030-3776-11ee-b719-3513ceefcc52</t>
  </si>
  <si>
    <t>f7d7cfa0-3793-11ee-b719-3513ceefcc52</t>
  </si>
  <si>
    <t>94ecbcc0-379d-11ee-b719-3513ceefcc52</t>
  </si>
  <si>
    <t>4f859c10-37a2-11ee-b719-3513ceefcc52</t>
  </si>
  <si>
    <t>434968c0-37a5-11ee-b719-3513ceefcc52</t>
  </si>
  <si>
    <t>688dde40-37aa-11ee-b719-3513ceefcc52</t>
  </si>
  <si>
    <t>b3183ac0-37b2-11ee-b719-3513ceefcc52</t>
  </si>
  <si>
    <t>08130e70-37bc-11ee-b719-3513ceefcc52</t>
  </si>
  <si>
    <t>f3d360c0-37c7-11ee-b719-3513ceefcc52</t>
  </si>
  <si>
    <t>6304a1f0-37cf-11ee-b719-3513ceefcc52</t>
  </si>
  <si>
    <t>03f733e0-37d8-11ee-b719-3513ceefcc52</t>
  </si>
  <si>
    <t>b59f0be0-37e2-11ee-b719-3513ceefcc52</t>
  </si>
  <si>
    <t>fbf76960-37e8-11ee-b719-3513ceefcc52</t>
  </si>
  <si>
    <t>28127860-37ed-11ee-b719-3513ceefcc52</t>
  </si>
  <si>
    <t>a9240ef0-37f2-11ee-b719-3513ceefcc52</t>
  </si>
  <si>
    <t>b64b6490-37fa-11ee-b719-3513ceefcc52</t>
  </si>
  <si>
    <t>52276b40-37fe-11ee-b719-3513ceefcc52</t>
  </si>
  <si>
    <t>f06cd730-3809-11ee-b719-3513ceefcc52</t>
  </si>
  <si>
    <t>3e3adf40-380d-11ee-b719-3513ceefcc52</t>
  </si>
  <si>
    <t>4057dcc0-3816-11ee-b719-3513ceefcc52</t>
  </si>
  <si>
    <t>3b922410-3826-11ee-b719-3513ceefcc52</t>
  </si>
  <si>
    <t>b83ca0e0-3834-11ee-b719-3513ceefcc52</t>
  </si>
  <si>
    <t>770f1e50-3851-11ee-b719-3513ceefcc52</t>
  </si>
  <si>
    <t>3ff49630-385a-11ee-b719-3513ceefcc52</t>
  </si>
  <si>
    <t>7ab59240-386b-11ee-b719-3513ceefcc52</t>
  </si>
  <si>
    <t>88b88560-3874-11ee-b719-3513ceefcc52</t>
  </si>
  <si>
    <t>21f25a30-3889-11ee-b719-3513ceefcc52</t>
  </si>
  <si>
    <t>9e968050-3895-11ee-b719-3513ceefcc52</t>
  </si>
  <si>
    <t>ede87d60-38a5-11ee-b719-3513ceefcc52</t>
  </si>
  <si>
    <t>61825360-38ae-11ee-b719-3513ceefcc52</t>
  </si>
  <si>
    <t>85a54160-38b5-11ee-b719-3513ceefcc52</t>
  </si>
  <si>
    <t>84cde7a0-38ca-11ee-b719-3513ceefcc52</t>
  </si>
  <si>
    <t>1e01ce30-38cd-11ee-b719-3513ceefcc52</t>
  </si>
  <si>
    <t>be5a78d0-38cf-11ee-b719-3513ceefcc52</t>
  </si>
  <si>
    <t>a3d76a90-38d4-11ee-b719-3513ceefcc52</t>
  </si>
  <si>
    <t>6d011ec0-38da-11ee-b719-3513ceefcc52</t>
  </si>
  <si>
    <t>06b57ff0-38dd-11ee-b719-3513ceefcc52</t>
  </si>
  <si>
    <t>8063f470-38e3-11ee-b719-3513ceefcc52</t>
  </si>
  <si>
    <t>831da3f0-38e8-11ee-b719-3513ceefcc52</t>
  </si>
  <si>
    <t>d2ada750-38eb-11ee-b719-3513ceefcc52</t>
  </si>
  <si>
    <t>5b28ddb0-38f2-11ee-b719-3513ceefcc52</t>
  </si>
  <si>
    <t>75ade6c0-38f8-11ee-b719-3513ceefcc52</t>
  </si>
  <si>
    <t>04328d80-38fc-11ee-b719-3513ceefcc52</t>
  </si>
  <si>
    <t>419fa9b0-3900-11ee-b719-3513ceefcc52</t>
  </si>
  <si>
    <t>cc300bd0-3903-11ee-b719-3513ceefcc52</t>
  </si>
  <si>
    <t>406e8310-3908-11ee-b719-3513ceefcc52</t>
  </si>
  <si>
    <t>7917ae90-390c-11ee-b719-3513ceefcc52</t>
  </si>
  <si>
    <t>9e9fb230-3910-11ee-b719-3513ceefcc52</t>
  </si>
  <si>
    <t>104c8210-3915-11ee-b719-3513ceefcc52</t>
  </si>
  <si>
    <t>fbea6e60-3917-11ee-b719-3513ceefcc52</t>
  </si>
  <si>
    <t>9276e630-391b-11ee-b719-3513ceefcc52</t>
  </si>
  <si>
    <t>c5631070-391e-11ee-b719-3513ceefcc52</t>
  </si>
  <si>
    <t>dec057d0-3923-11ee-b719-3513ceefcc52</t>
  </si>
  <si>
    <t>e506fea0-3928-11ee-b719-3513ceefcc52</t>
  </si>
  <si>
    <t>8c3c9ca0-3930-11ee-b719-3513ceefcc52</t>
  </si>
  <si>
    <t>bb513c90-3934-11ee-b719-3513ceefcc52</t>
  </si>
  <si>
    <t>f4903f70-3938-11ee-b719-3513ceefcc52</t>
  </si>
  <si>
    <t>5e1c5f10-393d-11ee-b719-3513ceefcc52</t>
  </si>
  <si>
    <t>18f9b6e0-3941-11ee-b719-3513ceefcc52</t>
  </si>
  <si>
    <t>ce2d0e50-3945-11ee-b719-3513ceefcc52</t>
  </si>
  <si>
    <t>a0d29920-394f-11ee-b719-3513ceefcc52</t>
  </si>
  <si>
    <t>31755300-3955-11ee-b719-3513ceefcc52</t>
  </si>
  <si>
    <t>03e42fb0-395a-11ee-b719-3513ceefcc52</t>
  </si>
  <si>
    <t>e61e3600-395f-11ee-b719-3513ceefcc52</t>
  </si>
  <si>
    <t>27189ad0-3968-11ee-b719-3513ceefcc52</t>
  </si>
  <si>
    <t>c2a97240-396c-11ee-b719-3513ceefcc52</t>
  </si>
  <si>
    <t>b0cd65d0-3972-11ee-b719-3513ceefcc52</t>
  </si>
  <si>
    <t>fab3b6f0-3976-11ee-b719-3513ceefcc52</t>
  </si>
  <si>
    <t>2ede57d0-397e-11ee-b719-3513ceefcc52</t>
  </si>
  <si>
    <t>a537e2b0-3989-11ee-b719-3513ceefcc52</t>
  </si>
  <si>
    <t>9fdb1090-398d-11ee-b719-3513ceefcc52</t>
  </si>
  <si>
    <t>f5acae80-3991-11ee-b719-3513ceefcc52</t>
  </si>
  <si>
    <t>fa0e9d80-399b-11ee-b719-3513ceefcc52</t>
  </si>
  <si>
    <t>f1509ad0-39a6-11ee-b719-3513ceefcc52</t>
  </si>
  <si>
    <t>9111b1a0-39af-11ee-b719-3513ceefcc52</t>
  </si>
  <si>
    <t>52f9ec50-473a-11ee-87d3-c7c2f7eb1d60</t>
  </si>
  <si>
    <t>6bc39780-4745-11ee-87d3-c7c2f7eb1d60</t>
  </si>
  <si>
    <t>c575fca0-474a-11ee-87d3-c7c2f7eb1d60</t>
  </si>
  <si>
    <t>15f66130-4753-11ee-87d3-c7c2f7eb1d60</t>
  </si>
  <si>
    <t>0cbbdb80-475e-11ee-87d3-c7c2f7eb1d60</t>
  </si>
  <si>
    <t>9a06ad40-4762-11ee-87d3-c7c2f7eb1d60</t>
  </si>
  <si>
    <t>b05ecaf0-4767-11ee-87d3-c7c2f7eb1d60</t>
  </si>
  <si>
    <t>430515a0-4770-11ee-87d3-c7c2f7eb1d60</t>
  </si>
  <si>
    <t>dea18900-4778-11ee-87d3-c7c2f7eb1d60</t>
  </si>
  <si>
    <t>0fc64ed0-477e-11ee-87d3-c7c2f7eb1d60</t>
  </si>
  <si>
    <t>21e1b7c0-4784-11ee-87d3-c7c2f7eb1d60</t>
  </si>
  <si>
    <t>247a5aa0-479d-11ee-87d3-c7c2f7eb1d60</t>
  </si>
  <si>
    <t>69561fb0-47a2-11ee-87d3-c7c2f7eb1d60</t>
  </si>
  <si>
    <t>ed10d2b0-47a6-11ee-87d3-c7c2f7eb1d60</t>
  </si>
  <si>
    <t>f0bd3f40-47ae-11ee-87d3-c7c2f7eb1d60</t>
  </si>
  <si>
    <t>9a3b97f0-47ba-11ee-87d3-c7c2f7eb1d60</t>
  </si>
  <si>
    <t>f52559b0-47c1-11ee-87d3-c7c2f7eb1d60</t>
  </si>
  <si>
    <t>bbae9210-47ca-11ee-87d3-c7c2f7eb1d60</t>
  </si>
  <si>
    <t>67103870-47d0-11ee-87d3-c7c2f7eb1d60</t>
  </si>
  <si>
    <t>5a0051b0-47e4-11ee-87d3-c7c2f7eb1d60</t>
  </si>
  <si>
    <t>1bbf30c0-47ed-11ee-87d3-c7c2f7eb1d60</t>
  </si>
  <si>
    <t>38aa0bb0-47f2-11ee-87d3-c7c2f7eb1d60</t>
  </si>
  <si>
    <t>96d8c6a0-47f6-11ee-87d3-c7c2f7eb1d60</t>
  </si>
  <si>
    <t>92a42e90-47ff-11ee-87d3-c7c2f7eb1d60</t>
  </si>
  <si>
    <t>e5496ef0-4807-11ee-87d3-c7c2f7eb1d60</t>
  </si>
  <si>
    <t>f517e860-4812-11ee-87d3-c7c2f7eb1d60</t>
  </si>
  <si>
    <t>9403da40-482e-11ee-87d3-c7c2f7eb1d60</t>
  </si>
  <si>
    <t>2745efc0-4837-11ee-87d3-c7c2f7eb1d60</t>
  </si>
  <si>
    <t>c83881b0-483f-11ee-87d3-c7c2f7eb1d60</t>
  </si>
  <si>
    <t>224326b0-484a-11ee-87d3-c7c2f7eb1d60</t>
  </si>
  <si>
    <t>b3651720-4859-11ee-87d3-c7c2f7eb1d60</t>
  </si>
  <si>
    <t>ba9b70f0-4865-11ee-87d3-c7c2f7eb1d60</t>
  </si>
  <si>
    <t>6697ec30-4875-11ee-87d3-c7c2f7eb1d60</t>
  </si>
  <si>
    <t>5506e7f0-487a-11ee-87d3-c7c2f7eb1d60</t>
  </si>
  <si>
    <t>395520e0-4883-11ee-87d3-c7c2f7eb1d60</t>
  </si>
  <si>
    <t>0e181760-48e3-11ee-84ef-b7cc11c352dc</t>
  </si>
  <si>
    <t>e810acc0-48ed-11ee-84ef-b7cc11c352dc</t>
  </si>
  <si>
    <t>08ea8a40-48f5-11ee-84ef-b7cc11c352dc</t>
  </si>
  <si>
    <t>f7556fe0-4910-11ee-84ef-b7cc11c352dc</t>
  </si>
  <si>
    <t>de05b180-4915-11ee-84ef-b7cc11c352dc</t>
  </si>
  <si>
    <t>32d8f4a0-494e-11ee-84ef-b7cc11c352dc</t>
  </si>
  <si>
    <t>bb129050-4963-11ee-84ef-b7cc11c352dc</t>
  </si>
  <si>
    <t>e225ab50-4968-11ee-84ef-b7cc11c352dc</t>
  </si>
  <si>
    <t>ee7d9110-4972-11ee-84ef-b7cc11c352dc</t>
  </si>
  <si>
    <t>bddf7280-4990-11ee-84ef-b7cc11c352dc</t>
  </si>
  <si>
    <t>06a1ce50-499b-11ee-84ef-b7cc11c352dc</t>
  </si>
  <si>
    <t>c6ec7430-49b4-11ee-84ef-b7cc11c352dc</t>
  </si>
  <si>
    <t>bf7beb00-49bd-11ee-84ef-b7cc11c352dc</t>
  </si>
  <si>
    <t>a97a3010-49cb-11ee-84ef-b7cc11c352dc</t>
  </si>
  <si>
    <t>ac82d3d0-49d9-11ee-84ef-b7cc11c352dc</t>
  </si>
  <si>
    <t>3900f1d0-4a01-11ee-84ef-b7cc11c352dc</t>
  </si>
  <si>
    <t>77e9ddf0-4a18-11ee-84ef-b7cc11c352dc</t>
  </si>
  <si>
    <t>ee822e40-4a1d-11ee-84ef-b7cc11c352dc</t>
  </si>
  <si>
    <t>96d66d90-4a23-11ee-84ef-b7cc11c352dc</t>
  </si>
  <si>
    <t>53a2c320-4a32-11ee-84ef-b7cc11c352dc</t>
  </si>
  <si>
    <t>fbd5a9e0-4a5a-11ee-84ef-b7cc11c352dc</t>
  </si>
  <si>
    <t>f7edcd40-4a9a-11ee-84ef-b7cc11c352dc</t>
  </si>
  <si>
    <t>4ea00c90-4ab2-11ee-84ef-b7cc11c352dc</t>
  </si>
  <si>
    <t>780aaf50-4abb-11ee-84ef-b7cc11c352dc</t>
  </si>
  <si>
    <t>9f316bd0-4ae0-11ee-84ef-b7cc11c352dc</t>
  </si>
  <si>
    <t>e7eebb60-4ae6-11ee-84ef-b7cc11c352dc</t>
  </si>
  <si>
    <t>9fdac2d0-4aee-11ee-84ef-b7cc11c352dc</t>
  </si>
  <si>
    <t>036b5f50-4af7-11ee-84ef-b7cc11c352dc</t>
  </si>
  <si>
    <t>ec27cf30-4afc-11ee-84ef-b7cc11c352dc</t>
  </si>
  <si>
    <t>1cd81790-4b1e-11ee-84ef-b7cc11c352dc</t>
  </si>
  <si>
    <t>b3bf5cf0-4b4a-11ee-84ef-b7cc11c352dc</t>
  </si>
  <si>
    <t>e8e389f0-4b5a-11ee-84ef-b7cc11c352dc</t>
  </si>
  <si>
    <t>31e2ab30-4b66-11ee-84ef-b7cc11c352dc</t>
  </si>
  <si>
    <t>7b0b7f40-4b97-11ee-84ef-b7cc11c352dc</t>
  </si>
  <si>
    <t>de95b450-4bb9-11ee-84ef-b7cc11c352dc</t>
  </si>
  <si>
    <t>551df7b0-4bc2-11ee-84ef-b7cc11c352dc</t>
  </si>
  <si>
    <t>2cc0ba60-4bc6-11ee-84ef-b7cc11c352dc</t>
  </si>
  <si>
    <t>d311f330-4bca-11ee-84ef-b7cc11c352dc</t>
  </si>
  <si>
    <t>4622bfe0-4bcf-11ee-84ef-b7cc11c352dc</t>
  </si>
  <si>
    <t>b8fa0630-4bf8-11ee-84ef-b7cc11c352dc</t>
  </si>
  <si>
    <t>996ece20-4c04-11ee-84ef-b7cc11c352dc</t>
  </si>
  <si>
    <t>35e7f070-4c0e-11ee-84ef-b7cc11c352dc</t>
  </si>
  <si>
    <t>f084f1a0-4c16-11ee-84ef-b7cc11c352dc</t>
  </si>
  <si>
    <t>56be0480-4cb1-11ee-a7fd-716932918d82</t>
  </si>
  <si>
    <t>b5530d40-4cb3-11ee-a7fd-716932918d82</t>
  </si>
  <si>
    <t>8e5af580-4cc8-11ee-a7fd-716932918d82</t>
  </si>
  <si>
    <t>9e5857a0-4d56-11ee-9b66-a57ad943e345</t>
  </si>
  <si>
    <t>e665bb50-4d60-11ee-9b66-a57ad943e345</t>
  </si>
  <si>
    <t>3408a3a0-4d83-11ee-aebc-6d161353a521</t>
  </si>
  <si>
    <t>f582f4d0-4e29-11ee-8683-ade62edf531c</t>
  </si>
  <si>
    <t>ea905850-5078-11ee-860b-375fd5ddbac6</t>
  </si>
  <si>
    <t>e94afeb0-5086-11ee-860b-375fd5ddbac6</t>
  </si>
  <si>
    <t>fbd49f80-509c-11ee-860b-375fd5ddbac6</t>
  </si>
  <si>
    <t>a4335100-50a0-11ee-860b-375fd5ddbac6</t>
  </si>
  <si>
    <t>157d46c0-50ad-11ee-860b-375fd5ddbac6</t>
  </si>
  <si>
    <t>3fd26600-50b5-11ee-860b-375fd5ddbac6</t>
  </si>
  <si>
    <t>89c2e780-5141-11ee-b8ec-63ea66ec8889</t>
  </si>
  <si>
    <t>d4e0ad90-514d-11ee-b8ec-63ea66ec8889</t>
  </si>
  <si>
    <t>3d7be810-5153-11ee-b8ec-63ea66ec8889</t>
  </si>
  <si>
    <t>f268e050-515a-11ee-b8ec-63ea66ec8889</t>
  </si>
  <si>
    <t>39a729a0-5164-11ee-b8ec-63ea66ec8889</t>
  </si>
  <si>
    <t>88f3c920-516c-11ee-b8ec-63ea66ec8889</t>
  </si>
  <si>
    <t>72efabf0-5174-11ee-b8ec-63ea66ec8889</t>
  </si>
  <si>
    <t>f1ec01a0-517a-11ee-b8ec-63ea66ec8889</t>
  </si>
  <si>
    <t>4cd4c710-5184-11ee-b8ec-63ea66ec8889</t>
  </si>
  <si>
    <t>b6d18250-52c6-11ee-9095-692aaff42064</t>
  </si>
  <si>
    <t>5d8038e0-52d5-11ee-9095-692aaff42064</t>
  </si>
  <si>
    <t>f73f7910-52e3-11ee-b66f-e57219de0ee4</t>
  </si>
  <si>
    <t>3cfa47f0-52f3-11ee-b66f-e57219de0ee4</t>
  </si>
  <si>
    <t>17764250-52f7-11ee-b66f-e57219de0ee4</t>
  </si>
  <si>
    <t>9544a5b0-5305-11ee-b66f-e57219de0ee4</t>
  </si>
  <si>
    <t>300ba930-5325-11ee-b66f-e57219de0ee4</t>
  </si>
  <si>
    <t>571aa050-533c-11ee-b66f-e57219de0ee4</t>
  </si>
  <si>
    <t>006e6ac0-5341-11ee-b66f-e57219de0ee4</t>
  </si>
  <si>
    <t>dc6576f0-5345-11ee-b66f-e57219de0ee4</t>
  </si>
  <si>
    <t>e2089fe0-534c-11ee-b66f-e57219de0ee4</t>
  </si>
  <si>
    <t>9616a270-5357-11ee-b66f-e57219de0ee4</t>
  </si>
  <si>
    <t>9bbf0d70-535c-11ee-b66f-e57219de0ee4</t>
  </si>
  <si>
    <t>bef3ae60-5364-11ee-b66f-e57219de0ee4</t>
  </si>
  <si>
    <t>ac74fc80-536e-11ee-b66f-e57219de0ee4</t>
  </si>
  <si>
    <t>56665e20-5381-11ee-b66f-e57219de0ee4</t>
  </si>
  <si>
    <t>0b5b6780-539b-11ee-b66f-e57219de0ee4</t>
  </si>
  <si>
    <t>5c2351d0-53a2-11ee-b66f-e57219de0ee4</t>
  </si>
  <si>
    <t>4cb688f0-53ae-11ee-b66f-e57219de0ee4</t>
  </si>
  <si>
    <t>6d37c580-53bd-11ee-b66f-e57219de0ee4</t>
  </si>
  <si>
    <t>53cea0d0-53c4-11ee-b66f-e57219de0ee4</t>
  </si>
  <si>
    <t>337770c0-53d1-11ee-b66f-e57219de0ee4</t>
  </si>
  <si>
    <t>ce204ea0-53d4-11ee-b66f-e57219de0ee4</t>
  </si>
  <si>
    <t>47250080-53d9-11ee-b66f-e57219de0ee4</t>
  </si>
  <si>
    <t>3fbec5a0-53e4-11ee-b66f-e57219de0ee4</t>
  </si>
  <si>
    <t>92504c60-53eb-11ee-b66f-e57219de0ee4</t>
  </si>
  <si>
    <t>5f184b10-53f3-11ee-b66f-e57219de0ee4</t>
  </si>
  <si>
    <t>b82de5e0-53f6-11ee-b66f-e57219de0ee4</t>
  </si>
  <si>
    <t>ea4f9990-540c-11ee-b66f-e57219de0ee4</t>
  </si>
  <si>
    <t>e686bcd0-542f-11ee-b66f-e57219de0ee4</t>
  </si>
  <si>
    <t>7bf6e4d0-5457-11ee-b66f-e57219de0ee4</t>
  </si>
  <si>
    <t>15c10f90-5468-11ee-b66f-e57219de0ee4</t>
  </si>
  <si>
    <t>f75cb630-5471-11ee-b66f-e57219de0ee4</t>
  </si>
  <si>
    <t>40b410f0-547a-11ee-b66f-e57219de0ee4</t>
  </si>
  <si>
    <t>7148e0e0-5481-11ee-b66f-e57219de0ee4</t>
  </si>
  <si>
    <t>3cea00e0-548b-11ee-b66f-e57219de0ee4</t>
  </si>
  <si>
    <t>cb5c29b0-5491-11ee-b66f-e57219de0ee4</t>
  </si>
  <si>
    <t>d288ad90-549f-11ee-b66f-e57219de0ee4</t>
  </si>
  <si>
    <t>f8699f40-54a6-11ee-b66f-e57219de0ee4</t>
  </si>
  <si>
    <t>3c144c70-54ae-11ee-b66f-e57219de0ee4</t>
  </si>
  <si>
    <t>0cbcd620-54b5-11ee-b66f-e57219de0ee4</t>
  </si>
  <si>
    <t>ef3d3010-54c1-11ee-b66f-e57219de0ee4</t>
  </si>
  <si>
    <t>37feefa0-54cc-11ee-b66f-e57219de0ee4</t>
  </si>
  <si>
    <t>6edbfdf0-54e1-11ee-b66f-e57219de0ee4</t>
  </si>
  <si>
    <t>b4bac600-54e4-11ee-b66f-e57219de0ee4</t>
  </si>
  <si>
    <t>fd4a5530-54f2-11ee-b66f-e57219de0ee4</t>
  </si>
  <si>
    <t>1db27000-54f8-11ee-b66f-e57219de0ee4</t>
  </si>
  <si>
    <t>c1a798f0-5513-11ee-b66f-e57219de0ee4</t>
  </si>
  <si>
    <t>8e82ee00-551a-11ee-b66f-e57219de0ee4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</si>
</sst>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1" xfId="0" applyFill="1" applyBorder="1"/>
    <xf numFmtId="0" fontId="0" fillId="0" borderId="1" xfId="0" applyBorder="1"/>
    <xf numFmtId="10" fontId="0" fillId="0" borderId="0" xfId="0" applyNumberFormat="1"/>
    <xf numFmtId="0" fontId="1" fillId="0" borderId="2" xfId="0" applyFont="1" applyBorder="1"/>
    <xf numFmtId="0" fontId="1" fillId="0" borderId="5" xfId="0" applyFont="1" applyBorder="1"/>
    <xf numFmtId="2" fontId="1" fillId="0" borderId="6" xfId="0" applyNumberFormat="1" applyFont="1" applyBorder="1"/>
    <xf numFmtId="1" fontId="0" fillId="0" borderId="0" xfId="0" applyNumberFormat="1"/>
    <xf numFmtId="0" fontId="2" fillId="2" borderId="7" xfId="0" applyFont="1" applyFill="1" applyBorder="1"/>
    <xf numFmtId="10" fontId="2" fillId="2" borderId="7" xfId="0" applyNumberFormat="1" applyFont="1" applyFill="1" applyBorder="1"/>
    <xf numFmtId="0" fontId="0" fillId="0" borderId="8" xfId="0" applyBorder="1"/>
    <xf numFmtId="0" fontId="0" fillId="3" borderId="8" xfId="0" applyFill="1" applyBorder="1"/>
    <xf numFmtId="10" fontId="0" fillId="0" borderId="1" xfId="0" applyNumberFormat="1" applyBorder="1"/>
    <xf numFmtId="10" fontId="0" fillId="0" borderId="8" xfId="0" applyNumberFormat="1" applyBorder="1"/>
    <xf numFmtId="10" fontId="0" fillId="3" borderId="1" xfId="0" applyNumberFormat="1" applyFill="1" applyBorder="1"/>
    <xf numFmtId="10" fontId="0" fillId="3" borderId="8" xfId="0" applyNumberFormat="1" applyFill="1" applyBorder="1"/>
    <xf numFmtId="10" fontId="0" fillId="4" borderId="0" xfId="0" applyNumberFormat="1" applyFill="1"/>
    <xf numFmtId="0" fontId="0" fillId="0" borderId="9" xfId="0" applyBorder="1"/>
    <xf numFmtId="0" fontId="0" fillId="0" borderId="10" xfId="0" applyBorder="1"/>
    <xf numFmtId="0" fontId="2" fillId="2" borderId="11" xfId="0" applyFont="1" applyFill="1" applyBorder="1"/>
    <xf numFmtId="0" fontId="0" fillId="0" borderId="12" xfId="0" applyBorder="1"/>
    <xf numFmtId="0" fontId="0" fillId="0" borderId="13" xfId="0" applyBorder="1"/>
    <xf numFmtId="0" fontId="0" fillId="3" borderId="12" xfId="0" applyFill="1" applyBorder="1"/>
    <xf numFmtId="0" fontId="0" fillId="3" borderId="13" xfId="0" applyFill="1" applyBorder="1"/>
    <xf numFmtId="0" fontId="0" fillId="0" borderId="14" xfId="0" applyBorder="1"/>
    <xf numFmtId="0" fontId="0" fillId="0" borderId="15" xfId="0" applyBorder="1"/>
    <xf numFmtId="10" fontId="0" fillId="0" borderId="15" xfId="0" applyNumberFormat="1" applyBorder="1"/>
    <xf numFmtId="0" fontId="0" fillId="0" borderId="16" xfId="0" applyBorder="1"/>
    <xf numFmtId="0" fontId="0" fillId="0" borderId="6" xfId="0" applyBorder="1"/>
    <xf numFmtId="0" fontId="1" fillId="0" borderId="0" xfId="0" applyFont="1"/>
    <xf numFmtId="1" fontId="1" fillId="0" borderId="4" xfId="0" applyNumberFormat="1" applyFont="1" applyBorder="1"/>
    <xf numFmtId="1" fontId="1" fillId="0" borderId="6" xfId="0" applyNumberFormat="1" applyFont="1" applyBorder="1"/>
    <xf numFmtId="0" fontId="2" fillId="2" borderId="1" xfId="0" applyFont="1" applyFill="1" applyBorder="1"/>
    <xf numFmtId="2" fontId="0" fillId="0" borderId="0" xfId="0" applyNumberFormat="1"/>
    <xf numFmtId="0" fontId="2" fillId="2" borderId="0" xfId="0" applyFont="1" applyFill="1"/>
    <xf numFmtId="10" fontId="1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20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rgb="FF9BC2E6"/>
        </top>
      </border>
    </dxf>
    <dxf>
      <border outline="0"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font>
        <b/>
        <charset val="204"/>
      </font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cenario0" displayName="Scenario0" ref="A1:AJ379" totalsRowShown="0">
  <autoFilter ref="A1:AJ379" xr:uid="{00000000-0009-0000-0100-000001000000}"/>
  <tableColumns count="36">
    <tableColumn id="1" xr3:uid="{00000000-0010-0000-0000-000001000000}" name="battle" dataDxfId="2041"/>
    <tableColumn id="2" xr3:uid="{EC22C882-CCA9-4A5D-A1B2-DC7B6299BB2E}" name="setup"/>
    <tableColumn id="3" xr3:uid="{00000000-0010-0000-0000-000003000000}" name="winner1"/>
    <tableColumn id="4" xr3:uid="{00000000-0010-0000-0000-000004000000}" name="winner1-pw"/>
    <tableColumn id="5" xr3:uid="{00000000-0010-0000-0000-000005000000}" name="winner1-sw"/>
    <tableColumn id="6" xr3:uid="{00000000-0010-0000-0000-000006000000}" name="winner1-cp"/>
    <tableColumn id="7" xr3:uid="{00000000-0010-0000-0000-000007000000}" name="winner1-ability1"/>
    <tableColumn id="8" xr3:uid="{00000000-0010-0000-0000-000008000000}" name="winner1-ability2"/>
    <tableColumn id="9" xr3:uid="{00000000-0010-0000-0000-000009000000}" name="winner1-ability3"/>
    <tableColumn id="10" xr3:uid="{00000000-0010-0000-0000-00000A000000}" name="winner1-ability4"/>
    <tableColumn id="11" xr3:uid="{00000000-0010-0000-0000-00000B000000}" name="winner2"/>
    <tableColumn id="12" xr3:uid="{00000000-0010-0000-0000-00000C000000}" name="winner2-pw"/>
    <tableColumn id="13" xr3:uid="{00000000-0010-0000-0000-00000D000000}" name="winner2-sw"/>
    <tableColumn id="14" xr3:uid="{00000000-0010-0000-0000-00000E000000}" name="winner2-cp"/>
    <tableColumn id="15" xr3:uid="{00000000-0010-0000-0000-00000F000000}" name="winner2-ability1"/>
    <tableColumn id="16" xr3:uid="{00000000-0010-0000-0000-000010000000}" name="winner2-ability2"/>
    <tableColumn id="17" xr3:uid="{00000000-0010-0000-0000-000011000000}" name="winner2-ability3"/>
    <tableColumn id="18" xr3:uid="{00000000-0010-0000-0000-000012000000}" name="winner2-ability4"/>
    <tableColumn id="19" xr3:uid="{00000000-0010-0000-0000-000013000000}" name="loser1"/>
    <tableColumn id="20" xr3:uid="{00000000-0010-0000-0000-000014000000}" name="loser1-pw"/>
    <tableColumn id="21" xr3:uid="{00000000-0010-0000-0000-000015000000}" name="loser1-sw"/>
    <tableColumn id="22" xr3:uid="{00000000-0010-0000-0000-000016000000}" name="loser1-cp"/>
    <tableColumn id="23" xr3:uid="{00000000-0010-0000-0000-000017000000}" name="loser1-ability1"/>
    <tableColumn id="24" xr3:uid="{00000000-0010-0000-0000-000018000000}" name="loser1-ability2"/>
    <tableColumn id="25" xr3:uid="{00000000-0010-0000-0000-000019000000}" name="loser1-ability3"/>
    <tableColumn id="26" xr3:uid="{00000000-0010-0000-0000-00001A000000}" name="loser1-ability4"/>
    <tableColumn id="27" xr3:uid="{00000000-0010-0000-0000-00001B000000}" name="loser2"/>
    <tableColumn id="28" xr3:uid="{00000000-0010-0000-0000-00001C000000}" name="loser2-pw"/>
    <tableColumn id="29" xr3:uid="{00000000-0010-0000-0000-00001D000000}" name="loser2-sw"/>
    <tableColumn id="30" xr3:uid="{00000000-0010-0000-0000-00001E000000}" name="loser2-cp"/>
    <tableColumn id="31" xr3:uid="{00000000-0010-0000-0000-00001F000000}" name="loser2-ability1"/>
    <tableColumn id="32" xr3:uid="{00000000-0010-0000-0000-000020000000}" name="loser2-ability2"/>
    <tableColumn id="33" xr3:uid="{00000000-0010-0000-0000-000021000000}" name="loser2-ability3"/>
    <tableColumn id="34" xr3:uid="{00000000-0010-0000-0000-000022000000}" name="loser2-ability4"/>
    <tableColumn id="35" xr3:uid="{00000000-0010-0000-0000-000023000000}" name="crystals"/>
    <tableColumn id="36" xr3:uid="{E1119BD8-51D7-48B0-8C81-27D4F50C3BB6}" name="tur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cenarioStat0" displayName="ScenarioStat0" ref="A2:G380" totalsRowShown="0">
  <autoFilter ref="A2:G380" xr:uid="{00000000-0009-0000-0100-000002000000}"/>
  <tableColumns count="7">
    <tableColumn id="1" xr3:uid="{00000000-0010-0000-0100-000001000000}" name="hero-1"/>
    <tableColumn id="3" xr3:uid="{00000000-0010-0000-0100-000003000000}" name="hero-2"/>
    <tableColumn id="4" xr3:uid="{00000000-0010-0000-0100-000004000000}" name="team-1-win" dataDxfId="2040">
      <calculatedColumnFormula>COUNTIFS(Scenario0[winner1],ScenarioStat0[[#This Row],[hero-1]],Scenario0[winner2],ScenarioStat0[[#This Row],[hero-2]],Scenario0[loser1],ScenarioStat0[[#This Row],[hero-3]],Scenario0[loser2],ScenarioStat0[[#This Row],[hero-4]])</calculatedColumnFormula>
    </tableColumn>
    <tableColumn id="5" xr3:uid="{00000000-0010-0000-0100-000005000000}" name="hero-3"/>
    <tableColumn id="7" xr3:uid="{00000000-0010-0000-0100-000007000000}" name="hero-4"/>
    <tableColumn id="8" xr3:uid="{00000000-0010-0000-0100-000008000000}" name="team-2-win" dataDxfId="2039">
      <calculatedColumnFormula>COUNTIFS(Scenario0[winner1],ScenarioStat0[[#This Row],[hero-3]],Scenario0[winner2],ScenarioStat0[[#This Row],[hero-4]],Scenario0[loser1],ScenarioStat0[[#This Row],[hero-1]],Scenario0[loser2],ScenarioStat0[[#This Row],[hero-2]])</calculatedColumnFormula>
    </tableColumn>
    <tableColumn id="2" xr3:uid="{90B32919-5E45-497D-B7B4-CD5D6F2857E9}" name="battles" dataDxfId="2038">
      <calculatedColumnFormula>ScenarioStat0[[#This Row],[team-1-win]]+ScenarioStat0[[#This Row],[team-2-win]]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A29664-241D-4460-819F-8FE8E5CEB60F}" name="ScenarioTeams0" displayName="ScenarioTeams0" ref="I2:M37">
  <autoFilter ref="I2:M37" xr:uid="{3BA29664-241D-4460-819F-8FE8E5CEB60F}"/>
  <tableColumns count="5">
    <tableColumn id="1" xr3:uid="{D747465F-E635-4B05-B7AF-0414E2D94D49}" name="hero-1" totalsRowLabel="Total"/>
    <tableColumn id="2" xr3:uid="{8B3A87A8-CF4B-4A42-8A73-D2647830C115}" name="hero-2"/>
    <tableColumn id="7" xr3:uid="{8BF8BDA1-C689-494F-A791-83657D52CC61}" name="battles" totalsRowFunction="count" dataDxfId="2037">
      <calculatedColumnFormula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calculatedColumnFormula>
    </tableColumn>
    <tableColumn id="3" xr3:uid="{8C849232-396A-4450-80DA-F0C8AB2F4EA2}" name="wins" dataDxfId="2036">
      <calculatedColumnFormula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calculatedColumnFormula>
    </tableColumn>
    <tableColumn id="5" xr3:uid="{34CD741D-CA82-4B7A-AE14-FE9F3D0AD7AE}" name="win-rate" totalsRowFunction="sum" dataDxfId="2035" totalsRowDxfId="2034">
      <calculatedColumnFormula>IF(ScenarioTeams0[[#This Row],[battles]],ScenarioTeams0[[#This Row],[wins]]/ScenarioTeams0[[#This Row],[battles]],0)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5F3CD27D-C76E-4541-9BB9-71DED850FA45}" name="Scenario1" displayName="Scenario1" ref="A1:AJ379" totalsRowShown="0">
  <autoFilter ref="A1:AJ379" xr:uid="{5F3CD27D-C76E-4541-9BB9-71DED850FA45}"/>
  <tableColumns count="36">
    <tableColumn id="1" xr3:uid="{39E18DB3-F9E1-4184-A04D-22E7AF6DF5C6}" name="battle"/>
    <tableColumn id="2" xr3:uid="{9674831B-EF78-4607-A2A1-4D4960B82723}" name="setup"/>
    <tableColumn id="3" xr3:uid="{B13CEFCB-D5A0-4627-AB34-E51A60E26A67}" name="winner1"/>
    <tableColumn id="4" xr3:uid="{CC92DDBA-A3F4-4DF0-8282-B65458FA0D75}" name="winner1-pw"/>
    <tableColumn id="5" xr3:uid="{72EAFD1F-361D-4C5E-9E28-9133B8A7132F}" name="winner1-sw"/>
    <tableColumn id="6" xr3:uid="{EB2164EB-90DE-4281-B6D1-1D5D74EEA050}" name="winner1-cp"/>
    <tableColumn id="7" xr3:uid="{D33BD8DD-00CD-4644-BC6C-34087767EEB7}" name="winner1-ability1"/>
    <tableColumn id="8" xr3:uid="{27BD1269-8FA7-4318-917D-ACA8B9CF7253}" name="winner1-ability2"/>
    <tableColumn id="9" xr3:uid="{AD447881-B03A-413E-9AC9-D5411A9EABF9}" name="winner1-ability3"/>
    <tableColumn id="10" xr3:uid="{8719A0B0-3005-4C21-85FC-67B3EF429E49}" name="winner1-ability4"/>
    <tableColumn id="11" xr3:uid="{E0A62865-EF26-4877-95F1-C64209E10899}" name="winner2"/>
    <tableColumn id="12" xr3:uid="{42B2E16C-AA1E-40D9-B33C-BD92B30E67F0}" name="winner2-pw"/>
    <tableColumn id="13" xr3:uid="{22209780-77A0-4A5A-B527-0242A400B666}" name="winner2-sw"/>
    <tableColumn id="14" xr3:uid="{375C89C5-043D-41F6-97E8-49A44F57DF2C}" name="winner2-cp"/>
    <tableColumn id="15" xr3:uid="{51044B83-3330-48D9-BA99-00C67CE5B505}" name="winner2-ability1"/>
    <tableColumn id="16" xr3:uid="{BEAD171B-A76C-4A8E-9ADA-628BC6AAB79D}" name="winner2-ability2"/>
    <tableColumn id="17" xr3:uid="{E4E8B22C-99C2-459C-A52D-F20B01091AD9}" name="winner2-ability3"/>
    <tableColumn id="18" xr3:uid="{DF6817CB-B695-4278-A3AE-2E5CD31C5282}" name="winner2-ability4"/>
    <tableColumn id="19" xr3:uid="{98E3A75A-2DFE-46E3-8B03-80F7EE423AB5}" name="loser1"/>
    <tableColumn id="20" xr3:uid="{01B529BF-762A-4D9A-B437-F87D3C4644A3}" name="loser1-pw"/>
    <tableColumn id="21" xr3:uid="{EEBB82C6-BDA5-4048-BD7C-E978A7467C2F}" name="loser1-sw"/>
    <tableColumn id="22" xr3:uid="{91EA0F2A-E911-4CAA-B368-7366F68C5612}" name="loser1-cp"/>
    <tableColumn id="23" xr3:uid="{168E0A04-F82A-466D-9438-59F0338E313E}" name="loser1-ability1"/>
    <tableColumn id="24" xr3:uid="{FA552502-8BAA-42BA-AFEE-A74E9D481ED2}" name="loser1-ability2"/>
    <tableColumn id="25" xr3:uid="{B325A135-660F-4942-A429-884775A44D07}" name="loser1-ability3"/>
    <tableColumn id="26" xr3:uid="{B0F4E726-2CF4-4AFA-AB06-00093431CDBC}" name="loser1-ability4"/>
    <tableColumn id="27" xr3:uid="{7B9A9E36-C31E-4521-942F-25424A1957F9}" name="loser2"/>
    <tableColumn id="28" xr3:uid="{94384313-3C9F-46D7-8D25-1D784E8A9FFB}" name="loser2-pw"/>
    <tableColumn id="29" xr3:uid="{E8F14ECE-DF71-4409-8F28-FCC7F4D617F0}" name="loser2-sw"/>
    <tableColumn id="30" xr3:uid="{A1796F4A-D83E-4576-86E9-6220FDFBA382}" name="loser2-cp"/>
    <tableColumn id="31" xr3:uid="{173D9978-9EAF-4D44-B4F8-E88FCD6CB7C6}" name="loser2-ability1"/>
    <tableColumn id="32" xr3:uid="{1A2BBDDF-45FE-4C76-A321-0B8ED8335217}" name="loser2-ability2"/>
    <tableColumn id="33" xr3:uid="{AC0F17C1-03AE-48A7-8824-A3697B18A453}" name="loser2-ability3"/>
    <tableColumn id="34" xr3:uid="{45C1C68F-4319-42A1-9A62-D5C6021C076B}" name="loser2-ability4"/>
    <tableColumn id="35" xr3:uid="{FCD5651C-5984-4A2F-99A0-C375A140B3FF}" name="crystals"/>
    <tableColumn id="36" xr3:uid="{D75610A6-556A-4616-B714-925723302E65}" name="turn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A6E77E-375E-4802-BE84-281AD0BDBD1B}" name="ScenarioStat1" displayName="ScenarioStat1" ref="A2:G380" totalsRowShown="0">
  <autoFilter ref="A2:G380" xr:uid="{00000000-0009-0000-0100-000002000000}"/>
  <tableColumns count="7">
    <tableColumn id="1" xr3:uid="{4A970956-3AF6-4C02-9A06-055E5956EF0A}" name="hero-1"/>
    <tableColumn id="3" xr3:uid="{0CD9B2CC-9C06-4E9E-94FC-F682BF987965}" name="hero-2"/>
    <tableColumn id="10" xr3:uid="{C27C2EEB-D406-4C4F-AA99-D8E093FBB70B}" name="team-1-win" dataDxfId="2033">
      <calculatedColumnFormula>COUNTIFS(Scenario1[winner1],ScenarioStat1[[#This Row],[hero-1]],Scenario1[winner2],ScenarioStat1[[#This Row],[hero-2]],Scenario1[loser1],ScenarioStat1[[#This Row],[hero-3]],Scenario1[loser2],ScenarioStat1[[#This Row],[hero-4]])</calculatedColumnFormula>
    </tableColumn>
    <tableColumn id="4" xr3:uid="{A747E94C-1831-4FC0-B7A3-D05F870B8966}" name="hero-3" dataDxfId="2032"/>
    <tableColumn id="5" xr3:uid="{128C557E-8342-4183-B44E-301E27402F84}" name="hero-4"/>
    <tableColumn id="7" xr3:uid="{AAC6C4FD-799F-4646-B17E-E24AA4D9541B}" name="team-2-win" dataDxfId="2031">
      <calculatedColumnFormula>COUNTIFS(Scenario1[winner1],ScenarioStat1[[#This Row],[hero-3]],Scenario1[winner2],ScenarioStat1[[#This Row],[hero-4]],Scenario1[loser1],ScenarioStat1[[#This Row],[hero-1]],Scenario1[loser2],ScenarioStat1[[#This Row],[hero-2]])</calculatedColumnFormula>
    </tableColumn>
    <tableColumn id="11" xr3:uid="{C8C96B24-B321-4ADB-ABA1-C0FF91014439}" name="battles" dataDxfId="2030">
      <calculatedColumnFormula>ScenarioStat1[[#This Row],[team-1-win]]+ScenarioStat1[[#This Row],[team-2-win]]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23C35E2E-2009-4D9D-89C7-22A01A169B69}" name="ScenarioTeams1" displayName="ScenarioTeams1" ref="I2:M37">
  <autoFilter ref="I2:M37" xr:uid="{3BA29664-241D-4460-819F-8FE8E5CEB60F}"/>
  <tableColumns count="5">
    <tableColumn id="1" xr3:uid="{BBD7F247-2F6A-4116-BD29-8B4177AB29B3}" name="hero-1" totalsRowLabel="Total"/>
    <tableColumn id="2" xr3:uid="{E004DC88-94ED-4DBB-83F5-C4A4E25911C4}" name="hero-2"/>
    <tableColumn id="4" xr3:uid="{EE81324B-5B95-48AF-B411-62B354E5C4BE}" name="battles" dataDxfId="2029">
      <calculatedColumnFormula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calculatedColumnFormula>
    </tableColumn>
    <tableColumn id="7" xr3:uid="{BEC1694F-5B04-4A72-894C-ED1227DECC95}" name="wins" totalsRowFunction="count" dataDxfId="2028">
      <calculatedColumnFormula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calculatedColumnFormula>
    </tableColumn>
    <tableColumn id="3" xr3:uid="{87DE653F-8EF1-405F-B4A7-479CD7C5DD97}" name="win-rate" dataDxfId="2027">
      <calculatedColumnFormula>IF(ScenarioTeams1[[#This Row],[battles]],ScenarioTeams1[[#This Row],[wins]]/ScenarioTeams1[[#This Row],[battles]],0)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3503B99C-FF8C-44B1-BC5D-8686FDFA3954}" name="Scenario2" displayName="Scenario2" ref="A1:T73" totalsRowShown="0">
  <autoFilter ref="A1:T73" xr:uid="{00000000-0009-0000-0100-000001000000}"/>
  <tableColumns count="20">
    <tableColumn id="1" xr3:uid="{936E5295-3BC3-4630-97BC-068124807D82}" name="battle" dataDxfId="2026"/>
    <tableColumn id="2" xr3:uid="{F91094AD-EA0B-4811-8176-3B766382C82C}" name="setup"/>
    <tableColumn id="3" xr3:uid="{4E7A749D-B2E1-4102-AEB2-B55C3EA59D33}" name="winner1"/>
    <tableColumn id="4" xr3:uid="{2EC4A110-16FC-4B57-B734-9ADB87620E58}" name="winner1-pw"/>
    <tableColumn id="5" xr3:uid="{C41FCF43-0578-4C23-A28B-212C1ED17EA6}" name="winner1-sw"/>
    <tableColumn id="6" xr3:uid="{9FEB536E-413F-4427-A34D-722A13949F2F}" name="winner1-cp"/>
    <tableColumn id="7" xr3:uid="{D85436D3-8A0A-476C-8513-E46E70218544}" name="winner1-ability1"/>
    <tableColumn id="8" xr3:uid="{1AE25463-DF0B-4EC5-8934-5AFF138A02FB}" name="winner1-ability2"/>
    <tableColumn id="9" xr3:uid="{B121525B-9172-454A-A3DF-A1E27489B07B}" name="winner1-ability3"/>
    <tableColumn id="10" xr3:uid="{8E8C3555-BAC6-489B-B896-B7130420F7D8}" name="winner1-ability4"/>
    <tableColumn id="19" xr3:uid="{6DF4FB6F-5DF6-45A9-8A7D-DBC832A2581F}" name="loser1"/>
    <tableColumn id="20" xr3:uid="{AB4C9F41-1244-4F88-92EF-481D2ADC7DB1}" name="loser1-pw"/>
    <tableColumn id="21" xr3:uid="{8CF303A2-E782-4E72-BA37-ECEE21E25814}" name="loser1-sw"/>
    <tableColumn id="22" xr3:uid="{5D6BE653-4E30-4DB5-B612-FC76143DDE7E}" name="loser1-cp"/>
    <tableColumn id="23" xr3:uid="{7114BF93-698D-4B3D-93BD-2CF7A260F7E4}" name="loser1-ability1"/>
    <tableColumn id="24" xr3:uid="{2430CADC-7026-48FA-B231-360484E93393}" name="loser1-ability2"/>
    <tableColumn id="25" xr3:uid="{6F6AE885-35EA-4515-ADCB-14C9E840E03E}" name="loser1-ability3"/>
    <tableColumn id="26" xr3:uid="{B1A2233E-9631-4F2D-B657-C54A9CE3DFC1}" name="loser1-ability4"/>
    <tableColumn id="35" xr3:uid="{7F73F43F-F260-4F02-AC89-0A1296F55F9D}" name="crystals"/>
    <tableColumn id="36" xr3:uid="{5618FD8A-12AB-491C-9283-54A62CE0965C}" name="turn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3DD05D47-50A5-495A-BE2A-D83C9BFA0F26}" name="ScenarioStat2" displayName="ScenarioStat2" ref="A2:E38" totalsRowShown="0">
  <autoFilter ref="A2:E38" xr:uid="{00000000-0009-0000-0100-000002000000}"/>
  <tableColumns count="5">
    <tableColumn id="1" xr3:uid="{93718735-18B3-4DE5-A9EA-B527E4C64D70}" name="hero-1"/>
    <tableColumn id="4" xr3:uid="{B5F2BD57-B761-44AD-ACDF-19ADDC946822}" name="team-1-win" dataDxfId="2025">
      <calculatedColumnFormula>COUNTIFS(Scenario2[winner1],ScenarioStat2[[#This Row],[hero-1]],Scenario2[loser1],ScenarioStat2[[#This Row],[hero-2]])</calculatedColumnFormula>
    </tableColumn>
    <tableColumn id="5" xr3:uid="{3585703E-8508-4FF4-8DCE-CFFA168E5DB7}" name="hero-2"/>
    <tableColumn id="8" xr3:uid="{B70BBE92-3FF1-40A0-ACAE-18D4AC56C35A}" name="team-2-win" dataDxfId="2024">
      <calculatedColumnFormula>COUNTIFS(Scenario2[winner1],ScenarioStat2[[#This Row],[hero-2]],Scenario2[loser1],ScenarioStat2[[#This Row],[hero-1]])</calculatedColumnFormula>
    </tableColumn>
    <tableColumn id="2" xr3:uid="{84AE5B9E-3C41-4729-A798-F3AE3C20BD95}" name="battles" dataDxfId="2023">
      <calculatedColumnFormula>ScenarioStat2[[#This Row],[team-1-win]]+ScenarioStat2[[#This Row],[team-2-win]]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3FC62722-CCCE-4E03-92E4-BA9904BB3395}" name="ScenarioTeams2" displayName="ScenarioTeams2" ref="G2:J11">
  <autoFilter ref="G2:J11" xr:uid="{3BA29664-241D-4460-819F-8FE8E5CEB60F}"/>
  <tableColumns count="4">
    <tableColumn id="1" xr3:uid="{17E518F0-7BE0-4F68-AC60-927B53AF4B94}" name="hero" totalsRowLabel="Total"/>
    <tableColumn id="7" xr3:uid="{582965B0-9D45-4EFE-8001-0677ABE86ADE}" name="battles" totalsRowFunction="count" dataDxfId="2022">
      <calculatedColumnFormula>SUMIFS(ScenarioStat2[battles],ScenarioStat2[hero-1],ScenarioTeams2[[#This Row],[hero]])+SUMIFS(ScenarioStat2[battles],ScenarioStat2[hero-2],ScenarioTeams2[[#This Row],[hero]])</calculatedColumnFormula>
    </tableColumn>
    <tableColumn id="3" xr3:uid="{74F44086-A996-474F-8D1F-CF066210D730}" name="wins" dataDxfId="2021">
      <calculatedColumnFormula>SUMIFS(ScenarioStat2[team-1-win],ScenarioStat2[hero-1],ScenarioTeams2[[#This Row],[hero]])+SUMIFS(ScenarioStat2[team-2-win],ScenarioStat2[hero-2],ScenarioTeams2[[#This Row],[hero]])</calculatedColumnFormula>
    </tableColumn>
    <tableColumn id="5" xr3:uid="{FA6B8CF1-D4DA-4D8F-B0A4-F1FF46B61864}" name="win-rate" totalsRowFunction="sum" dataDxfId="2020" totalsRowDxfId="2019">
      <calculatedColumnFormula>IF(ScenarioTeams2[[#This Row],[battles]],ScenarioTeams2[[#This Row],[wins]]/ScenarioTeams2[[#This Row],[battles]],0)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A37D882-915B-4F32-966C-A3240A4949F4}" name="Scenario3" displayName="Scenario3" ref="A1:AB85" totalsRowShown="0">
  <autoFilter ref="A1:AB85" xr:uid="{00000000-0009-0000-0100-000001000000}"/>
  <tableColumns count="28">
    <tableColumn id="1" xr3:uid="{BC50D7B9-B62B-437D-84CB-40D98C013997}" name="battle" dataDxfId="2018"/>
    <tableColumn id="2" xr3:uid="{E037AE3E-4C61-466A-9A35-E12638F198D4}" name="setup"/>
    <tableColumn id="3" xr3:uid="{F703D474-C155-46B5-BEA3-37709EA1DE37}" name="winner1"/>
    <tableColumn id="4" xr3:uid="{58E3129B-84D9-4084-9A1C-10FDFE543A00}" name="winner1-pw"/>
    <tableColumn id="5" xr3:uid="{3736152E-4745-4498-832E-068532DB5BF8}" name="winner1-sw"/>
    <tableColumn id="6" xr3:uid="{AC5030AE-4C17-4EBE-92C1-C1A0AC2F395B}" name="winner1-cp"/>
    <tableColumn id="7" xr3:uid="{E2EF6021-804F-44B6-9ABA-3C73776883B4}" name="winner1-ability1"/>
    <tableColumn id="8" xr3:uid="{6C80C8A4-AA04-4C5B-95EC-C01CC24D6BD5}" name="winner1-ability2"/>
    <tableColumn id="9" xr3:uid="{AB7863CD-0DEF-42AF-BA9E-781C8BA398E1}" name="winner1-ability3"/>
    <tableColumn id="10" xr3:uid="{15D6AE7E-C1E9-4B94-94A5-4965349B9FCC}" name="winner1-ability4"/>
    <tableColumn id="19" xr3:uid="{14A0237C-AE94-45A8-93F1-6CE7380EA986}" name="loser1"/>
    <tableColumn id="20" xr3:uid="{496AC580-593F-4AFB-8379-D72543465E8D}" name="loser1-pw"/>
    <tableColumn id="21" xr3:uid="{FA3FA11F-19F9-4D39-8343-3EA5D1742E1B}" name="loser1-sw"/>
    <tableColumn id="22" xr3:uid="{D93E56D4-1118-4B99-81A4-E51C4C34DFDC}" name="loser1-cp"/>
    <tableColumn id="23" xr3:uid="{6E972574-5EBF-4C05-9EF8-1E47000ED6F5}" name="loser1-ability1"/>
    <tableColumn id="24" xr3:uid="{26D05EDA-FE40-477D-BB18-98E978C3BC92}" name="loser1-ability2"/>
    <tableColumn id="25" xr3:uid="{BCDAE0F4-C1A1-45BB-BB8A-DD08C6D9209D}" name="loser1-ability3"/>
    <tableColumn id="26" xr3:uid="{6E05F10F-B38B-4E1E-80B4-93A104E01B69}" name="loser1-ability4"/>
    <tableColumn id="18" xr3:uid="{7126E4CB-D471-4658-8015-4F2D3D952001}" name="loser2"/>
    <tableColumn id="17" xr3:uid="{40C4D6CE-B7F8-4F2B-8A08-67820E46985B}" name="loser2-pw"/>
    <tableColumn id="16" xr3:uid="{0A1579CC-8D92-492A-8F57-5BA8D67FCD19}" name="loser2-sw"/>
    <tableColumn id="15" xr3:uid="{9DBD5E9B-FC71-410F-9A02-35E8820D225F}" name="loser2-cp"/>
    <tableColumn id="14" xr3:uid="{9B0D481E-A94F-4BE4-95D3-93011AE230AD}" name="loser2-ability1"/>
    <tableColumn id="13" xr3:uid="{DF34DCA1-3405-471A-A342-9A7F3CB6106B}" name="loser2-ability2"/>
    <tableColumn id="12" xr3:uid="{FEE2EAA5-EABB-4FD5-8F94-E8C810EE6C56}" name="loser2-ability3"/>
    <tableColumn id="11" xr3:uid="{55C98754-E847-4AC4-918C-A0D962F80667}" name="loser2-ability4"/>
    <tableColumn id="35" xr3:uid="{3EB9EA77-711A-4791-B698-3D7D2412C023}" name="crystals"/>
    <tableColumn id="36" xr3:uid="{62FB488E-8952-4C9F-83C3-F5E6AA849A0D}" name="turn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1874CDD-E91F-4053-8787-FAF301D21A1E}" name="ScenarioStat3" displayName="ScenarioStat3" ref="A2:G86" totalsRowShown="0">
  <autoFilter ref="A2:G86" xr:uid="{00000000-0009-0000-0100-000002000000}"/>
  <tableColumns count="7">
    <tableColumn id="1" xr3:uid="{768E8866-D096-42A8-8945-023F2727FDAD}" name="hero-1"/>
    <tableColumn id="4" xr3:uid="{848F0152-FF75-4526-9B37-4C18B7BDEAF3}" name="team-1-win" dataDxfId="2017">
      <calculatedColumnFormula>COUNTIFS(Scenario3[winner1],ScenarioStat3[[#This Row],[hero-1]],Scenario3[loser1],ScenarioStat3[[#This Row],[hero-2]],Scenario3[loser2],ScenarioStat3[[#This Row],[hero-3]])</calculatedColumnFormula>
    </tableColumn>
    <tableColumn id="5" xr3:uid="{836A67B7-9874-46AF-8947-2E6379B20A71}" name="hero-2"/>
    <tableColumn id="8" xr3:uid="{F88A7067-B63D-40F0-9D8A-AEB6BD9F0A66}" name="team-2-win" dataDxfId="2016">
      <calculatedColumnFormula>COUNTIFS(Scenario3[winner1],ScenarioStat3[[#This Row],[hero-2]],Scenario3[loser1],ScenarioStat3[[#This Row],[hero-1]],Scenario3[loser2],ScenarioStat3[[#This Row],[hero-3]])</calculatedColumnFormula>
    </tableColumn>
    <tableColumn id="3" xr3:uid="{A661F12E-8B47-4667-99B6-9896128C3630}" name="hero-3"/>
    <tableColumn id="6" xr3:uid="{62A6905D-CD5B-4824-902A-20DD9630B11F}" name="team-3-win">
      <calculatedColumnFormula>COUNTIFS(Scenario3[winner1],ScenarioStat3[[#This Row],[hero-3]],Scenario3[loser1],ScenarioStat3[[#This Row],[hero-1]],Scenario3[loser2],ScenarioStat3[[#This Row],[hero-2]])</calculatedColumnFormula>
    </tableColumn>
    <tableColumn id="2" xr3:uid="{65A1CB4F-A22D-4F9D-887D-EAD9D6EE60C6}" name="battles" dataDxfId="2015">
      <calculatedColumnFormula>ScenarioStat3[[#This Row],[team-1-win]]+ScenarioStat3[[#This Row],[team-2-win]]+ScenarioStat3[[#This Row],[team-3-win]]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98A59AF-6B69-445D-AF7E-497473B4225E}" name="ScenarioTeams3" displayName="ScenarioTeams3" ref="I2:L11">
  <autoFilter ref="I2:L11" xr:uid="{3BA29664-241D-4460-819F-8FE8E5CEB60F}"/>
  <tableColumns count="4">
    <tableColumn id="1" xr3:uid="{20599E8A-7D33-485F-9E13-E328F0C0DA49}" name="hero" totalsRowLabel="Total"/>
    <tableColumn id="7" xr3:uid="{A4ED510C-394F-4E40-9F41-59E7C25F3B54}" name="battles" totalsRowFunction="count" dataDxfId="2014">
      <calculatedColumnFormula>SUMIFS(ScenarioStat3[battles],ScenarioStat3[hero-1],ScenarioTeams3[[#This Row],[hero]])+SUMIFS(ScenarioStat3[battles],ScenarioStat3[hero-2],ScenarioTeams3[[#This Row],[hero]])+SUMIFS(ScenarioStat3[battles],ScenarioStat3[hero-3],ScenarioTeams3[[#This Row],[hero]])</calculatedColumnFormula>
    </tableColumn>
    <tableColumn id="3" xr3:uid="{4AD4396C-08BE-40F0-BA05-93CF71783244}" name="wins" dataDxfId="2013">
      <calculatedColumnFormula>SUMIFS(ScenarioStat3[team-1-win],ScenarioStat3[hero-1],ScenarioTeams3[[#This Row],[hero]])+SUMIFS(ScenarioStat3[team-2-win],ScenarioStat3[hero-2],ScenarioTeams3[[#This Row],[hero]])+SUMIFS(ScenarioStat3[team-3-win],ScenarioStat3[hero-3],ScenarioTeams3[[#This Row],[hero]])</calculatedColumnFormula>
    </tableColumn>
    <tableColumn id="5" xr3:uid="{D753F1A5-A1EF-4BA4-A1BD-CEB90D03D2E9}" name="win-rate" totalsRowFunction="sum" dataDxfId="2012" totalsRowDxfId="2011">
      <calculatedColumnFormula>IF(ScenarioTeams3[[#This Row],[battles]],ScenarioTeams3[[#This Row],[wins]]/ScenarioTeams3[[#This Row],[battles]],0)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2" xr:uid="{E0066DB7-E302-4BD9-99EC-44B1789C2339}" name="Scenario4" displayName="Scenario4" ref="A1:AJ127" totalsRowShown="0">
  <autoFilter ref="A1:AJ127" xr:uid="{00000000-0009-0000-0100-000001000000}"/>
  <tableColumns count="36">
    <tableColumn id="1" xr3:uid="{BCD668BC-EA15-4124-A76A-A95AB955ABF3}" name="battle" dataDxfId="2010"/>
    <tableColumn id="2" xr3:uid="{376269BA-9441-4206-89BA-564CB547ACE3}" name="setup"/>
    <tableColumn id="3" xr3:uid="{8A140910-892D-40A0-AB80-15BF51A88AB6}" name="winner1"/>
    <tableColumn id="4" xr3:uid="{7DBEA6E5-AFDD-4D66-8718-9B379E391649}" name="winner1-pw"/>
    <tableColumn id="5" xr3:uid="{3B346AE2-29E9-41B9-9DD3-0CD26050D700}" name="winner1-sw"/>
    <tableColumn id="6" xr3:uid="{13117771-89EB-4B76-8CF8-A2B8A570F850}" name="winner1-cp"/>
    <tableColumn id="7" xr3:uid="{89918B06-5A2E-4492-A94E-ACD93929BAFF}" name="winner1-ability1"/>
    <tableColumn id="8" xr3:uid="{27CB6015-4D19-4F3C-97F2-DD9038156587}" name="winner1-ability2"/>
    <tableColumn id="9" xr3:uid="{048AC022-7B41-4D0C-B3B8-3695728FFD6C}" name="winner1-ability3"/>
    <tableColumn id="10" xr3:uid="{2D9C10A0-C80A-4346-B299-075BA879E51C}" name="winner1-ability4"/>
    <tableColumn id="19" xr3:uid="{3DBBB587-B872-4636-92A1-8E252E86BB9E}" name="loser1"/>
    <tableColumn id="20" xr3:uid="{0012418A-0628-4798-BB52-D6DBC20B3B20}" name="loser1-pw"/>
    <tableColumn id="21" xr3:uid="{2E15BE71-CE7F-421E-8551-5C7407D28B96}" name="loser1-sw"/>
    <tableColumn id="22" xr3:uid="{1E2CBF13-6161-4444-97FD-D397A8299BB5}" name="loser1-cp"/>
    <tableColumn id="23" xr3:uid="{EC122196-F0A9-4F3D-A0A5-0011A1A5FC2E}" name="loser1-ability1"/>
    <tableColumn id="24" xr3:uid="{FF5452ED-1D30-4940-AA78-A08D6AF548EC}" name="loser1-ability2"/>
    <tableColumn id="25" xr3:uid="{C093D766-370C-4D14-8C66-50C76C38B822}" name="loser1-ability3"/>
    <tableColumn id="26" xr3:uid="{5535D9A8-3FB8-4848-84FE-661CA9D309C2}" name="loser1-ability4"/>
    <tableColumn id="18" xr3:uid="{0C565666-66AA-4181-ABBD-A89ABB4D2E76}" name="loser2"/>
    <tableColumn id="17" xr3:uid="{4FFD418A-D3C1-4F4D-9119-31A809515CF3}" name="loser2-pw"/>
    <tableColumn id="16" xr3:uid="{DEC08446-2056-4C26-B54D-0B3742F15C99}" name="loser2-sw"/>
    <tableColumn id="15" xr3:uid="{B3831209-DC13-428A-B54C-CA67B5988182}" name="loser2-cp"/>
    <tableColumn id="14" xr3:uid="{4BB5B4D5-C764-4F16-ADEC-8C02C20159CB}" name="loser2-ability1"/>
    <tableColumn id="13" xr3:uid="{B8DF6DBD-4401-4374-B1F3-4EC57C9CFB73}" name="loser2-ability2"/>
    <tableColumn id="12" xr3:uid="{109CE1A6-061B-452A-B6CF-5936C27C9042}" name="loser2-ability3"/>
    <tableColumn id="11" xr3:uid="{4BA5C019-C182-43B3-AF52-213E6FBD3BC8}" name="loser2-ability4"/>
    <tableColumn id="34" xr3:uid="{0C1F5711-C3AB-4C97-B9B6-A43B74C2CADF}" name="loser3"/>
    <tableColumn id="33" xr3:uid="{0763B933-C7B9-47DE-AB89-A17CD079FE29}" name="loser3-pw"/>
    <tableColumn id="32" xr3:uid="{44023FC4-6256-43E4-960D-63ACA8EAEB34}" name="loser3-sw"/>
    <tableColumn id="31" xr3:uid="{610E37E4-ED42-4511-9701-0AD962499C44}" name="loser3-cp"/>
    <tableColumn id="30" xr3:uid="{32826DE0-5406-4F5F-BE7A-82195B401D4C}" name="loser3-ability1"/>
    <tableColumn id="29" xr3:uid="{789672BF-6216-40A7-9B57-53B04A1A61B3}" name="loser3-ability2"/>
    <tableColumn id="28" xr3:uid="{3487555A-D9DC-4016-94D2-18D639E03551}" name="loser3-ability3"/>
    <tableColumn id="27" xr3:uid="{B36BEAB2-6B2D-4E73-945C-7EE87901BD5A}" name="loser3-ability4"/>
    <tableColumn id="35" xr3:uid="{26845B47-4A46-4C87-8E1C-72DC187F0BFC}" name="crystals"/>
    <tableColumn id="36" xr3:uid="{FACAA482-09CB-4AD1-955A-3B3361B0E2C3}" name="turn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3" xr:uid="{CE04B5A8-F3A0-41EB-ACD3-9B2C8A72EAFA}" name="ScenarioStat4" displayName="ScenarioStat4" ref="A2:I128" totalsRowShown="0">
  <autoFilter ref="A2:I128" xr:uid="{00000000-0009-0000-0100-000002000000}"/>
  <tableColumns count="9">
    <tableColumn id="1" xr3:uid="{DE4CB1A4-2C52-4BA0-B8DF-E73440231F90}" name="hero-1"/>
    <tableColumn id="4" xr3:uid="{67B29D39-57DD-495A-9550-8B9A67A2CBD6}" name="team-1-win" dataDxfId="2009">
      <calculatedColumnFormula>COUNTIFS(Scenario4[winner1],ScenarioStat4[[#This Row],[hero-1]],Scenario4[loser1],ScenarioStat4[[#This Row],[hero-2]],Scenario4[loser2],ScenarioStat4[[#This Row],[hero-3]],Scenario4[loser3],ScenarioStat4[[#This Row],[hero-4]])</calculatedColumnFormula>
    </tableColumn>
    <tableColumn id="5" xr3:uid="{393B0BAF-E547-4B3D-9609-9666463674ED}" name="hero-2"/>
    <tableColumn id="8" xr3:uid="{73326C7C-E343-43A0-9039-8BBFF9A607D5}" name="team-2-win" dataDxfId="2008">
      <calculatedColumnFormula>COUNTIFS(Scenario4[winner1],ScenarioStat4[[#This Row],[hero-2]],Scenario4[loser1],ScenarioStat4[[#This Row],[hero-1]],Scenario4[loser2],ScenarioStat4[[#This Row],[hero-3]],Scenario4[loser3],ScenarioStat4[[#This Row],[hero-4]])</calculatedColumnFormula>
    </tableColumn>
    <tableColumn id="3" xr3:uid="{708E5BE4-DFD1-49EF-8505-283FEA43ABBF}" name="hero-3"/>
    <tableColumn id="6" xr3:uid="{8B43301E-13F9-4CF9-9976-7A58CB89C741}" name="team-3-win">
      <calculatedColumnFormula>COUNTIFS(Scenario4[winner1],ScenarioStat4[[#This Row],[hero-3]],Scenario4[loser1],ScenarioStat4[[#This Row],[hero-1]],Scenario4[loser2],ScenarioStat4[[#This Row],[hero-2]],Scenario4[loser3],ScenarioStat4[[#This Row],[hero-4]])</calculatedColumnFormula>
    </tableColumn>
    <tableColumn id="7" xr3:uid="{20E02043-B7DF-4926-A225-46696C254BCC}" name="hero-4"/>
    <tableColumn id="9" xr3:uid="{30621351-DDED-4D47-81D6-9A0501EC19F5}" name="team-4-win">
      <calculatedColumnFormula>COUNTIFS(Scenario4[winner1],ScenarioStat4[[#This Row],[hero-4]],Scenario4[loser1],ScenarioStat4[[#This Row],[hero-1]],Scenario4[loser2],ScenarioStat4[[#This Row],[hero-2]],Scenario4[loser3],ScenarioStat4[[#This Row],[hero-3]])</calculatedColumnFormula>
    </tableColumn>
    <tableColumn id="2" xr3:uid="{BABFFD65-DEE2-4170-8BA5-1D3956DBA0F3}" name="battles" dataDxfId="2007">
      <calculatedColumnFormula>ScenarioStat4[[#This Row],[team-1-win]]+ScenarioStat4[[#This Row],[team-2-win]]+ScenarioStat4[[#This Row],[team-3-win]]+ScenarioStat4[[#This Row],[team-4-win]]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4" xr:uid="{C3ECC778-9CFA-4605-88C6-43DE9155A8FD}" name="ScenarioTeams4" displayName="ScenarioTeams4" ref="K2:N11">
  <autoFilter ref="K2:N11" xr:uid="{3BA29664-241D-4460-819F-8FE8E5CEB60F}"/>
  <tableColumns count="4">
    <tableColumn id="1" xr3:uid="{054DB32F-4395-4CA9-8599-85E8AFC12AAE}" name="hero" totalsRowLabel="Total"/>
    <tableColumn id="7" xr3:uid="{D48697FB-8058-4998-9983-3D0C8CBD4115}" name="battles" totalsRowFunction="count" dataDxfId="2006">
      <calculatedColumnFormula>SUMIFS(ScenarioStat4[battles],ScenarioStat4[hero-1],ScenarioTeams4[[#This Row],[hero]])+SUMIFS(ScenarioStat4[battles],ScenarioStat4[hero-2],ScenarioTeams4[[#This Row],[hero]])+SUMIFS(ScenarioStat4[battles],ScenarioStat4[hero-3],ScenarioTeams4[[#This Row],[hero]])+SUMIFS(ScenarioStat4[battles],ScenarioStat4[hero-4],ScenarioTeams4[[#This Row],[hero]])</calculatedColumnFormula>
    </tableColumn>
    <tableColumn id="3" xr3:uid="{95F6DEF4-1137-45CC-8AE3-385CCD209120}" name="wins" dataDxfId="2005">
      <calculatedColumnFormula>SUMIFS(ScenarioStat4[team-1-win],ScenarioStat4[hero-1],ScenarioTeams4[[#This Row],[hero]])+SUMIFS(ScenarioStat4[team-2-win],ScenarioStat4[hero-2],ScenarioTeams4[[#This Row],[hero]])+SUMIFS(ScenarioStat4[team-3-win],ScenarioStat4[hero-3],ScenarioTeams4[[#This Row],[hero]])+SUMIFS(ScenarioStat4[team-4-win],ScenarioStat4[hero-4],ScenarioTeams4[[#This Row],[hero]])</calculatedColumnFormula>
    </tableColumn>
    <tableColumn id="5" xr3:uid="{B886FCF4-6410-4131-9EF9-EEA3DEFFD7F0}" name="win-rate" totalsRowFunction="sum" dataDxfId="2004" totalsRowDxfId="2003">
      <calculatedColumnFormula>IF(ScenarioTeams4[[#This Row],[battles]],ScenarioTeams4[[#This Row],[wins]]/ScenarioTeams4[[#This Row],[battles]],0)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5" xr:uid="{6C2D20A6-85B4-4346-A8D5-F476A7D47A20}" name="Scenario5" displayName="Scenario5" ref="A1:AJ379" totalsRowShown="0">
  <autoFilter ref="A1:AJ379" xr:uid="{00000000-0009-0000-0100-000001000000}"/>
  <sortState xmlns:xlrd2="http://schemas.microsoft.com/office/spreadsheetml/2017/richdata2" ref="A2:AJ379">
    <sortCondition ref="B1:B379"/>
  </sortState>
  <tableColumns count="36">
    <tableColumn id="1" xr3:uid="{EF069B9A-F666-4BB1-8683-9730FA583554}" name="battle" dataDxfId="2002"/>
    <tableColumn id="2" xr3:uid="{73977ACE-D6E9-45D0-9FC9-F98DBA6F6270}" name="setup"/>
    <tableColumn id="3" xr3:uid="{9E2374B3-85AD-4F34-8219-0F41E056AB91}" name="winner1"/>
    <tableColumn id="4" xr3:uid="{A9937D24-A43D-4043-88B4-9771C962A958}" name="winner1-pw"/>
    <tableColumn id="5" xr3:uid="{83E0F231-50AF-4617-9882-45811E563B8A}" name="winner1-sw"/>
    <tableColumn id="6" xr3:uid="{26D27DA7-FFB6-457A-9C4E-8A6973314FF4}" name="winner1-cp"/>
    <tableColumn id="7" xr3:uid="{84B80946-ED1B-4DE1-BF02-9392F883E6AA}" name="winner1-ability1"/>
    <tableColumn id="8" xr3:uid="{03A5BB50-6E20-4F11-AACC-4EB087452BB8}" name="winner1-ability2"/>
    <tableColumn id="9" xr3:uid="{A4DD66B2-704D-4A8B-BBE0-680CD9A815F0}" name="winner1-ability3"/>
    <tableColumn id="10" xr3:uid="{648E87BC-9742-440A-BE5D-75CBE0F1937A}" name="winner1-ability4"/>
    <tableColumn id="11" xr3:uid="{38D9A2BB-1BFC-48A9-AA87-16DD4423E8E8}" name="winner2"/>
    <tableColumn id="12" xr3:uid="{91F80C22-9065-4A77-8BE5-AFE10A90C67E}" name="winner2-pw"/>
    <tableColumn id="13" xr3:uid="{EEB7CAC3-5B59-432F-A37A-A3A1EFBF2924}" name="winner2-sw"/>
    <tableColumn id="14" xr3:uid="{82D5A634-2460-43D1-87BB-AB3EC30443CA}" name="winner2-cp"/>
    <tableColumn id="15" xr3:uid="{1F6EDA4A-62D2-48AD-B3E4-46C512369D1B}" name="winner2-ability1"/>
    <tableColumn id="16" xr3:uid="{3D51FF16-93F5-491A-8B41-EC54977A6428}" name="winner2-ability2"/>
    <tableColumn id="17" xr3:uid="{72549377-CFBC-4D01-8687-9C832B744983}" name="winner2-ability3"/>
    <tableColumn id="18" xr3:uid="{E920C205-7746-4271-ABBA-F574BAB7B91E}" name="winner2-ability4"/>
    <tableColumn id="19" xr3:uid="{7F0E1011-641C-41BA-A39C-F6FC09D804BE}" name="loser1"/>
    <tableColumn id="20" xr3:uid="{9C6274FC-FD29-4E33-B3D7-C78DEE3EB06F}" name="loser1-pw"/>
    <tableColumn id="21" xr3:uid="{0F84E772-0419-4ECE-AE40-4E75586D2587}" name="loser1-sw"/>
    <tableColumn id="22" xr3:uid="{18A0E67E-17BC-478A-A487-90F40129F64F}" name="loser1-cp"/>
    <tableColumn id="23" xr3:uid="{0E3239C7-651A-4E44-B9DC-F744211BED19}" name="loser1-ability1"/>
    <tableColumn id="24" xr3:uid="{1FDB4459-2CF2-490A-8F16-A14171615A29}" name="loser1-ability2"/>
    <tableColumn id="25" xr3:uid="{BAB87448-DB56-48D9-9EC2-2A23211D8C99}" name="loser1-ability3"/>
    <tableColumn id="26" xr3:uid="{7FF93F0C-968E-48BA-A45B-267D8CCBCDE3}" name="loser1-ability4"/>
    <tableColumn id="27" xr3:uid="{B8663094-E4EE-4C8F-ADB3-54C31B889972}" name="loser2"/>
    <tableColumn id="28" xr3:uid="{6EFFFEF2-AE7C-4675-9C24-F506122A814C}" name="loser2-pw"/>
    <tableColumn id="29" xr3:uid="{E21D01A3-DFD7-4E2E-964A-0E5A9704A1BE}" name="loser2-sw"/>
    <tableColumn id="30" xr3:uid="{F3320F9C-FE42-444E-B326-F2B203EFC05B}" name="loser2-cp"/>
    <tableColumn id="31" xr3:uid="{EB68BA05-A4FC-4D9B-9429-DDA2DFAA3208}" name="loser2-ability1"/>
    <tableColumn id="32" xr3:uid="{4A04C7C1-C99B-4E2A-A90F-605202D9F796}" name="loser2-ability2"/>
    <tableColumn id="33" xr3:uid="{05B8F133-CD13-4288-8010-BAC9BCE9E793}" name="loser2-ability3"/>
    <tableColumn id="34" xr3:uid="{230160F4-BE5C-446E-9B15-209882ACB330}" name="loser2-ability4"/>
    <tableColumn id="35" xr3:uid="{D546AC9B-877A-4122-9019-BB27C5AAC397}" name="crystals"/>
    <tableColumn id="36" xr3:uid="{A447EF82-1D31-4743-8B82-08230D42DE3A}" name="turn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6" xr:uid="{C0A3CAF8-C3D2-403D-932A-E981DA8159ED}" name="ScenarioStat5" displayName="ScenarioStat5" ref="A2:G380" totalsRowShown="0">
  <autoFilter ref="A2:G380" xr:uid="{00000000-0009-0000-0100-000002000000}"/>
  <tableColumns count="7">
    <tableColumn id="1" xr3:uid="{4A9D2D9B-8B8A-4E7D-A668-2B972F4AE114}" name="hero-1"/>
    <tableColumn id="3" xr3:uid="{2716AA1B-3931-4120-949E-3BF62CEF1E13}" name="hero-2"/>
    <tableColumn id="4" xr3:uid="{9C44C5C0-E7E2-46AD-A687-59762D611613}" name="team-1-win" dataDxfId="2001">
      <calculatedColumnFormula>COUNTIFS(Scenario5[winner1],ScenarioStat5[[#This Row],[hero-1]],Scenario5[winner2],ScenarioStat5[[#This Row],[hero-2]],Scenario5[loser1],ScenarioStat5[[#This Row],[hero-3]],Scenario5[loser2],ScenarioStat5[[#This Row],[hero-4]])</calculatedColumnFormula>
    </tableColumn>
    <tableColumn id="5" xr3:uid="{4319AB3B-14DB-4935-BFB2-5F31AB557767}" name="hero-3"/>
    <tableColumn id="7" xr3:uid="{0603FFBF-6AB8-48D5-90C8-C2A51EE5B3F4}" name="hero-4"/>
    <tableColumn id="8" xr3:uid="{64E94594-513A-46AF-B08C-6AC8471FBAAB}" name="team-2-win" dataDxfId="2000">
      <calculatedColumnFormula>COUNTIFS(Scenario5[winner1],ScenarioStat5[[#This Row],[hero-3]],Scenario5[winner2],ScenarioStat5[[#This Row],[hero-4]],Scenario5[loser1],ScenarioStat5[[#This Row],[hero-1]],Scenario5[loser2],ScenarioStat5[[#This Row],[hero-2]])</calculatedColumnFormula>
    </tableColumn>
    <tableColumn id="2" xr3:uid="{D4FF7EC7-0F7D-4476-B618-E3AA62F16D5A}" name="battles" dataDxfId="1999">
      <calculatedColumnFormula>ScenarioStat5[[#This Row],[team-1-win]]+ScenarioStat5[[#This Row],[team-2-win]]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7" xr:uid="{CA01A435-C998-42DA-B69F-97063859C977}" name="ScenarioTeams5" displayName="ScenarioTeams5" ref="I2:M37">
  <autoFilter ref="I2:M37" xr:uid="{3BA29664-241D-4460-819F-8FE8E5CEB60F}"/>
  <tableColumns count="5">
    <tableColumn id="1" xr3:uid="{8E339675-F1B4-4253-A806-1F28CFFB5BAC}" name="hero-1" totalsRowLabel="Total"/>
    <tableColumn id="2" xr3:uid="{F991E4C5-68D7-4C1C-B591-38B729F5E4C1}" name="hero-2"/>
    <tableColumn id="7" xr3:uid="{3703FC5B-4319-4209-BFEF-1745C85F1795}" name="battles" totalsRowFunction="count" dataDxfId="1998">
      <calculatedColumnFormula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calculatedColumnFormula>
    </tableColumn>
    <tableColumn id="3" xr3:uid="{0BEE2BC8-4F2D-4218-8848-0E12F49DDDBC}" name="wins" dataDxfId="1997">
      <calculatedColumnFormula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calculatedColumnFormula>
    </tableColumn>
    <tableColumn id="5" xr3:uid="{36DF1AED-C7D6-4A4D-AF3B-6EE6F363F5A1}" name="win-rate" totalsRowFunction="sum" dataDxfId="1996" totalsRowDxfId="1995">
      <calculatedColumnFormula>IF(ScenarioTeams5[[#This Row],[battles]],ScenarioTeams5[[#This Row],[wins]]/ScenarioTeams5[[#This Row],[battles]],0)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405EB0-A525-4FAC-AD12-CF7C798DE05C}" name="HeroStatistics" displayName="HeroStatistics" ref="A1:J10" totalsRowShown="0">
  <autoFilter ref="A1:J10" xr:uid="{63405EB0-A525-4FAC-AD12-CF7C798DE05C}"/>
  <tableColumns count="10">
    <tableColumn id="1" xr3:uid="{85B8E500-D508-49B7-B6C2-4293FF88864C}" name="hero"/>
    <tableColumn id="2" xr3:uid="{58A5592F-1F6D-4BC0-A001-DA1EE7044444}" name="battles" dataDxfId="1994">
      <calculatedColumnFormula>COUNTIF(Scenario0[winner1],HeroStatistics[[#This Row],[hero]])+COUNTIF(Scenario0[winner2],HeroStatistics[[#This Row],[hero]])+COUNTIF(Scenario0[loser1],HeroStatistics[[#This Row],[hero]])+COUNTIF(Scenario0[loser2],HeroStatistics[[#This Row],[hero]])+COUNTIF(Scenario1[winner1],HeroStatistics[[#This Row],[hero]])+COUNTIF(Scenario1[winner2],HeroStatistics[[#This Row],[hero]])+COUNTIF(Scenario1[loser1],HeroStatistics[[#This Row],[hero]])+COUNTIF(Scenario1[loser2],HeroStatistics[[#This Row],[hero]])+COUNTIF(Scenario2[winner1],HeroStatistics[[#This Row],[hero]])+COUNTIF(Scenario2[loser1],HeroStatistics[[#This Row],[hero]])+COUNTIF(Scenario3[winner1],HeroStatistics[[#This Row],[hero]])+COUNTIF(Scenario3[loser1],HeroStatistics[[#This Row],[hero]])+COUNTIF(Scenario3[loser2],HeroStatistics[[#This Row],[hero]])+COUNTIF(Scenario4[winner1],HeroStatistics[[#This Row],[hero]])+COUNTIF(Scenario4[loser1],HeroStatistics[[#This Row],[hero]])+COUNTIF(Scenario4[loser2],HeroStatistics[[#This Row],[hero]])+COUNTIF(Scenario4[loser3],HeroStatistics[[#This Row],[hero]])+COUNTIF(Scenario5[winner1],HeroStatistics[[#This Row],[hero]])+COUNTIF(Scenario5[winner2],HeroStatistics[[#This Row],[hero]])+COUNTIF(Scenario5[loser1],HeroStatistics[[#This Row],[hero]])+COUNTIF(Scenario5[loser2],HeroStatistics[[#This Row],[hero]])</calculatedColumnFormula>
    </tableColumn>
    <tableColumn id="3" xr3:uid="{907E2C9A-88EE-4007-82F2-9E1679E4E1E8}" name="0-wins" dataDxfId="1993">
      <calculatedColumnFormula>COUNTIF(Scenario0[winner1],HeroStatistics[[#This Row],[hero]])+COUNTIF(Scenario0[winner2],HeroStatistics[[#This Row],[hero]])</calculatedColumnFormula>
    </tableColumn>
    <tableColumn id="6" xr3:uid="{AE7C5ECC-03E9-4724-8409-AE34201DA0C9}" name="1-wins">
      <calculatedColumnFormula>COUNTIF(Scenario1[winner1],HeroStatistics[[#This Row],[hero]])+COUNTIF(Scenario1[winner2],HeroStatistics[[#This Row],[hero]])</calculatedColumnFormula>
    </tableColumn>
    <tableColumn id="7" xr3:uid="{691EC165-19BC-4D42-BD98-BB1D51495A90}" name="2-wins">
      <calculatedColumnFormula>COUNTIF(Scenario2[winner1],HeroStatistics[[#This Row],[hero]])</calculatedColumnFormula>
    </tableColumn>
    <tableColumn id="8" xr3:uid="{DED2EF67-8BBB-4DA9-83F4-10909FF25CAE}" name="3-wins">
      <calculatedColumnFormula>COUNTIF(Scenario3[winner1],HeroStatistics[[#This Row],[hero]])</calculatedColumnFormula>
    </tableColumn>
    <tableColumn id="9" xr3:uid="{18E2E9F8-9399-4CB4-8500-111168784CEE}" name="4-wins">
      <calculatedColumnFormula>COUNTIF(Scenario4[winner1],HeroStatistics[[#This Row],[hero]])</calculatedColumnFormula>
    </tableColumn>
    <tableColumn id="10" xr3:uid="{3F2D8009-BEBE-46D6-BF39-7201BD458D0B}" name="5-wins">
      <calculatedColumnFormula>COUNTIF(Scenario5[winner1],HeroStatistics[[#This Row],[hero]])+COUNTIF(Scenario5[winner2],HeroStatistics[[#This Row],[hero]])</calculatedColumnFormula>
    </tableColumn>
    <tableColumn id="11" xr3:uid="{78B80BFD-E4B4-4D40-A120-877E8E0C6060}" name="wins">
      <calculatedColumnFormula>SUM(HeroStatistics[[#This Row],[0-wins]:[5-wins]])</calculatedColumnFormula>
    </tableColumn>
    <tableColumn id="4" xr3:uid="{6F2DCA26-2AD4-4FD6-9D9C-74EB1F995BF0}" name="win-rate" dataDxfId="1992">
      <calculatedColumnFormula>HeroStatistics[[#This Row],[wins]]/HeroStatistics[[#This Row],[battles]]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A301F1-E0F8-4700-BEE5-2688AF43F23A}" name="ParagonAbilities1" displayName="ParagonAbilities1" ref="A2:E5" totalsRowShown="0">
  <autoFilter ref="A2:E5" xr:uid="{DCA301F1-E0F8-4700-BEE5-2688AF43F23A}"/>
  <tableColumns count="5">
    <tableColumn id="2" xr3:uid="{86A1B7E2-07D2-454B-948F-610858F575D4}" name="ability"/>
    <tableColumn id="6" xr3:uid="{FB974958-9B4B-47EC-9463-E31D21B6A55F}" name="takes" dataDxfId="1991">
      <calculatedColumnFormula>M3+M24+M45+M66+M87+M108</calculatedColumnFormula>
    </tableColumn>
    <tableColumn id="4" xr3:uid="{61A21492-49FF-4C06-A153-6F532C6C5A30}" name="wins" dataDxfId="1990">
      <calculatedColumnFormula>N3+N24+N45+N66+N87+N108</calculatedColumnFormula>
    </tableColumn>
    <tableColumn id="5" xr3:uid="{E54CF930-9561-430F-9E4C-4FBFE41AE34D}" name="battles-take-rate" dataDxfId="1989">
      <calculatedColumnFormula>IF(SUM(ParagonAbilities1[[#This Row],[takes]]) &gt; 0,ParagonAbilities1[[#This Row],[takes]]/SUM(ParagonAbilities1[takes]),0)</calculatedColumnFormula>
    </tableColumn>
    <tableColumn id="7" xr3:uid="{FBDA8D4C-951F-4B32-AA8D-F1B4A35AC2BC}" name="take-win-rate" dataDxfId="1988">
      <calculatedColumnFormula>IF(ParagonAbilities1[[#This Row],[takes]]&gt;0,ParagonAbilities1[[#This Row],[wins]]/ParagonAbilities1[[#This Row],[takes]],0)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DAEE31-4DDA-4DF2-9EAD-04808D53FFC1}" name="ParagonAbilities2" displayName="ParagonAbilities2" ref="A7:E10" totalsRowShown="0" headerRowDxfId="1987" headerRowBorderDxfId="1986" tableBorderDxfId="1985" totalsRowBorderDxfId="1984">
  <autoFilter ref="A7:E10" xr:uid="{8ADAEE31-4DDA-4DF2-9EAD-04808D53FFC1}"/>
  <tableColumns count="5">
    <tableColumn id="1" xr3:uid="{2EBB42D4-A151-441A-8D33-DE2FA10B22F8}" name="ability"/>
    <tableColumn id="2" xr3:uid="{F55F352C-3FB6-4924-B8D4-563674F00FC0}" name="takes" dataDxfId="1983">
      <calculatedColumnFormula>M8+M29+M50+M71+M92+M113</calculatedColumnFormula>
    </tableColumn>
    <tableColumn id="3" xr3:uid="{80A922C6-64D8-44FE-96CB-B7E1F6FDC03C}" name="wins" dataDxfId="1982">
      <calculatedColumnFormula>N8+N29+N50+N71+N92+N113</calculatedColumnFormula>
    </tableColumn>
    <tableColumn id="4" xr3:uid="{554161FF-0726-4138-B76E-C5C63F8E633A}" name="battles-take-rate" dataDxfId="1981">
      <calculatedColumnFormula>IF(SUM(ParagonAbilities2[[#This Row],[takes]]) &gt; 0,ParagonAbilities2[[#This Row],[takes]]/SUM(ParagonAbilities2[takes]),0)</calculatedColumnFormula>
    </tableColumn>
    <tableColumn id="5" xr3:uid="{EBDCF172-80BC-41F1-9D53-618ADC3547F0}" name="take-win-rate" dataDxfId="1980">
      <calculatedColumnFormula>IF(ParagonAbilities2[[#This Row],[takes]]&gt;0,ParagonAbilities2[[#This Row],[wins]]/ParagonAbilities2[[#This Row],[takes]],0)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B0EA3CA-FA8E-4345-B52C-471D5C94AD38}" name="ParagonAbilities3" displayName="ParagonAbilities3" ref="A12:E15" totalsRowShown="0" headerRowDxfId="1979" headerRowBorderDxfId="1978" tableBorderDxfId="1977" totalsRowBorderDxfId="1976">
  <autoFilter ref="A12:E15" xr:uid="{1B0EA3CA-FA8E-4345-B52C-471D5C94AD38}"/>
  <tableColumns count="5">
    <tableColumn id="1" xr3:uid="{B8B19612-9BE1-4890-BD28-044C895D67D5}" name="ability"/>
    <tableColumn id="2" xr3:uid="{CF518B36-9B06-430F-88E0-0EA55DE77CCB}" name="takes" dataDxfId="1975">
      <calculatedColumnFormula>M13+M34+M55+M76+M97+M118</calculatedColumnFormula>
    </tableColumn>
    <tableColumn id="3" xr3:uid="{3EE75CB9-F097-4DDD-B43D-5E1FA49D5DA7}" name="wins" dataDxfId="1974">
      <calculatedColumnFormula>N13+N34+N55+N76+N97+N118</calculatedColumnFormula>
    </tableColumn>
    <tableColumn id="4" xr3:uid="{4386EDC2-3695-4FDE-BF81-4F581D693BFE}" name="battles-take-rate" dataDxfId="1973">
      <calculatedColumnFormula>IF(SUM(ParagonAbilities3[[#This Row],[takes]]) &gt; 0,ParagonAbilities3[[#This Row],[takes]]/SUM(ParagonAbilities3[takes]),0)</calculatedColumnFormula>
    </tableColumn>
    <tableColumn id="5" xr3:uid="{2DDAA65F-690D-446E-8E9B-ACECABF193A6}" name="take-win-rate" dataDxfId="1972">
      <calculatedColumnFormula>IF(ParagonAbilities3[[#This Row],[takes]]&gt;0,ParagonAbilities3[[#This Row],[wins]]/ParagonAbilities3[[#This Row],[takes]],0)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AADA4A0-2F4A-4009-8ECF-0BECA693390C}" name="ParagonAbilities4" displayName="ParagonAbilities4" ref="A17:E20" totalsRowShown="0" headerRowDxfId="1971" headerRowBorderDxfId="1970" tableBorderDxfId="1969" totalsRowBorderDxfId="1968">
  <autoFilter ref="A17:E20" xr:uid="{2AADA4A0-2F4A-4009-8ECF-0BECA693390C}"/>
  <tableColumns count="5">
    <tableColumn id="1" xr3:uid="{E897B7B6-F256-4CEB-96AC-55AC5FFE6DC0}" name="ability"/>
    <tableColumn id="2" xr3:uid="{1AAFA939-1DDE-4DEA-AC16-B2FC44C9BDBC}" name="takes" dataDxfId="1967">
      <calculatedColumnFormula>M18+M39+M60+M81+M102+M123</calculatedColumnFormula>
    </tableColumn>
    <tableColumn id="3" xr3:uid="{FCDACB04-C3C9-4451-9344-563AAD645EE3}" name="wins" dataDxfId="1966">
      <calculatedColumnFormula>N18+N39+N60+N81+N102+N123</calculatedColumnFormula>
    </tableColumn>
    <tableColumn id="4" xr3:uid="{A43A8590-7A57-4069-B1B8-09F7A5FC26AC}" name="battles-take-rate" dataDxfId="1965">
      <calculatedColumnFormula>IF(SUM(ParagonAbilities4[[#This Row],[takes]]) &gt; 0,ParagonAbilities4[[#This Row],[takes]]/SUM(ParagonAbilities4[takes]),0)</calculatedColumnFormula>
    </tableColumn>
    <tableColumn id="5" xr3:uid="{F6E20B64-B1E9-4E09-B5F6-4AF0DC786552}" name="take-win-rate" dataDxfId="1964">
      <calculatedColumnFormula>IF(ParagonAbilities4[[#This Row],[takes]]&gt;0,ParagonAbilities4[[#This Row],[wins]]/ParagonAbilities4[[#This Row],[takes]],0)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15024E5-2A00-4F8B-BBEB-0FE7A036BC54}" name="ParagonEquip" displayName="ParagonEquip" ref="G2:J5" totalsRowShown="0">
  <autoFilter ref="G2:J5" xr:uid="{C15024E5-2A00-4F8B-BBEB-0FE7A036BC54}"/>
  <tableColumns count="4">
    <tableColumn id="1" xr3:uid="{8B1F2C44-EA02-4821-AAA5-49A7D2E47A7E}" name="level"/>
    <tableColumn id="2" xr3:uid="{F62B10F6-8A81-4A5B-A655-EF553400866D}" name="spear" dataDxfId="1963">
      <calculatedColumnFormula>S3+S24+S45+S66+S87+S108</calculatedColumnFormula>
    </tableColumn>
    <tableColumn id="3" xr3:uid="{F4CFC04E-00E1-447E-954B-909DEBE33E7C}" name="shield" dataDxfId="1962">
      <calculatedColumnFormula>T3+T24+T45+T66+T87+T108</calculatedColumnFormula>
    </tableColumn>
    <tableColumn id="4" xr3:uid="{3051F8DD-C458-45A9-A22A-CA5DF4CE7313}" name="chestpiece" dataDxfId="1961">
      <calculatedColumnFormula>U3+U24+U45+U66+U87+U108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4CDFB74F-734F-4444-929B-80D3797B5492}" name="ParagonAbilities1Scenario0" displayName="ParagonAbilities1Scenario0" ref="L2:P5" totalsRowShown="0">
  <autoFilter ref="L2:P5" xr:uid="{4CDFB74F-734F-4444-929B-80D3797B5492}"/>
  <tableColumns count="5">
    <tableColumn id="2" xr3:uid="{992CC6AC-D997-4858-8B6F-85973D20C2BF}" name="ability"/>
    <tableColumn id="6" xr3:uid="{4B123EEF-BACE-4880-8F0F-48A9940D4A62}" name="takes" dataDxfId="1960">
      <calculatedColumnFormula>COUNTIF(Scenario0[winner1-ability1],ParagonAbilities1Scenario0[[#This Row],[ability]])+COUNTIF(Scenario0[winner2-ability1],ParagonAbilities1Scenario0[[#This Row],[ability]])+COUNTIF(Scenario0[loser1-ability1],ParagonAbilities1Scenario0[[#This Row],[ability]])+COUNTIF(Scenario0[loser2-ability1],ParagonAbilities1Scenario0[[#This Row],[ability]])</calculatedColumnFormula>
    </tableColumn>
    <tableColumn id="4" xr3:uid="{97B7EB5F-DC0B-4232-AE26-DF569746E460}" name="wins" dataDxfId="1959">
      <calculatedColumnFormula>COUNTIF(Scenario0[winner1-ability1],ParagonAbilities1Scenario0[[#This Row],[ability]])+COUNTIF(Scenario0[winner2-ability1],ParagonAbilities1Scenario0[[#This Row],[ability]])</calculatedColumnFormula>
    </tableColumn>
    <tableColumn id="5" xr3:uid="{05B172FF-C0C2-40A2-B29A-155EF2522B1E}" name="battles-take-rate" dataDxfId="1958">
      <calculatedColumnFormula>IF(SUM(ParagonAbilities1Scenario0[[#This Row],[takes]]) &gt; 0,ParagonAbilities1Scenario0[[#This Row],[takes]]/SUM(ParagonAbilities1Scenario0[takes]),0)</calculatedColumnFormula>
    </tableColumn>
    <tableColumn id="7" xr3:uid="{C5D043CD-CC36-487C-B73F-C93637AE2923}" name="take-win-rate" dataDxfId="1957">
      <calculatedColumnFormula>IF(ParagonAbilities1Scenario0[[#This Row],[takes]]&gt;0,ParagonAbilities1Scenario0[[#This Row],[wins]]/ParagonAbilities1Scenario0[[#This Row],[takes]],0)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7F4368A-34C9-4286-BBA2-89F699718525}" name="ParagonAbilities2Scenario0" displayName="ParagonAbilities2Scenario0" ref="L7:P10" totalsRowShown="0" headerRowDxfId="1956" headerRowBorderDxfId="1955" tableBorderDxfId="1954" totalsRowBorderDxfId="1953">
  <autoFilter ref="L7:P10" xr:uid="{07F4368A-34C9-4286-BBA2-89F699718525}"/>
  <tableColumns count="5">
    <tableColumn id="1" xr3:uid="{B109BB57-A7EC-4486-B630-D6B0421FE6E3}" name="ability"/>
    <tableColumn id="2" xr3:uid="{CCEEF67E-5221-41DB-898B-DFE710ABC776}" name="takes" dataDxfId="1952">
      <calculatedColumnFormula>COUNTIF(Scenario0[winner1-ability2],ParagonAbilities2Scenario0[[#This Row],[ability]])+COUNTIF(Scenario0[winner2-ability2],ParagonAbilities2Scenario0[[#This Row],[ability]])+COUNTIF(Scenario0[loser1-ability2],ParagonAbilities2Scenario0[[#This Row],[ability]])+COUNTIF(Scenario0[loser2-ability2],ParagonAbilities2Scenario0[[#This Row],[ability]])</calculatedColumnFormula>
    </tableColumn>
    <tableColumn id="3" xr3:uid="{80449362-74E8-496C-A7CC-05848F1FF731}" name="wins" dataDxfId="1951">
      <calculatedColumnFormula>COUNTIF(Scenario0[winner1-ability2],ParagonAbilities2Scenario0[[#This Row],[ability]])+COUNTIF(Scenario0[winner2-ability2],ParagonAbilities2Scenario0[[#This Row],[ability]])</calculatedColumnFormula>
    </tableColumn>
    <tableColumn id="4" xr3:uid="{B2B72184-CDBB-4A8E-8363-4DA4D93C0341}" name="battles-take-rate" dataDxfId="1950">
      <calculatedColumnFormula>IF(SUM(ParagonAbilities2Scenario0[[#This Row],[takes]]) &gt; 0,ParagonAbilities2Scenario0[[#This Row],[takes]]/SUM(ParagonAbilities2Scenario0[takes]),0)</calculatedColumnFormula>
    </tableColumn>
    <tableColumn id="5" xr3:uid="{8C0F52CD-2849-48A8-972E-CEC3A6B28A83}" name="take-win-rate" dataDxfId="1949">
      <calculatedColumnFormula>IF(ParagonAbilities2Scenario0[[#This Row],[takes]]&gt;0,ParagonAbilities2Scenario0[[#This Row],[wins]]/ParagonAbilities2Scenario0[[#This Row],[takes]],0)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E8520742-705B-4A78-A5FD-1F57726A369B}" name="ParagonAbilities3Scenario0" displayName="ParagonAbilities3Scenario0" ref="L12:P15" totalsRowShown="0" headerRowDxfId="1948" headerRowBorderDxfId="1947" tableBorderDxfId="1946" totalsRowBorderDxfId="1945">
  <autoFilter ref="L12:P15" xr:uid="{E8520742-705B-4A78-A5FD-1F57726A369B}"/>
  <tableColumns count="5">
    <tableColumn id="1" xr3:uid="{0B03644D-58AD-4F93-A72F-62270FC975A5}" name="ability"/>
    <tableColumn id="2" xr3:uid="{CF02BA2B-D8FA-459A-BB70-6D920C35B223}" name="takes" dataDxfId="1944">
      <calculatedColumnFormula>COUNTIF(Scenario0[winner1-ability3],ParagonAbilities3Scenario0[[#This Row],[ability]])+COUNTIF(Scenario0[winner2-ability3],ParagonAbilities3Scenario0[[#This Row],[ability]])+COUNTIF(Scenario0[loser1-ability3],ParagonAbilities3Scenario0[[#This Row],[ability]])+COUNTIF(Scenario0[loser2-ability3],ParagonAbilities3Scenario0[[#This Row],[ability]])</calculatedColumnFormula>
    </tableColumn>
    <tableColumn id="3" xr3:uid="{608F9E5A-8540-4401-9645-0168287996AE}" name="wins" dataDxfId="1943">
      <calculatedColumnFormula>COUNTIF(Scenario0[winner1-ability3],ParagonAbilities3Scenario0[[#This Row],[ability]])+COUNTIF(Scenario0[winner2-ability3],ParagonAbilities3Scenario0[[#This Row],[ability]])</calculatedColumnFormula>
    </tableColumn>
    <tableColumn id="4" xr3:uid="{AFC9068C-1AEB-40AF-B1E9-7CFED44EDF9E}" name="battles-take-rate" dataDxfId="1942">
      <calculatedColumnFormula>IF(SUM(ParagonAbilities3Scenario0[[#This Row],[takes]]) &gt; 0,ParagonAbilities3Scenario0[[#This Row],[takes]]/SUM(ParagonAbilities3Scenario0[takes]),0)</calculatedColumnFormula>
    </tableColumn>
    <tableColumn id="5" xr3:uid="{13A507F7-7F1D-4AA2-B014-AF900F5E8BB5}" name="take-win-rate" dataDxfId="1941">
      <calculatedColumnFormula>IF(ParagonAbilities3Scenario0[[#This Row],[takes]]&gt;0,ParagonAbilities3Scenario0[[#This Row],[wins]]/ParagonAbilities3Scenario0[[#This Row],[takes]],0)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1E0B516-A92C-45D4-946B-0FCF2F31D98A}" name="ParagonAbilities4Scenario0" displayName="ParagonAbilities4Scenario0" ref="L17:P20" totalsRowShown="0" headerRowDxfId="1940" headerRowBorderDxfId="1939" tableBorderDxfId="1938" totalsRowBorderDxfId="1937">
  <autoFilter ref="L17:P20" xr:uid="{01E0B516-A92C-45D4-946B-0FCF2F31D98A}"/>
  <tableColumns count="5">
    <tableColumn id="1" xr3:uid="{4A93F7E1-E083-46E0-A29E-7F145BC5EB6A}" name="ability"/>
    <tableColumn id="2" xr3:uid="{4C745FD9-B41F-46FF-8182-55A1E3147B13}" name="takes" dataDxfId="1936">
      <calculatedColumnFormula>COUNTIF(Scenario0[winner1-ability4],ParagonAbilities4Scenario0[[#This Row],[ability]])+COUNTIF(Scenario0[winner2-ability4],ParagonAbilities4Scenario0[[#This Row],[ability]])+COUNTIF(Scenario0[loser1-ability4],ParagonAbilities4Scenario0[[#This Row],[ability]])+COUNTIF(Scenario0[loser2-ability4],ParagonAbilities4Scenario0[[#This Row],[ability]])</calculatedColumnFormula>
    </tableColumn>
    <tableColumn id="3" xr3:uid="{CB41A5EC-6A76-419F-8884-4A7AB7A2D2A5}" name="wins" dataDxfId="1935">
      <calculatedColumnFormula>COUNTIF(Scenario0[winner1-ability4],ParagonAbilities4Scenario0[[#This Row],[ability]])+COUNTIF(Scenario0[winner2-ability4],ParagonAbilities4Scenario0[[#This Row],[ability]])</calculatedColumnFormula>
    </tableColumn>
    <tableColumn id="4" xr3:uid="{7C46DEF3-82D6-4B9D-8A26-AC9EFBFA8B7E}" name="battles-take-rate" dataDxfId="1934">
      <calculatedColumnFormula>IF(SUM(ParagonAbilities4Scenario0[[#This Row],[takes]]) &gt; 0,ParagonAbilities4Scenario0[[#This Row],[takes]]/SUM(ParagonAbilities4Scenario0[takes]),0)</calculatedColumnFormula>
    </tableColumn>
    <tableColumn id="5" xr3:uid="{C1A0BEFE-4723-46B7-A630-A4A9A59029FD}" name="take-win-rate" dataDxfId="1933">
      <calculatedColumnFormula>IF(ParagonAbilities4Scenario0[[#This Row],[takes]]&gt;0,ParagonAbilities4Scenario0[[#This Row],[wins]]/ParagonAbilities4Scenario0[[#This Row],[takes]],0)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E84D91C4-DFF3-43B9-932F-3FEFFBEA9FF1}" name="ParagonEquipScenario0" displayName="ParagonEquipScenario0" ref="R2:U5" totalsRowShown="0">
  <autoFilter ref="R2:U5" xr:uid="{E84D91C4-DFF3-43B9-932F-3FEFFBEA9FF1}"/>
  <tableColumns count="4">
    <tableColumn id="1" xr3:uid="{D4AA5C29-0E87-479D-90AD-5B820C18E9E3}" name="level"/>
    <tableColumn id="2" xr3:uid="{E4280CB1-7C7E-4438-97AD-59F5656167BC}" name="spear" dataDxfId="1932">
      <calculatedColumnFormula>COUNTIFS(Scenario0[winner1],"paragon",Scenario0[winner1-pw],ParagonEquipScenario0[[#This Row],[level]])+COUNTIFS(Scenario0[winner2],"paragon",Scenario0[winner2-pw],ParagonEquipScenario0[[#This Row],[level]])+COUNTIFS(Scenario0[loser1],"paragon",Scenario0[loser1-pw],ParagonEquipScenario0[[#This Row],[level]])+COUNTIFS(Scenario0[loser2],"paragon",Scenario0[loser2-pw],ParagonEquipScenario0[[#This Row],[level]])</calculatedColumnFormula>
    </tableColumn>
    <tableColumn id="3" xr3:uid="{FDF0626F-2CF7-4181-A549-66D351F29B7F}" name="shield" dataDxfId="1931">
      <calculatedColumnFormula>COUNTIFS(Scenario0[winner1],"paragon",Scenario0[winner1-sw],ParagonEquipScenario0[[#This Row],[level]])+COUNTIFS(Scenario0[winner2],"paragon",Scenario0[winner2-sw],ParagonEquipScenario0[[#This Row],[level]])+COUNTIFS(Scenario0[loser1],"paragon",Scenario0[loser1-sw],ParagonEquipScenario0[[#This Row],[level]])+COUNTIFS(Scenario0[loser2],"paragon",Scenario0[loser2-sw],ParagonEquipScenario0[[#This Row],[level]])</calculatedColumnFormula>
    </tableColumn>
    <tableColumn id="4" xr3:uid="{E3B4314E-54D4-4EF1-A066-16A830F5BDE7}" name="chestpiece" dataDxfId="1930">
      <calculatedColumnFormula>COUNTIFS(Scenario0[winner1],"paragon",Scenario0[winner1-cp],ParagonEquipScenario0[[#This Row],[level]])+COUNTIFS(Scenario0[winner2],"paragon",Scenario0[winner2-cp],ParagonEquipScenario0[[#This Row],[level]])+COUNTIFS(Scenario0[loser1],"paragon",Scenario0[loser1-cp],ParagonEquipScenario0[[#This Row],[level]])+COUNTIFS(Scenario0[loser2],"paragon",Scenario0[loser2-cp],ParagonEquipScenario0[[#This Row],[level]])</calculatedColumnFormula>
    </tableColumn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A0A97CA7-01BF-4D92-A7D1-F51028CD7758}" name="ParagonAbilities1Scenario1" displayName="ParagonAbilities1Scenario1" ref="L23:P26" totalsRowShown="0">
  <autoFilter ref="L23:P26" xr:uid="{A0A97CA7-01BF-4D92-A7D1-F51028CD7758}"/>
  <tableColumns count="5">
    <tableColumn id="2" xr3:uid="{7353A081-CEBA-4032-ABAB-AD70EAD92DC8}" name="ability"/>
    <tableColumn id="6" xr3:uid="{EFC97F07-2656-4EA7-AF87-49179C49416A}" name="takes" dataDxfId="1929">
      <calculatedColumnFormula>COUNTIF(Scenario1[winner1-ability1],ParagonAbilities1Scenario1[[#This Row],[ability]])+COUNTIF(Scenario1[winner2-ability1],ParagonAbilities1Scenario1[[#This Row],[ability]])+COUNTIF(Scenario1[loser1-ability1],ParagonAbilities1Scenario1[[#This Row],[ability]])+COUNTIF(Scenario1[loser2-ability1],ParagonAbilities1Scenario1[[#This Row],[ability]])</calculatedColumnFormula>
    </tableColumn>
    <tableColumn id="4" xr3:uid="{FAF2E327-3CFA-421F-95F4-EAB3152B4172}" name="wins" dataDxfId="1928">
      <calculatedColumnFormula>COUNTIF(Scenario1[winner1-ability1],ParagonAbilities1Scenario1[[#This Row],[ability]])+COUNTIF(Scenario1[winner2-ability1],ParagonAbilities1Scenario1[[#This Row],[ability]])</calculatedColumnFormula>
    </tableColumn>
    <tableColumn id="5" xr3:uid="{9DD0CFE0-6200-43A6-9FA7-D842C1CC9D60}" name="battles-take-rate" dataDxfId="1927">
      <calculatedColumnFormula>IF(SUM(ParagonAbilities1Scenario1[[#This Row],[takes]]) &gt; 0,ParagonAbilities1Scenario1[[#This Row],[takes]]/SUM(ParagonAbilities1Scenario1[takes]),0)</calculatedColumnFormula>
    </tableColumn>
    <tableColumn id="7" xr3:uid="{C3CCE18B-8F47-49D1-817B-59C26CF4B2B5}" name="take-win-rate" dataDxfId="1926">
      <calculatedColumnFormula>IF(ParagonAbilities1Scenario1[[#This Row],[takes]]&gt;0,ParagonAbilities1Scenario1[[#This Row],[wins]]/ParagonAbilities1Scenario1[[#This Row],[takes]],0)</calculatedColumnFormula>
    </tableColumn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A29CF70A-0B84-46BB-A412-712C2F594795}" name="ParagonAbilities2Scenario1" displayName="ParagonAbilities2Scenario1" ref="L28:P31" totalsRowShown="0" headerRowDxfId="1925" headerRowBorderDxfId="1924" tableBorderDxfId="1923" totalsRowBorderDxfId="1922">
  <autoFilter ref="L28:P31" xr:uid="{A29CF70A-0B84-46BB-A412-712C2F594795}"/>
  <tableColumns count="5">
    <tableColumn id="1" xr3:uid="{7F5DE54D-EC6A-476A-8177-28D36EFC7885}" name="ability"/>
    <tableColumn id="2" xr3:uid="{52FCDD1C-A094-4E64-A8B8-0D597AA58C80}" name="takes" dataDxfId="1921">
      <calculatedColumnFormula>COUNTIF(Scenario1[winner1-ability2],ParagonAbilities2Scenario1[[#This Row],[ability]])+COUNTIF(Scenario1[winner2-ability2],ParagonAbilities2Scenario1[[#This Row],[ability]])+COUNTIF(Scenario1[loser1-ability2],ParagonAbilities2Scenario1[[#This Row],[ability]])+COUNTIF(Scenario1[loser2-ability2],ParagonAbilities2Scenario1[[#This Row],[ability]])</calculatedColumnFormula>
    </tableColumn>
    <tableColumn id="3" xr3:uid="{9F90307F-F010-4EB4-9B4A-3C9061C812D6}" name="wins" dataDxfId="1920">
      <calculatedColumnFormula>COUNTIF(Scenario1[winner1-ability2],ParagonAbilities2Scenario1[[#This Row],[ability]])+COUNTIF(Scenario1[winner2-ability2],ParagonAbilities2Scenario1[[#This Row],[ability]])</calculatedColumnFormula>
    </tableColumn>
    <tableColumn id="4" xr3:uid="{9189203A-557A-4CC3-ACD5-79C238B04447}" name="battles-take-rate" dataDxfId="1919">
      <calculatedColumnFormula>IF(SUM(ParagonAbilities2Scenario1[[#This Row],[takes]]) &gt; 0,ParagonAbilities2Scenario1[[#This Row],[takes]]/SUM(ParagonAbilities2Scenario1[takes]),0)</calculatedColumnFormula>
    </tableColumn>
    <tableColumn id="5" xr3:uid="{9B0DB2E4-7D43-48B1-A695-9B39401454AB}" name="take-win-rate" dataDxfId="1918">
      <calculatedColumnFormula>IF(ParagonAbilities2Scenario1[[#This Row],[takes]]&gt;0,ParagonAbilities2Scenario1[[#This Row],[wins]]/ParagonAbilities2Scenario1[[#This Row],[takes]],0)</calculatedColumnFormula>
    </tableColumn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CBC18F4E-86CD-4BE3-9377-2B862ED3B826}" name="ParagonAbilities3Scenario1" displayName="ParagonAbilities3Scenario1" ref="L33:P36" totalsRowShown="0" headerRowDxfId="1917" headerRowBorderDxfId="1916" tableBorderDxfId="1915" totalsRowBorderDxfId="1914">
  <autoFilter ref="L33:P36" xr:uid="{CBC18F4E-86CD-4BE3-9377-2B862ED3B826}"/>
  <tableColumns count="5">
    <tableColumn id="1" xr3:uid="{E33BFB2D-0669-4E65-965C-ED935F8B5561}" name="ability"/>
    <tableColumn id="2" xr3:uid="{5640AF3C-9699-43F9-BC69-90A790FD39C8}" name="takes" dataDxfId="1913">
      <calculatedColumnFormula>COUNTIF(Scenario1[winner1-ability3],ParagonAbilities3Scenario1[[#This Row],[ability]])+COUNTIF(Scenario1[winner2-ability3],ParagonAbilities3Scenario1[[#This Row],[ability]])+COUNTIF(Scenario1[loser1-ability3],ParagonAbilities3Scenario1[[#This Row],[ability]])+COUNTIF(Scenario1[loser2-ability3],ParagonAbilities3Scenario1[[#This Row],[ability]])</calculatedColumnFormula>
    </tableColumn>
    <tableColumn id="3" xr3:uid="{1E091C62-8CEE-4985-B3A7-DA50A490EE5B}" name="wins" dataDxfId="1912">
      <calculatedColumnFormula>COUNTIF(Scenario1[winner1-ability3],ParagonAbilities3Scenario1[[#This Row],[ability]])+COUNTIF(Scenario1[winner2-ability3],ParagonAbilities3Scenario1[[#This Row],[ability]])</calculatedColumnFormula>
    </tableColumn>
    <tableColumn id="4" xr3:uid="{C44FFAA9-7AF1-45A6-B2E9-9500656DAF73}" name="battles-take-rate" dataDxfId="1911">
      <calculatedColumnFormula>IF(SUM(ParagonAbilities3Scenario1[[#This Row],[takes]]) &gt; 0,ParagonAbilities3Scenario1[[#This Row],[takes]]/SUM(ParagonAbilities3Scenario1[takes]),0)</calculatedColumnFormula>
    </tableColumn>
    <tableColumn id="5" xr3:uid="{DE4469A2-51A6-4ACA-B58B-5887E2E783B3}" name="take-win-rate" dataDxfId="1910">
      <calculatedColumnFormula>IF(ParagonAbilities3Scenario1[[#This Row],[takes]]&gt;0,ParagonAbilities3Scenario1[[#This Row],[wins]]/ParagonAbilities3Scenario1[[#This Row],[takes]],0)</calculatedColumnFormula>
    </tableColumn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A1F38E75-59DE-4DB4-B81C-C0322397F6F7}" name="ParagonAbilities4Scenario1" displayName="ParagonAbilities4Scenario1" ref="L38:P41" totalsRowShown="0" headerRowDxfId="1909" headerRowBorderDxfId="1908" tableBorderDxfId="1907" totalsRowBorderDxfId="1906">
  <autoFilter ref="L38:P41" xr:uid="{A1F38E75-59DE-4DB4-B81C-C0322397F6F7}"/>
  <tableColumns count="5">
    <tableColumn id="1" xr3:uid="{B00915C5-9D02-4198-AEA0-6C2396D14A10}" name="ability"/>
    <tableColumn id="2" xr3:uid="{546F38DB-9D3F-4645-9DAE-2CB444E8A47F}" name="takes" dataDxfId="1905">
      <calculatedColumnFormula>COUNTIF(Scenario1[winner1-ability4],ParagonAbilities4Scenario1[[#This Row],[ability]])+COUNTIF(Scenario1[winner2-ability4],ParagonAbilities4Scenario1[[#This Row],[ability]])+COUNTIF(Scenario1[loser1-ability4],ParagonAbilities4Scenario1[[#This Row],[ability]])+COUNTIF(Scenario1[loser2-ability4],ParagonAbilities4Scenario1[[#This Row],[ability]])</calculatedColumnFormula>
    </tableColumn>
    <tableColumn id="3" xr3:uid="{D72F5697-DC88-4555-84CD-0AE3529475E7}" name="wins" dataDxfId="1904">
      <calculatedColumnFormula>COUNTIF(Scenario1[winner1-ability4],ParagonAbilities4Scenario1[[#This Row],[ability]])+COUNTIF(Scenario1[winner2-ability4],ParagonAbilities4Scenario1[[#This Row],[ability]])</calculatedColumnFormula>
    </tableColumn>
    <tableColumn id="4" xr3:uid="{E7472A10-6D37-4A4E-83CC-42D81EAF1428}" name="battles-take-rate" dataDxfId="1903">
      <calculatedColumnFormula>IF(SUM(ParagonAbilities4Scenario1[[#This Row],[takes]]) &gt; 0,ParagonAbilities4Scenario1[[#This Row],[takes]]/SUM(ParagonAbilities4Scenario1[takes]),0)</calculatedColumnFormula>
    </tableColumn>
    <tableColumn id="5" xr3:uid="{1D645BD1-5B71-4274-ADA7-42B8BB102875}" name="take-win-rate" dataDxfId="1902">
      <calculatedColumnFormula>IF(ParagonAbilities4Scenario1[[#This Row],[takes]]&gt;0,ParagonAbilities4Scenario1[[#This Row],[wins]]/ParagonAbilities4Scenario1[[#This Row],[takes]],0)</calculatedColumnFormula>
    </tableColumn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18EECD25-0AE5-4756-B5E1-492D523A2929}" name="ParagonEquipScenario1" displayName="ParagonEquipScenario1" ref="R23:U26" totalsRowShown="0">
  <autoFilter ref="R23:U26" xr:uid="{18EECD25-0AE5-4756-B5E1-492D523A2929}"/>
  <tableColumns count="4">
    <tableColumn id="1" xr3:uid="{423D2B33-F541-4625-A861-0D5F822BC6FF}" name="level"/>
    <tableColumn id="2" xr3:uid="{8167438A-D2A8-4995-AF32-BFBC2297804F}" name="spear" dataDxfId="1901">
      <calculatedColumnFormula>COUNTIFS(Scenario1[winner1],"paragon",Scenario1[winner1-pw],ParagonEquipScenario1[[#This Row],[level]])+COUNTIFS(Scenario1[winner2],"paragon",Scenario1[winner2-pw],ParagonEquipScenario1[[#This Row],[level]])+COUNTIFS(Scenario1[loser1],"paragon",Scenario1[loser1-pw],ParagonEquipScenario1[[#This Row],[level]])+COUNTIFS(Scenario1[loser2],"paragon",Scenario1[loser2-pw],ParagonEquipScenario1[[#This Row],[level]])</calculatedColumnFormula>
    </tableColumn>
    <tableColumn id="3" xr3:uid="{449D8457-C1C0-4734-9E6D-D48C6F3F8411}" name="shield" dataDxfId="1900">
      <calculatedColumnFormula>COUNTIFS(Scenario1[winner1],"paragon",Scenario1[winner1-sw],ParagonEquipScenario1[[#This Row],[level]])+COUNTIFS(Scenario1[winner2],"paragon",Scenario1[winner2-sw],ParagonEquipScenario1[[#This Row],[level]])+COUNTIFS(Scenario1[loser1],"paragon",Scenario1[loser1-sw],ParagonEquipScenario1[[#This Row],[level]])+COUNTIFS(Scenario1[loser2],"paragon",Scenario1[loser2-sw],ParagonEquipScenario1[[#This Row],[level]])</calculatedColumnFormula>
    </tableColumn>
    <tableColumn id="4" xr3:uid="{396788FD-B77B-4B0C-AAA4-C10F6075DBDD}" name="chestpiece" dataDxfId="1899">
      <calculatedColumnFormula>COUNTIFS(Scenario1[winner1],"paragon",Scenario1[winner1-cp],ParagonEquipScenario1[[#This Row],[level]])+COUNTIFS(Scenario1[winner2],"paragon",Scenario1[winner2-cp],ParagonEquipScenario1[[#This Row],[level]])+COUNTIFS(Scenario1[loser1],"paragon",Scenario1[loser1-cp],ParagonEquipScenario1[[#This Row],[level]])+COUNTIFS(Scenario1[loser2],"paragon",Scenario1[loser2-cp],ParagonEquipScenario1[[#This Row],[level]])</calculatedColumnFormula>
    </tableColumn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81D76695-EE53-4A07-9351-842AC55F2540}" name="ParagonAbilities1Scenario2" displayName="ParagonAbilities1Scenario2" ref="L44:P47" totalsRowShown="0">
  <autoFilter ref="L44:P47" xr:uid="{81D76695-EE53-4A07-9351-842AC55F2540}"/>
  <tableColumns count="5">
    <tableColumn id="2" xr3:uid="{48D23F76-DC53-46F7-8C31-1B9264FD9708}" name="ability"/>
    <tableColumn id="6" xr3:uid="{A6A3CDF9-6514-4B2C-A720-EC85AE9EB351}" name="takes" dataDxfId="1898">
      <calculatedColumnFormula>COUNTIF(Scenario2[winner1-ability1],ParagonAbilities1Scenario2[[#This Row],[ability]])+COUNTIF(Scenario2[loser1-ability1],ParagonAbilities1Scenario2[[#This Row],[ability]])</calculatedColumnFormula>
    </tableColumn>
    <tableColumn id="4" xr3:uid="{BBBA88F3-12AA-4984-9723-BC3CB5D5F39F}" name="wins" dataDxfId="1897">
      <calculatedColumnFormula>COUNTIF(Scenario2[winner1-ability1],ParagonAbilities1Scenario2[[#This Row],[ability]])</calculatedColumnFormula>
    </tableColumn>
    <tableColumn id="5" xr3:uid="{B6F725F9-59F1-4BBC-88E3-95CB9FA3D9B4}" name="battles-take-rate" dataDxfId="1896">
      <calculatedColumnFormula>IF(SUM(ParagonAbilities1Scenario2[[#This Row],[takes]]) &gt; 0,ParagonAbilities1Scenario2[[#This Row],[takes]]/SUM(ParagonAbilities1Scenario2[takes]),0)</calculatedColumnFormula>
    </tableColumn>
    <tableColumn id="7" xr3:uid="{714D9F94-3DD6-4A3E-9A5C-3BB86E813EF2}" name="take-win-rate" dataDxfId="1895">
      <calculatedColumnFormula>IF(ParagonAbilities1Scenario2[[#This Row],[takes]]&gt;0,ParagonAbilities1Scenario2[[#This Row],[wins]]/ParagonAbilities1Scenario2[[#This Row],[takes]],0)</calculatedColumnFormula>
    </tableColumn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5828340-8DA1-4B65-ACEB-BDDDED872E64}" name="ParagonAbilities2Scenario2" displayName="ParagonAbilities2Scenario2" ref="L49:P52" totalsRowShown="0" headerRowDxfId="1894" headerRowBorderDxfId="1893" tableBorderDxfId="1892" totalsRowBorderDxfId="1891">
  <autoFilter ref="L49:P52" xr:uid="{B5828340-8DA1-4B65-ACEB-BDDDED872E64}"/>
  <tableColumns count="5">
    <tableColumn id="1" xr3:uid="{9490F2D5-20D7-40F8-AD49-8434525A22C9}" name="ability"/>
    <tableColumn id="2" xr3:uid="{7741B97F-6F4D-4EEF-A9EE-1ECDA68AAAD6}" name="takes" dataDxfId="1890">
      <calculatedColumnFormula>COUNTIF(Scenario2[winner1-ability2],ParagonAbilities2Scenario2[[#This Row],[ability]])+COUNTIF(Scenario2[loser1-ability2],ParagonAbilities2Scenario2[[#This Row],[ability]])</calculatedColumnFormula>
    </tableColumn>
    <tableColumn id="3" xr3:uid="{BFE0B872-05BA-400E-8FB4-0CA4694D1728}" name="wins" dataDxfId="1889">
      <calculatedColumnFormula>COUNTIF(Scenario2[winner1-ability2],ParagonAbilities2Scenario2[[#This Row],[ability]])</calculatedColumnFormula>
    </tableColumn>
    <tableColumn id="4" xr3:uid="{E051F2C9-AD26-4F86-BA73-06F989437A9B}" name="battles-take-rate" dataDxfId="1888">
      <calculatedColumnFormula>IF(SUM(ParagonAbilities2Scenario2[[#This Row],[takes]]) &gt; 0,ParagonAbilities2Scenario2[[#This Row],[takes]]/SUM(ParagonAbilities2Scenario2[takes]),0)</calculatedColumnFormula>
    </tableColumn>
    <tableColumn id="5" xr3:uid="{2920644B-47A1-4DDE-B6C6-98E6FE114859}" name="take-win-rate" dataDxfId="1887">
      <calculatedColumnFormula>IF(ParagonAbilities2Scenario2[[#This Row],[takes]]&gt;0,ParagonAbilities2Scenario2[[#This Row],[wins]]/ParagonAbilities2Scenario2[[#This Row],[takes]],0)</calculatedColumnFormula>
    </tableColumn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34ED10E5-B169-4BBA-8F2C-73FF473D0922}" name="ParagonAbilities3Scenario2" displayName="ParagonAbilities3Scenario2" ref="L54:P57" totalsRowShown="0" headerRowDxfId="1886" headerRowBorderDxfId="1885" tableBorderDxfId="1884" totalsRowBorderDxfId="1883">
  <autoFilter ref="L54:P57" xr:uid="{34ED10E5-B169-4BBA-8F2C-73FF473D0922}"/>
  <tableColumns count="5">
    <tableColumn id="1" xr3:uid="{CA5361F1-4984-4932-87CF-9A34FB8CB5FC}" name="ability"/>
    <tableColumn id="2" xr3:uid="{0334C650-19FF-4DEA-A7D9-822F2A9E9E26}" name="takes" dataDxfId="1882">
      <calculatedColumnFormula>COUNTIF(Scenario2[winner1-ability3],ParagonAbilities3Scenario2[[#This Row],[ability]])+COUNTIF(Scenario2[loser1-ability3],ParagonAbilities3Scenario2[[#This Row],[ability]])</calculatedColumnFormula>
    </tableColumn>
    <tableColumn id="3" xr3:uid="{B2C100C6-E275-4F0D-A60A-73265086824D}" name="wins" dataDxfId="1881">
      <calculatedColumnFormula>COUNTIF(Scenario2[winner1-ability3],ParagonAbilities3Scenario2[[#This Row],[ability]])</calculatedColumnFormula>
    </tableColumn>
    <tableColumn id="4" xr3:uid="{A7CC83B2-A2E6-4450-9696-B55D92586553}" name="battles-take-rate" dataDxfId="1880">
      <calculatedColumnFormula>IF(SUM(ParagonAbilities3Scenario2[[#This Row],[takes]]) &gt; 0,ParagonAbilities3Scenario2[[#This Row],[takes]]/SUM(ParagonAbilities3Scenario2[takes]),0)</calculatedColumnFormula>
    </tableColumn>
    <tableColumn id="5" xr3:uid="{BE86BA39-ABBC-45D0-9BF4-BCA1F94E9037}" name="take-win-rate" dataDxfId="1879">
      <calculatedColumnFormula>IF(ParagonAbilities3Scenario2[[#This Row],[takes]]&gt;0,ParagonAbilities3Scenario2[[#This Row],[wins]]/ParagonAbilities3Scenario2[[#This Row],[takes]],0)</calculatedColumnFormula>
    </tableColumn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DDB7F110-02A6-4F67-8266-251AF48CB7C0}" name="ParagonAbilities4Scenario2" displayName="ParagonAbilities4Scenario2" ref="L59:P62" totalsRowShown="0" headerRowDxfId="1878" headerRowBorderDxfId="1877" tableBorderDxfId="1876" totalsRowBorderDxfId="1875">
  <autoFilter ref="L59:P62" xr:uid="{DDB7F110-02A6-4F67-8266-251AF48CB7C0}"/>
  <tableColumns count="5">
    <tableColumn id="1" xr3:uid="{D338CA14-E802-42EE-8BFA-6836716C9908}" name="ability"/>
    <tableColumn id="2" xr3:uid="{9A9A29CE-37D7-48B4-92C3-03658D7D504E}" name="takes" dataDxfId="1874">
      <calculatedColumnFormula>COUNTIF(Scenario2[winner1-ability4],ParagonAbilities4Scenario2[[#This Row],[ability]])+COUNTIF(Scenario2[loser1-ability4],ParagonAbilities4Scenario2[[#This Row],[ability]])</calculatedColumnFormula>
    </tableColumn>
    <tableColumn id="3" xr3:uid="{CD4A21F9-B080-48EC-B95F-55970882519B}" name="wins" dataDxfId="1873">
      <calculatedColumnFormula>COUNTIF(Scenario2[winner1-ability4],ParagonAbilities4Scenario2[[#This Row],[ability]])</calculatedColumnFormula>
    </tableColumn>
    <tableColumn id="4" xr3:uid="{CA8861D8-C4EC-4F7B-8C03-8907F286C5FD}" name="battles-take-rate" dataDxfId="1872">
      <calculatedColumnFormula>IF(SUM(ParagonAbilities4Scenario2[[#This Row],[takes]]) &gt; 0,ParagonAbilities4Scenario2[[#This Row],[takes]]/SUM(ParagonAbilities4Scenario2[takes]),0)</calculatedColumnFormula>
    </tableColumn>
    <tableColumn id="5" xr3:uid="{F7F33E76-185F-49B3-9CEE-79D0DA7E96C8}" name="take-win-rate" dataDxfId="1871">
      <calculatedColumnFormula>IF(ParagonAbilities4Scenario2[[#This Row],[takes]]&gt;0,ParagonAbilities4Scenario2[[#This Row],[wins]]/ParagonAbilities4Scenario2[[#This Row],[takes]],0)</calculatedColumnFormula>
    </tableColumn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DEC3E9D-FA56-4E08-A52D-2A8BEB87833A}" name="ParagonEquipScenario2" displayName="ParagonEquipScenario2" ref="R44:U47" totalsRowShown="0">
  <autoFilter ref="R44:U47" xr:uid="{BDEC3E9D-FA56-4E08-A52D-2A8BEB87833A}"/>
  <tableColumns count="4">
    <tableColumn id="1" xr3:uid="{3654BAF9-DF54-4C20-93F7-F4401331CDEE}" name="level"/>
    <tableColumn id="2" xr3:uid="{71A18B67-8C6D-4AB4-9298-D5A4052028A3}" name="spear" dataDxfId="1870">
      <calculatedColumnFormula>COUNTIFS(Scenario2[winner1],"paragon",Scenario2[winner1-pw],ParagonEquipScenario2[[#This Row],[level]])+COUNTIFS(Scenario2[loser1],"paragon",Scenario2[loser1-pw],ParagonEquipScenario2[[#This Row],[level]])</calculatedColumnFormula>
    </tableColumn>
    <tableColumn id="3" xr3:uid="{885580BB-891F-4840-9417-DF84FFB802D1}" name="shield" dataDxfId="1869">
      <calculatedColumnFormula>COUNTIFS(Scenario2[winner1],"paragon",Scenario2[winner1-sw],ParagonEquipScenario2[[#This Row],[level]])+COUNTIFS(Scenario2[loser1],"paragon",Scenario2[loser1-sw],ParagonEquipScenario2[[#This Row],[level]])</calculatedColumnFormula>
    </tableColumn>
    <tableColumn id="4" xr3:uid="{A78641FE-6252-4136-B7CD-4FCC95346059}" name="chestpiece" dataDxfId="1868">
      <calculatedColumnFormula>COUNTIFS(Scenario2[winner1],"paragon",Scenario2[winner1-cp],ParagonEquipScenario2[[#This Row],[level]])+COUNTIFS(Scenario2[loser1],"paragon",Scenario2[loser1-cp],ParagonEquipScenario2[[#This Row],[level]])</calculatedColumnFormula>
    </tableColumn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6A71A7D-18E0-4765-A573-4FC87722BEE5}" name="UpgradeStatistics19" displayName="UpgradeStatistics19" ref="W1:X11" totalsRowShown="0">
  <autoFilter ref="W1:X11" xr:uid="{D6A71A7D-18E0-4765-A573-4FC87722BEE5}"/>
  <tableColumns count="2">
    <tableColumn id="1" xr3:uid="{653909CD-0407-4E12-BC8A-33D53F09E9DA}" name="upgrade"/>
    <tableColumn id="3" xr3:uid="{266C9BFE-2BD6-4D60-B434-3D88B10BCE57}" name="rate" dataDxfId="1867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C878A18-3264-45EE-BE71-FA639C7DB5BA}" name="ParagonAbilities1Scenario3" displayName="ParagonAbilities1Scenario3" ref="L65:P68" totalsRowShown="0">
  <autoFilter ref="L65:P68" xr:uid="{6C878A18-3264-45EE-BE71-FA639C7DB5BA}"/>
  <tableColumns count="5">
    <tableColumn id="2" xr3:uid="{922E31FF-29D2-4166-84DC-41D84294B2B2}" name="ability"/>
    <tableColumn id="6" xr3:uid="{1827C7B0-E541-449A-80FD-5B11FDAC6EE7}" name="takes" dataDxfId="1866">
      <calculatedColumnFormula>COUNTIF(Scenario3[winner1-ability1],ParagonAbilities1Scenario3[[#This Row],[ability]])+COUNTIF(Scenario3[loser1-ability1],ParagonAbilities1Scenario3[[#This Row],[ability]])+COUNTIF(Scenario3[loser2-ability1],ParagonAbilities1Scenario3[[#This Row],[ability]])</calculatedColumnFormula>
    </tableColumn>
    <tableColumn id="4" xr3:uid="{8F154050-7CC9-489E-9E18-A4069F54A58C}" name="wins" dataDxfId="1865">
      <calculatedColumnFormula>COUNTIF(Scenario3[winner1-ability1],ParagonAbilities1Scenario3[[#This Row],[ability]])</calculatedColumnFormula>
    </tableColumn>
    <tableColumn id="5" xr3:uid="{BF58455F-D839-40A6-B834-044CCA3A9D62}" name="battles-take-rate" dataDxfId="1864">
      <calculatedColumnFormula>IF(SUM(ParagonAbilities1Scenario3[[#This Row],[takes]]) &gt; 0,ParagonAbilities1Scenario3[[#This Row],[takes]]/SUM(ParagonAbilities1Scenario3[takes]),0)</calculatedColumnFormula>
    </tableColumn>
    <tableColumn id="7" xr3:uid="{F2C6A820-9190-44EE-B8F5-5F73CCA05873}" name="take-win-rate" dataDxfId="1863">
      <calculatedColumnFormula>IF(ParagonAbilities1Scenario3[[#This Row],[takes]]&gt;0,ParagonAbilities1Scenario3[[#This Row],[wins]]/ParagonAbilities1Scenario3[[#This Row],[takes]],0)</calculatedColumnFormula>
    </tableColumn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02C386E-05E0-4B48-B79E-214CD6114F19}" name="ParagonAbilities2Scenario3" displayName="ParagonAbilities2Scenario3" ref="L70:P73" totalsRowShown="0" headerRowDxfId="1862" headerRowBorderDxfId="1861" tableBorderDxfId="1860" totalsRowBorderDxfId="1859">
  <autoFilter ref="L70:P73" xr:uid="{502C386E-05E0-4B48-B79E-214CD6114F19}"/>
  <tableColumns count="5">
    <tableColumn id="1" xr3:uid="{49C808F8-4D0F-4ADE-8791-9358A935EFA8}" name="ability"/>
    <tableColumn id="2" xr3:uid="{D0CD163A-A557-4F1E-BD7B-942030FF4BEA}" name="takes" dataDxfId="1858">
      <calculatedColumnFormula>COUNTIF(Scenario3[winner1-ability2],ParagonAbilities2Scenario3[[#This Row],[ability]])+COUNTIF(Scenario3[loser1-ability2],ParagonAbilities2Scenario3[[#This Row],[ability]])+COUNTIF(Scenario3[loser2-ability2],ParagonAbilities2Scenario3[[#This Row],[ability]])</calculatedColumnFormula>
    </tableColumn>
    <tableColumn id="3" xr3:uid="{34A5E7F6-E86C-4604-8E03-4F3480DFB577}" name="wins" dataDxfId="1857">
      <calculatedColumnFormula>COUNTIF(Scenario3[winner1-ability2],ParagonAbilities2Scenario3[[#This Row],[ability]])</calculatedColumnFormula>
    </tableColumn>
    <tableColumn id="4" xr3:uid="{A47A03CE-64B7-48DE-84FE-4869BB655C1E}" name="battles-take-rate" dataDxfId="1856">
      <calculatedColumnFormula>IF(SUM(ParagonAbilities2Scenario3[[#This Row],[takes]]) &gt; 0,ParagonAbilities2Scenario3[[#This Row],[takes]]/SUM(ParagonAbilities2Scenario3[takes]),0)</calculatedColumnFormula>
    </tableColumn>
    <tableColumn id="5" xr3:uid="{31C7A701-BF4A-4734-A362-BD64F855C253}" name="take-win-rate" dataDxfId="1855">
      <calculatedColumnFormula>IF(ParagonAbilities2Scenario3[[#This Row],[takes]]&gt;0,ParagonAbilities2Scenario3[[#This Row],[wins]]/ParagonAbilities2Scenario3[[#This Row],[takes]],0)</calculatedColumnFormula>
    </tableColumn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2FA4B6C-388F-4DBF-B109-DB12D5D43389}" name="ParagonAbilities3Scenario3" displayName="ParagonAbilities3Scenario3" ref="L75:P78" totalsRowShown="0" headerRowDxfId="1854" headerRowBorderDxfId="1853" tableBorderDxfId="1852" totalsRowBorderDxfId="1851">
  <autoFilter ref="L75:P78" xr:uid="{D2FA4B6C-388F-4DBF-B109-DB12D5D43389}"/>
  <tableColumns count="5">
    <tableColumn id="1" xr3:uid="{3B130B1D-C69B-43FA-8D49-603C551BA136}" name="ability"/>
    <tableColumn id="2" xr3:uid="{0963E29D-B71F-42F8-AB69-03BD4624F9AC}" name="takes" dataDxfId="1850">
      <calculatedColumnFormula>COUNTIF(Scenario3[winner1-ability3],ParagonAbilities3Scenario3[[#This Row],[ability]])+COUNTIF(Scenario3[loser1-ability3],ParagonAbilities3Scenario3[[#This Row],[ability]])+COUNTIF(Scenario3[loser2-ability3],ParagonAbilities3Scenario3[[#This Row],[ability]])</calculatedColumnFormula>
    </tableColumn>
    <tableColumn id="3" xr3:uid="{4DB3291F-C808-4AAE-A8BA-93B671C21D51}" name="wins" dataDxfId="1849">
      <calculatedColumnFormula>COUNTIF(Scenario3[winner1-ability3],ParagonAbilities3Scenario3[[#This Row],[ability]])</calculatedColumnFormula>
    </tableColumn>
    <tableColumn id="4" xr3:uid="{6962BF6D-C2E4-4653-B2E5-14FA4D687B66}" name="battles-take-rate" dataDxfId="1848">
      <calculatedColumnFormula>IF(SUM(ParagonAbilities3Scenario3[[#This Row],[takes]]) &gt; 0,ParagonAbilities3Scenario3[[#This Row],[takes]]/SUM(ParagonAbilities3Scenario3[takes]),0)</calculatedColumnFormula>
    </tableColumn>
    <tableColumn id="5" xr3:uid="{FBA7C6C2-7F68-4F9E-B7CB-3C13E185C952}" name="take-win-rate" dataDxfId="1847">
      <calculatedColumnFormula>IF(ParagonAbilities3Scenario3[[#This Row],[takes]]&gt;0,ParagonAbilities3Scenario3[[#This Row],[wins]]/ParagonAbilities3Scenario3[[#This Row],[takes]],0)</calculatedColumnFormula>
    </tableColumn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8CF0BA4-76F1-4AAF-BA95-AFE401ECAA3A}" name="ParagonAbilities4Scenario3" displayName="ParagonAbilities4Scenario3" ref="L80:P83" totalsRowShown="0" headerRowDxfId="1846" headerRowBorderDxfId="1845" tableBorderDxfId="1844" totalsRowBorderDxfId="1843">
  <autoFilter ref="L80:P83" xr:uid="{E8CF0BA4-76F1-4AAF-BA95-AFE401ECAA3A}"/>
  <tableColumns count="5">
    <tableColumn id="1" xr3:uid="{E0B87DF1-3E09-42D3-95C0-0EA90A6DFE98}" name="ability"/>
    <tableColumn id="2" xr3:uid="{8EA449E8-5BF8-4212-96E4-472349B1BD9D}" name="takes" dataDxfId="1842">
      <calculatedColumnFormula>COUNTIF(Scenario3[winner1-ability4],ParagonAbilities4Scenario3[[#This Row],[ability]])+COUNTIF(Scenario3[loser1-ability4],ParagonAbilities4Scenario3[[#This Row],[ability]])+COUNTIF(Scenario3[loser2-ability4],ParagonAbilities4Scenario3[[#This Row],[ability]])</calculatedColumnFormula>
    </tableColumn>
    <tableColumn id="3" xr3:uid="{2ED6B3D3-54E8-4E67-80D2-1152E8FE9F89}" name="wins" dataDxfId="1841">
      <calculatedColumnFormula>COUNTIF(Scenario3[winner1-ability4],ParagonAbilities4Scenario3[[#This Row],[ability]])</calculatedColumnFormula>
    </tableColumn>
    <tableColumn id="4" xr3:uid="{5564EF3F-A1E6-47F3-9245-63CBC8BF13EA}" name="battles-take-rate" dataDxfId="1840">
      <calculatedColumnFormula>IF(SUM(ParagonAbilities4Scenario3[[#This Row],[takes]]) &gt; 0,ParagonAbilities4Scenario3[[#This Row],[takes]]/SUM(ParagonAbilities4Scenario3[takes]),0)</calculatedColumnFormula>
    </tableColumn>
    <tableColumn id="5" xr3:uid="{00AF7A6C-DA25-40DA-87BB-3D5AF7A9CBD2}" name="take-win-rate" dataDxfId="1839">
      <calculatedColumnFormula>IF(ParagonAbilities4Scenario3[[#This Row],[takes]]&gt;0,ParagonAbilities4Scenario3[[#This Row],[wins]]/ParagonAbilities4Scenario3[[#This Row],[takes]],0)</calculatedColumnFormula>
    </tableColumn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6645EAE-141A-4B6A-A1B0-2F427AEA02EC}" name="ParagonEquipScenario3" displayName="ParagonEquipScenario3" ref="R65:U68" totalsRowShown="0">
  <autoFilter ref="R65:U68" xr:uid="{B6645EAE-141A-4B6A-A1B0-2F427AEA02EC}"/>
  <tableColumns count="4">
    <tableColumn id="1" xr3:uid="{76CF719D-1E10-4C65-8297-C87577895237}" name="level"/>
    <tableColumn id="2" xr3:uid="{D5625F9B-41B7-462B-AA1C-CF60A1C4C9EA}" name="spear" dataDxfId="1838">
      <calculatedColumnFormula>COUNTIFS(Scenario3[winner1],"paragon",Scenario3[winner1-pw],ParagonEquipScenario3[[#This Row],[level]])+COUNTIFS(Scenario3[loser1],"paragon",Scenario3[loser1-pw],ParagonEquipScenario3[[#This Row],[level]])+COUNTIFS(Scenario3[loser2],"paragon",Scenario3[loser2-pw],ParagonEquipScenario3[[#This Row],[level]])</calculatedColumnFormula>
    </tableColumn>
    <tableColumn id="3" xr3:uid="{53C87136-4D61-497E-82D1-B84AF74080A4}" name="shield" dataDxfId="1837">
      <calculatedColumnFormula>COUNTIFS(Scenario3[winner1],"paragon",Scenario3[winner1-sw],ParagonEquipScenario3[[#This Row],[level]])+COUNTIFS(Scenario3[loser1],"paragon",Scenario3[loser1-sw],ParagonEquipScenario3[[#This Row],[level]])+COUNTIFS(Scenario3[loser2],"paragon",Scenario3[loser2-sw],ParagonEquipScenario3[[#This Row],[level]])</calculatedColumnFormula>
    </tableColumn>
    <tableColumn id="4" xr3:uid="{8E8455FA-6AAA-4A48-8CC2-1BF7A603B787}" name="chestpiece" dataDxfId="1836">
      <calculatedColumnFormula>COUNTIFS(Scenario3[winner1],"paragon",Scenario3[winner1-cp],ParagonEquipScenario3[[#This Row],[level]])+COUNTIFS(Scenario3[loser1],"paragon",Scenario3[loser1-cp],ParagonEquipScenario3[[#This Row],[level]])+COUNTIFS(Scenario3[loser2],"paragon",Scenario3[loser2-cp],ParagonEquipScenario3[[#This Row],[level]])</calculatedColumnFormula>
    </tableColumn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5" xr:uid="{5FC04010-B6D0-48BA-B9DA-BDE269B3F0F6}" name="ParagonAbilities1Scenario4" displayName="ParagonAbilities1Scenario4" ref="L86:P89" totalsRowShown="0">
  <autoFilter ref="L86:P89" xr:uid="{5FC04010-B6D0-48BA-B9DA-BDE269B3F0F6}"/>
  <tableColumns count="5">
    <tableColumn id="2" xr3:uid="{EF41A409-0E29-4E87-91D8-F73D44DFD327}" name="ability"/>
    <tableColumn id="6" xr3:uid="{CBD66C18-A413-4C35-8DCD-35C76D1AD4A6}" name="takes" dataDxfId="1835">
      <calculatedColumnFormula>COUNTIF(Scenario4[winner1-ability1],ParagonAbilities1Scenario4[[#This Row],[ability]])+COUNTIF(Scenario4[loser1-ability1],ParagonAbilities1Scenario4[[#This Row],[ability]])+COUNTIF(Scenario4[loser2-ability1],ParagonAbilities1Scenario4[[#This Row],[ability]])+COUNTIF(Scenario4[loser3-ability1],ParagonAbilities1Scenario4[[#This Row],[ability]])</calculatedColumnFormula>
    </tableColumn>
    <tableColumn id="4" xr3:uid="{1954FA7D-CBC6-4F94-B801-E341102D6034}" name="wins" dataDxfId="1834">
      <calculatedColumnFormula>COUNTIF(Scenario4[winner1-ability1],ParagonAbilities1Scenario4[[#This Row],[ability]])</calculatedColumnFormula>
    </tableColumn>
    <tableColumn id="5" xr3:uid="{A3A712DA-79C2-4E0A-B45F-24046DDDC055}" name="battles-take-rate" dataDxfId="1833">
      <calculatedColumnFormula>IF(SUM(ParagonAbilities1Scenario4[[#This Row],[takes]]) &gt; 0,ParagonAbilities1Scenario4[[#This Row],[takes]]/SUM(ParagonAbilities1Scenario4[takes]),0)</calculatedColumnFormula>
    </tableColumn>
    <tableColumn id="7" xr3:uid="{D4EBBB61-88AB-4375-909A-8B3C8177B4F0}" name="take-win-rate" dataDxfId="1832">
      <calculatedColumnFormula>IF(ParagonAbilities1Scenario4[[#This Row],[takes]]&gt;0,ParagonAbilities1Scenario4[[#This Row],[wins]]/ParagonAbilities1Scenario4[[#This Row],[takes]],0)</calculatedColumnFormula>
    </tableColumn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6" xr:uid="{CA0A0A50-9105-4A16-ABA0-FA728B57FE1F}" name="ParagonAbilities2Scenario4" displayName="ParagonAbilities2Scenario4" ref="L91:P94" totalsRowShown="0" headerRowDxfId="1831" headerRowBorderDxfId="1830" tableBorderDxfId="1829" totalsRowBorderDxfId="1828">
  <autoFilter ref="L91:P94" xr:uid="{CA0A0A50-9105-4A16-ABA0-FA728B57FE1F}"/>
  <tableColumns count="5">
    <tableColumn id="1" xr3:uid="{8224C9DD-4973-4727-B520-322E25AAE571}" name="ability"/>
    <tableColumn id="2" xr3:uid="{74A86BE2-C98E-4FA8-9BA9-D946AE0E11E4}" name="takes" dataDxfId="1827">
      <calculatedColumnFormula>COUNTIF(Scenario4[winner1-ability2],ParagonAbilities2Scenario4[[#This Row],[ability]])+COUNTIF(Scenario4[loser1-ability2],ParagonAbilities2Scenario4[[#This Row],[ability]])+COUNTIF(Scenario4[loser2-ability2],ParagonAbilities2Scenario4[[#This Row],[ability]])+COUNTIF(Scenario4[loser3-ability2],ParagonAbilities2Scenario4[[#This Row],[ability]])</calculatedColumnFormula>
    </tableColumn>
    <tableColumn id="3" xr3:uid="{C9406673-1016-448B-B927-FAA7B4FD27E9}" name="wins" dataDxfId="1826">
      <calculatedColumnFormula>COUNTIF(Scenario4[winner1-ability2],ParagonAbilities2Scenario4[[#This Row],[ability]])</calculatedColumnFormula>
    </tableColumn>
    <tableColumn id="4" xr3:uid="{1F4853F6-9A8B-440D-A883-73FBA3E2B146}" name="battles-take-rate" dataDxfId="1825">
      <calculatedColumnFormula>IF(SUM(ParagonAbilities2Scenario4[[#This Row],[takes]]) &gt; 0,ParagonAbilities2Scenario4[[#This Row],[takes]]/SUM(ParagonAbilities2Scenario4[takes]),0)</calculatedColumnFormula>
    </tableColumn>
    <tableColumn id="5" xr3:uid="{024DC6B3-D20A-4883-8706-783A2546465F}" name="take-win-rate" dataDxfId="1824">
      <calculatedColumnFormula>IF(ParagonAbilities2Scenario4[[#This Row],[takes]]&gt;0,ParagonAbilities2Scenario4[[#This Row],[wins]]/ParagonAbilities2Scenario4[[#This Row],[takes]],0)</calculatedColumnFormula>
    </tableColumn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7" xr:uid="{6FF33D84-CB9D-4C93-8052-8357D99FC501}" name="ParagonAbilities3Scenario4" displayName="ParagonAbilities3Scenario4" ref="L96:P99" totalsRowShown="0" headerRowDxfId="1823" headerRowBorderDxfId="1822" tableBorderDxfId="1821" totalsRowBorderDxfId="1820">
  <autoFilter ref="L96:P99" xr:uid="{6FF33D84-CB9D-4C93-8052-8357D99FC501}"/>
  <tableColumns count="5">
    <tableColumn id="1" xr3:uid="{2A207787-15C9-4704-A903-9F740B013051}" name="ability"/>
    <tableColumn id="2" xr3:uid="{48DD801C-FF50-4FBE-8AED-5B06854DC66D}" name="takes" dataDxfId="1819">
      <calculatedColumnFormula>COUNTIF(Scenario4[winner1-ability3],ParagonAbilities3Scenario4[[#This Row],[ability]])+COUNTIF(Scenario4[loser1-ability3],ParagonAbilities3Scenario4[[#This Row],[ability]])+COUNTIF(Scenario4[loser2-ability3],ParagonAbilities3Scenario4[[#This Row],[ability]])+COUNTIF(Scenario4[loser3-ability3],ParagonAbilities3Scenario4[[#This Row],[ability]])</calculatedColumnFormula>
    </tableColumn>
    <tableColumn id="3" xr3:uid="{6132E456-2CA1-40EA-B755-A3546AE164DC}" name="wins" dataDxfId="1818">
      <calculatedColumnFormula>COUNTIF(Scenario4[winner1-ability3],ParagonAbilities3Scenario4[[#This Row],[ability]])</calculatedColumnFormula>
    </tableColumn>
    <tableColumn id="4" xr3:uid="{90E5726D-20F9-4F3A-A0E6-A5A6EC87E009}" name="battles-take-rate" dataDxfId="1817">
      <calculatedColumnFormula>IF(SUM(ParagonAbilities3Scenario4[[#This Row],[takes]]) &gt; 0,ParagonAbilities3Scenario4[[#This Row],[takes]]/SUM(ParagonAbilities3Scenario4[takes]),0)</calculatedColumnFormula>
    </tableColumn>
    <tableColumn id="5" xr3:uid="{B74FE47C-02EC-4124-9FFF-E051FCC62CCB}" name="take-win-rate" dataDxfId="1816">
      <calculatedColumnFormula>IF(ParagonAbilities3Scenario4[[#This Row],[takes]]&gt;0,ParagonAbilities3Scenario4[[#This Row],[wins]]/ParagonAbilities3Scenario4[[#This Row],[takes]],0)</calculatedColumnFormula>
    </tableColumn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8" xr:uid="{9022DE4B-F380-40AC-A2A3-67B59B644028}" name="ParagonAbilities4Scenario4" displayName="ParagonAbilities4Scenario4" ref="L101:P104" totalsRowShown="0" headerRowDxfId="1815" headerRowBorderDxfId="1814" tableBorderDxfId="1813" totalsRowBorderDxfId="1812">
  <autoFilter ref="L101:P104" xr:uid="{9022DE4B-F380-40AC-A2A3-67B59B644028}"/>
  <tableColumns count="5">
    <tableColumn id="1" xr3:uid="{D26B11FA-CE66-49A6-ADA1-9E6675AA0AC4}" name="ability"/>
    <tableColumn id="2" xr3:uid="{D4518964-52A7-4487-8542-9B0F3A001D8F}" name="takes" dataDxfId="1811">
      <calculatedColumnFormula>COUNTIF(Scenario4[winner1-ability4],ParagonAbilities4Scenario4[[#This Row],[ability]])+COUNTIF(Scenario4[loser1-ability4],ParagonAbilities4Scenario4[[#This Row],[ability]])+COUNTIF(Scenario4[loser2-ability4],ParagonAbilities4Scenario4[[#This Row],[ability]])+COUNTIF(Scenario4[loser3-ability4],ParagonAbilities4Scenario4[[#This Row],[ability]])</calculatedColumnFormula>
    </tableColumn>
    <tableColumn id="3" xr3:uid="{0CA7B7E1-3B94-4169-8C62-356E2F67521F}" name="wins" dataDxfId="1810">
      <calculatedColumnFormula>COUNTIF(Scenario4[winner1-ability4],ParagonAbilities4Scenario4[[#This Row],[ability]])</calculatedColumnFormula>
    </tableColumn>
    <tableColumn id="4" xr3:uid="{5FA50C4E-7E25-4F47-8E1C-377ED6B583BF}" name="battles-take-rate" dataDxfId="1809">
      <calculatedColumnFormula>IF(SUM(ParagonAbilities4Scenario4[[#This Row],[takes]]) &gt; 0,ParagonAbilities4Scenario4[[#This Row],[takes]]/SUM(ParagonAbilities4Scenario4[takes]),0)</calculatedColumnFormula>
    </tableColumn>
    <tableColumn id="5" xr3:uid="{AF8AA04D-671D-47D1-98EC-3552F8B8A6BB}" name="take-win-rate" dataDxfId="1808">
      <calculatedColumnFormula>IF(ParagonAbilities4Scenario4[[#This Row],[takes]]&gt;0,ParagonAbilities4Scenario4[[#This Row],[wins]]/ParagonAbilities4Scenario4[[#This Row],[takes]],0)</calculatedColumnFormula>
    </tableColumn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9" xr:uid="{73C663B0-EC72-4A3D-9C7D-9F92512EE4BE}" name="ParagonEquipScenario4" displayName="ParagonEquipScenario4" ref="R86:U89" totalsRowShown="0">
  <autoFilter ref="R86:U89" xr:uid="{73C663B0-EC72-4A3D-9C7D-9F92512EE4BE}"/>
  <tableColumns count="4">
    <tableColumn id="1" xr3:uid="{C1E5D584-6EC5-4420-94D0-30C7F97D9D03}" name="level"/>
    <tableColumn id="2" xr3:uid="{4BD01934-1594-4286-977E-FAEF0A661CC4}" name="spear" dataDxfId="1807">
      <calculatedColumnFormula>COUNTIFS(Scenario4[winner1],"paragon",Scenario4[winner1-pw],ParagonEquipScenario4[[#This Row],[level]])+COUNTIFS(Scenario4[loser1],"paragon",Scenario4[loser1-pw],ParagonEquipScenario4[[#This Row],[level]])+COUNTIFS(Scenario4[loser2],"paragon",Scenario4[loser2-pw],ParagonEquipScenario4[[#This Row],[level]])+COUNTIFS(Scenario4[loser3],"paragon",Scenario4[loser3-pw],ParagonEquipScenario4[[#This Row],[level]])</calculatedColumnFormula>
    </tableColumn>
    <tableColumn id="3" xr3:uid="{3BCC89F2-7DD2-480E-B4C2-F71972D241D2}" name="shield" dataDxfId="1806">
      <calculatedColumnFormula>COUNTIFS(Scenario4[winner1],"paragon",Scenario4[winner1-sw],ParagonEquipScenario4[[#This Row],[level]])+COUNTIFS(Scenario4[loser1],"paragon",Scenario4[loser1-sw],ParagonEquipScenario4[[#This Row],[level]])+COUNTIFS(Scenario4[loser2],"paragon",Scenario4[loser2-sw],ParagonEquipScenario4[[#This Row],[level]])+COUNTIFS(Scenario4[loser3],"paragon",Scenario4[loser3-sw],ParagonEquipScenario4[[#This Row],[level]])</calculatedColumnFormula>
    </tableColumn>
    <tableColumn id="4" xr3:uid="{BE3B3FF2-DEFA-4E48-A164-42BD42068AE5}" name="chestpiece" dataDxfId="1805">
      <calculatedColumnFormula>COUNTIFS(Scenario4[winner1],"paragon",Scenario4[winner1-cp],ParagonEquipScenario4[[#This Row],[level]])+COUNTIFS(Scenario4[loser1],"paragon",Scenario4[loser1-cp],ParagonEquipScenario4[[#This Row],[level]])+COUNTIFS(Scenario4[loser2],"paragon",Scenario4[loser2-cp],ParagonEquipScenario4[[#This Row],[level]])+COUNTIFS(Scenario4[loser3],"paragon",Scenario4[loser3-cp],ParagonEquipScenario4[[#This Row],[level]])</calculatedColumnFormula>
    </tableColumn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3" xr:uid="{CD693FC2-6CBF-48E1-A47A-AFE4369E2457}" name="ParagonAbilities1Scenario5" displayName="ParagonAbilities1Scenario5" ref="L107:P110" totalsRowShown="0">
  <autoFilter ref="L107:P110" xr:uid="{CD693FC2-6CBF-48E1-A47A-AFE4369E2457}"/>
  <tableColumns count="5">
    <tableColumn id="2" xr3:uid="{BA2BBDF8-6048-41A1-9842-4BB364B48FA3}" name="ability"/>
    <tableColumn id="6" xr3:uid="{509BFAA7-DB2C-48A0-9F8B-230AC34EEC23}" name="takes" dataDxfId="1804">
      <calculatedColumnFormula>COUNTIF(Scenario5[winner1-ability1],ParagonAbilities1Scenario5[[#This Row],[ability]])+COUNTIF(Scenario5[winner2-ability1],ParagonAbilities1Scenario5[[#This Row],[ability]])+COUNTIF(Scenario5[loser1-ability1],ParagonAbilities1Scenario5[[#This Row],[ability]])+COUNTIF(Scenario5[loser2-ability1],ParagonAbilities1Scenario5[[#This Row],[ability]])</calculatedColumnFormula>
    </tableColumn>
    <tableColumn id="4" xr3:uid="{11FA4575-C4E8-4517-9AA7-0673FD00044F}" name="wins" dataDxfId="1803">
      <calculatedColumnFormula>COUNTIF(Scenario5[winner1-ability1],ParagonAbilities1Scenario5[[#This Row],[ability]])+COUNTIF(Scenario5[winner2-ability1],ParagonAbilities1Scenario5[[#This Row],[ability]])</calculatedColumnFormula>
    </tableColumn>
    <tableColumn id="5" xr3:uid="{42FB0731-E11A-4DE8-BC02-B7649AED4479}" name="battles-take-rate" dataDxfId="1802">
      <calculatedColumnFormula>IF(SUM(ParagonAbilities1Scenario5[[#This Row],[takes]]) &gt; 0,ParagonAbilities1Scenario5[[#This Row],[takes]]/SUM(ParagonAbilities1Scenario5[takes]),0)</calculatedColumnFormula>
    </tableColumn>
    <tableColumn id="7" xr3:uid="{4090F1E2-8672-42C4-804D-455F07C1F409}" name="take-win-rate" dataDxfId="1801">
      <calculatedColumnFormula>IF(ParagonAbilities1Scenario5[[#This Row],[takes]]&gt;0,ParagonAbilities1Scenario5[[#This Row],[wins]]/ParagonAbilities1Scenario5[[#This Row],[takes]],0)</calculatedColumnFormula>
    </tableColumn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4" xr:uid="{52B27CB7-A610-478B-8DE2-8545015C7EFF}" name="ParagonAbilities2Scenario5" displayName="ParagonAbilities2Scenario5" ref="L112:P115" totalsRowShown="0" headerRowDxfId="1800" headerRowBorderDxfId="1799" tableBorderDxfId="1798" totalsRowBorderDxfId="1797">
  <autoFilter ref="L112:P115" xr:uid="{52B27CB7-A610-478B-8DE2-8545015C7EFF}"/>
  <tableColumns count="5">
    <tableColumn id="1" xr3:uid="{ADE24C97-0CD9-4FC7-9CC2-4D1C085E7A4C}" name="ability"/>
    <tableColumn id="2" xr3:uid="{46B98EBA-2332-477F-8F4D-0A1DA905B241}" name="takes" dataDxfId="1796">
      <calculatedColumnFormula>COUNTIF(Scenario5[winner1-ability2],ParagonAbilities2Scenario5[[#This Row],[ability]])+COUNTIF(Scenario5[winner2-ability2],ParagonAbilities2Scenario5[[#This Row],[ability]])+COUNTIF(Scenario5[loser1-ability2],ParagonAbilities2Scenario5[[#This Row],[ability]])+COUNTIF(Scenario5[loser2-ability2],ParagonAbilities2Scenario5[[#This Row],[ability]])</calculatedColumnFormula>
    </tableColumn>
    <tableColumn id="3" xr3:uid="{FB4D07C7-B3B4-447A-B069-DB7FF1ED1592}" name="wins" dataDxfId="1795">
      <calculatedColumnFormula>COUNTIF(Scenario5[winner1-ability2],ParagonAbilities2Scenario5[[#This Row],[ability]])+COUNTIF(Scenario5[winner2-ability2],ParagonAbilities2Scenario5[[#This Row],[ability]])</calculatedColumnFormula>
    </tableColumn>
    <tableColumn id="4" xr3:uid="{5DBA4597-2F52-43A4-8821-495D98A31AA5}" name="battles-take-rate" dataDxfId="1794">
      <calculatedColumnFormula>IF(SUM(ParagonAbilities2Scenario5[[#This Row],[takes]]) &gt; 0,ParagonAbilities2Scenario5[[#This Row],[takes]]/SUM(ParagonAbilities2Scenario5[takes]),0)</calculatedColumnFormula>
    </tableColumn>
    <tableColumn id="5" xr3:uid="{5E9793B3-AAFA-433A-A872-E908A9CBB790}" name="take-win-rate" dataDxfId="1793">
      <calculatedColumnFormula>IF(ParagonAbilities2Scenario5[[#This Row],[takes]]&gt;0,ParagonAbilities2Scenario5[[#This Row],[wins]]/ParagonAbilities2Scenario5[[#This Row],[takes]],0)</calculatedColumnFormula>
    </tableColumn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5" xr:uid="{2129150C-00AB-4EF8-9E63-D2AF530C6076}" name="ParagonAbilities3Scenario5" displayName="ParagonAbilities3Scenario5" ref="L117:P120" totalsRowShown="0" headerRowDxfId="1792" headerRowBorderDxfId="1791" tableBorderDxfId="1790" totalsRowBorderDxfId="1789">
  <autoFilter ref="L117:P120" xr:uid="{2129150C-00AB-4EF8-9E63-D2AF530C6076}"/>
  <tableColumns count="5">
    <tableColumn id="1" xr3:uid="{A45D14E6-EFF8-438E-855B-96CCEC53BCDB}" name="ability"/>
    <tableColumn id="2" xr3:uid="{901C1CA6-982F-41E9-8811-D7996B3469C5}" name="takes" dataDxfId="1788">
      <calculatedColumnFormula>COUNTIF(Scenario5[winner1-ability3],ParagonAbilities3Scenario5[[#This Row],[ability]])+COUNTIF(Scenario5[winner2-ability3],ParagonAbilities3Scenario5[[#This Row],[ability]])+COUNTIF(Scenario5[loser1-ability3],ParagonAbilities3Scenario5[[#This Row],[ability]])+COUNTIF(Scenario5[loser2-ability3],ParagonAbilities3Scenario5[[#This Row],[ability]])</calculatedColumnFormula>
    </tableColumn>
    <tableColumn id="3" xr3:uid="{278C5192-C1AB-46BE-B928-57278EB9008E}" name="wins" dataDxfId="1787">
      <calculatedColumnFormula>COUNTIF(Scenario5[winner1-ability3],ParagonAbilities3Scenario5[[#This Row],[ability]])+COUNTIF(Scenario5[winner2-ability3],ParagonAbilities3Scenario5[[#This Row],[ability]])</calculatedColumnFormula>
    </tableColumn>
    <tableColumn id="4" xr3:uid="{7FC3A833-79C5-4CD3-857E-719A93B6BAA1}" name="battles-take-rate" dataDxfId="1786">
      <calculatedColumnFormula>IF(SUM(ParagonAbilities3Scenario5[[#This Row],[takes]]) &gt; 0,ParagonAbilities3Scenario5[[#This Row],[takes]]/SUM(ParagonAbilities3Scenario5[takes]),0)</calculatedColumnFormula>
    </tableColumn>
    <tableColumn id="5" xr3:uid="{002D1D38-602A-4070-A3C0-DE5F84F0524D}" name="take-win-rate" dataDxfId="1785">
      <calculatedColumnFormula>IF(ParagonAbilities3Scenario5[[#This Row],[takes]]&gt;0,ParagonAbilities3Scenario5[[#This Row],[wins]]/ParagonAbilities3Scenario5[[#This Row],[takes]],0)</calculatedColumnFormula>
    </tableColumn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6" xr:uid="{720C4EE8-8592-4893-B831-3B609EE491FD}" name="ParagonAbilities4Scenario5" displayName="ParagonAbilities4Scenario5" ref="L122:P125" totalsRowShown="0" headerRowDxfId="1784" headerRowBorderDxfId="1783" tableBorderDxfId="1782" totalsRowBorderDxfId="1781">
  <autoFilter ref="L122:P125" xr:uid="{720C4EE8-8592-4893-B831-3B609EE491FD}"/>
  <tableColumns count="5">
    <tableColumn id="1" xr3:uid="{41EC1B98-14CE-4A42-BD01-7D73482CAEAA}" name="ability"/>
    <tableColumn id="2" xr3:uid="{D9D0E025-F80A-44F3-9C5D-D7C9CC363532}" name="takes" dataDxfId="1780">
      <calculatedColumnFormula>COUNTIF(Scenario5[winner1-ability4],ParagonAbilities4Scenario5[[#This Row],[ability]])+COUNTIF(Scenario5[winner2-ability4],ParagonAbilities4Scenario5[[#This Row],[ability]])+COUNTIF(Scenario5[loser1-ability4],ParagonAbilities4Scenario5[[#This Row],[ability]])+COUNTIF(Scenario5[loser2-ability4],ParagonAbilities4Scenario5[[#This Row],[ability]])</calculatedColumnFormula>
    </tableColumn>
    <tableColumn id="3" xr3:uid="{DEDC24C2-58C6-4B92-83BE-27DB07F530B7}" name="wins" dataDxfId="1779">
      <calculatedColumnFormula>COUNTIF(Scenario5[winner1-ability4],ParagonAbilities4Scenario5[[#This Row],[ability]])+COUNTIF(Scenario5[winner2-ability4],ParagonAbilities4Scenario5[[#This Row],[ability]])</calculatedColumnFormula>
    </tableColumn>
    <tableColumn id="4" xr3:uid="{F6F90366-092B-4860-AB1C-F322D8D5DE67}" name="battles-take-rate" dataDxfId="1778">
      <calculatedColumnFormula>IF(SUM(ParagonAbilities4Scenario5[[#This Row],[takes]]) &gt; 0,ParagonAbilities4Scenario5[[#This Row],[takes]]/SUM(ParagonAbilities4Scenario5[takes]),0)</calculatedColumnFormula>
    </tableColumn>
    <tableColumn id="5" xr3:uid="{110729A7-46D4-4F24-8E23-BD9586A6EF9C}" name="take-win-rate" dataDxfId="1777">
      <calculatedColumnFormula>IF(ParagonAbilities4Scenario5[[#This Row],[takes]]&gt;0,ParagonAbilities4Scenario5[[#This Row],[wins]]/ParagonAbilities4Scenario5[[#This Row],[takes]],0)</calculatedColumnFormula>
    </tableColumn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7" xr:uid="{8710156E-8F53-4FA1-8C7E-91D2BA39A23D}" name="ParagonEquipScenario5" displayName="ParagonEquipScenario5" ref="R107:U110" totalsRowShown="0">
  <autoFilter ref="R107:U110" xr:uid="{8710156E-8F53-4FA1-8C7E-91D2BA39A23D}"/>
  <tableColumns count="4">
    <tableColumn id="1" xr3:uid="{38069383-B0D9-40F7-BFB1-E6BF530B05D1}" name="level"/>
    <tableColumn id="2" xr3:uid="{940F6758-E10E-42B0-ADAE-CEC2BECAAFAD}" name="spear" dataDxfId="1776">
      <calculatedColumnFormula>COUNTIFS(Scenario5[winner1],"paragon",Scenario5[winner1-pw],ParagonEquipScenario5[[#This Row],[level]])+COUNTIFS(Scenario5[winner2],"paragon",Scenario5[winner2-pw],ParagonEquipScenario5[[#This Row],[level]])+COUNTIFS(Scenario5[loser1],"paragon",Scenario5[loser1-pw],ParagonEquipScenario5[[#This Row],[level]])+COUNTIFS(Scenario5[loser2],"paragon",Scenario5[loser2-pw],ParagonEquipScenario5[[#This Row],[level]])</calculatedColumnFormula>
    </tableColumn>
    <tableColumn id="3" xr3:uid="{A59B6C2B-4360-44E1-AA1F-19DEFDF7736D}" name="shield" dataDxfId="1775">
      <calculatedColumnFormula>COUNTIFS(Scenario5[winner1],"paragon",Scenario5[winner1-sw],ParagonEquipScenario5[[#This Row],[level]])+COUNTIFS(Scenario5[winner2],"paragon",Scenario5[winner2-sw],ParagonEquipScenario5[[#This Row],[level]])+COUNTIFS(Scenario5[loser1],"paragon",Scenario5[loser1-sw],ParagonEquipScenario5[[#This Row],[level]])+COUNTIFS(Scenario5[loser2],"paragon",Scenario5[loser2-sw],ParagonEquipScenario5[[#This Row],[level]])</calculatedColumnFormula>
    </tableColumn>
    <tableColumn id="4" xr3:uid="{9896BA6E-1160-41C3-8DF1-F9D5EFCCA012}" name="chestpiece" dataDxfId="1774">
      <calculatedColumnFormula>COUNTIFS(Scenario5[winner1],"paragon",Scenario5[winner1-cp],ParagonEquipScenario5[[#This Row],[level]])+COUNTIFS(Scenario5[winner2],"paragon",Scenario5[winner2-cp],ParagonEquipScenario5[[#This Row],[level]])+COUNTIFS(Scenario5[loser1],"paragon",Scenario5[loser1-cp],ParagonEquipScenario5[[#This Row],[level]])+COUNTIFS(Scenario5[loser2],"paragon",Scenario5[loser2-cp],ParagonEquipScenario5[[#This Row],[level]])</calculatedColumnFormula>
    </tableColumn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34D8AEE4-F944-4380-8AD8-658EE5F3D261}" name="HighlanderAbilities1" displayName="HighlanderAbilities1" ref="A2:E5" totalsRowShown="0">
  <autoFilter ref="A2:E5" xr:uid="{DCA301F1-E0F8-4700-BEE5-2688AF43F23A}"/>
  <tableColumns count="5">
    <tableColumn id="2" xr3:uid="{EE32572C-DAA5-406B-A050-ABC096307EB0}" name="ability"/>
    <tableColumn id="6" xr3:uid="{B191C9C6-91BE-4A45-90E5-5E5C370BB73C}" name="takes" dataDxfId="1773">
      <calculatedColumnFormula>L3+L24+L45+L66+L87+L108</calculatedColumnFormula>
    </tableColumn>
    <tableColumn id="4" xr3:uid="{6AD8A7A2-0013-4031-8DAB-5AD3D8FCB173}" name="wins" dataDxfId="1772">
      <calculatedColumnFormula>M3+M24+M45+M66+M87+M108</calculatedColumnFormula>
    </tableColumn>
    <tableColumn id="5" xr3:uid="{B3552DFB-EAFC-4577-B811-AF0F9687BA5C}" name="battles-take-rate" dataDxfId="1771">
      <calculatedColumnFormula>IF(SUM(HighlanderAbilities1[[#This Row],[takes]]) &gt; 0,HighlanderAbilities1[[#This Row],[takes]]/SUM(HighlanderAbilities1[takes]),0)</calculatedColumnFormula>
    </tableColumn>
    <tableColumn id="7" xr3:uid="{FFDF1F84-88F6-4BDF-8211-51C60C7C3469}" name="take-win-rate" dataDxfId="1770">
      <calculatedColumnFormula>IF(HighlanderAbilities1[[#This Row],[takes]]&gt;0,HighlanderAbilities1[[#This Row],[wins]]/HighlanderAbilities1[[#This Row],[takes]],0)</calculatedColumnFormula>
    </tableColumn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63E3F09C-D270-4A71-B9A0-7F80E491B7ED}" name="HighlanderAbilities2" displayName="HighlanderAbilities2" ref="A7:E10" totalsRowShown="0" headerRowDxfId="1769" headerRowBorderDxfId="1768" tableBorderDxfId="1767" totalsRowBorderDxfId="1766">
  <autoFilter ref="A7:E10" xr:uid="{8ADAEE31-4DDA-4DF2-9EAD-04808D53FFC1}"/>
  <tableColumns count="5">
    <tableColumn id="1" xr3:uid="{FA259F45-71C5-43F8-8CCC-CD0F7810CBA7}" name="ability"/>
    <tableColumn id="2" xr3:uid="{1085E8A7-E8B5-4EC7-8B56-E8435D8A6F20}" name="takes" dataDxfId="1765">
      <calculatedColumnFormula>L8+L29+L50+L71+L92+L113</calculatedColumnFormula>
    </tableColumn>
    <tableColumn id="3" xr3:uid="{8FEED0FA-3268-41B1-9503-BD07DCBD59EB}" name="wins" dataDxfId="1764">
      <calculatedColumnFormula>M8+M29+M50+M71+M92+M113</calculatedColumnFormula>
    </tableColumn>
    <tableColumn id="4" xr3:uid="{791570BF-CF63-4FF3-98A5-66F96870FBA2}" name="battles-take-rate" dataDxfId="1763">
      <calculatedColumnFormula>IF(SUM(HighlanderAbilities2[[#This Row],[takes]]) &gt; 0,HighlanderAbilities2[[#This Row],[takes]]/SUM(HighlanderAbilities2[takes]),0)</calculatedColumnFormula>
    </tableColumn>
    <tableColumn id="5" xr3:uid="{6634EF11-3446-4F6F-9E40-1D27F85E1FFC}" name="take-win-rate" dataDxfId="1762">
      <calculatedColumnFormula>IF(HighlanderAbilities2[[#This Row],[takes]]&gt;0,HighlanderAbilities2[[#This Row],[wins]]/HighlanderAbilities2[[#This Row],[takes]],0)</calculatedColumnFormula>
    </tableColumn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CBD0C590-6AB9-4E3F-993F-2465BFD6E9B1}" name="HighlanderAbilities3" displayName="HighlanderAbilities3" ref="A12:E15" totalsRowShown="0" headerRowDxfId="1761" headerRowBorderDxfId="1760" tableBorderDxfId="1759" totalsRowBorderDxfId="1758">
  <autoFilter ref="A12:E15" xr:uid="{1B0EA3CA-FA8E-4345-B52C-471D5C94AD38}"/>
  <tableColumns count="5">
    <tableColumn id="1" xr3:uid="{65485672-1BFC-4CD1-B46C-3E10C20FE680}" name="ability"/>
    <tableColumn id="2" xr3:uid="{0FC87D2D-8207-4E95-A215-002A81DB981A}" name="takes" dataDxfId="1757">
      <calculatedColumnFormula>L13+L34+L55+L76+L97+L118</calculatedColumnFormula>
    </tableColumn>
    <tableColumn id="3" xr3:uid="{03C77734-0BE9-4820-9770-29ACD0AF0635}" name="wins" dataDxfId="1756">
      <calculatedColumnFormula>M13+M34+M55+M76+M97+M118</calculatedColumnFormula>
    </tableColumn>
    <tableColumn id="4" xr3:uid="{FE54A2A3-BC60-46B8-89C1-8C761FDDC67F}" name="battles-take-rate" dataDxfId="1755">
      <calculatedColumnFormula>IF(SUM(HighlanderAbilities3[[#This Row],[takes]]) &gt; 0,HighlanderAbilities3[[#This Row],[takes]]/SUM(HighlanderAbilities3[takes]),0)</calculatedColumnFormula>
    </tableColumn>
    <tableColumn id="5" xr3:uid="{DA930EE1-AE02-47BF-9B4D-5A393F7DB970}" name="take-win-rate" dataDxfId="1754">
      <calculatedColumnFormula>IF(HighlanderAbilities3[[#This Row],[takes]]&gt;0,HighlanderAbilities3[[#This Row],[wins]]/HighlanderAbilities3[[#This Row],[takes]],0)</calculatedColumnFormula>
    </tableColumn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1F6C03-4483-405D-98BD-FB6EF3A263C3}" name="HighlanderAbilities4" displayName="HighlanderAbilities4" ref="A17:E20" totalsRowShown="0" headerRowDxfId="1753" headerRowBorderDxfId="1752" tableBorderDxfId="1751" totalsRowBorderDxfId="1750">
  <autoFilter ref="A17:E20" xr:uid="{2AADA4A0-2F4A-4009-8ECF-0BECA693390C}"/>
  <tableColumns count="5">
    <tableColumn id="1" xr3:uid="{87950E31-BAB1-44C5-9C72-3AB67D671CA7}" name="ability" dataDxfId="1749"/>
    <tableColumn id="2" xr3:uid="{C84CD939-93B2-4F85-A4F0-569665A45FE6}" name="takes" dataDxfId="1748">
      <calculatedColumnFormula>L18+L39+L60+L81+L102+L123</calculatedColumnFormula>
    </tableColumn>
    <tableColumn id="3" xr3:uid="{6B188D82-4BD2-4FF2-8C12-D56DAEB9B117}" name="wins" dataDxfId="1747">
      <calculatedColumnFormula>M18+M39+M60+M81+M102+M123</calculatedColumnFormula>
    </tableColumn>
    <tableColumn id="4" xr3:uid="{00FCF0E9-BE21-44DD-BE30-37EA8F3BBCFF}" name="battles-take-rate" dataDxfId="1746">
      <calculatedColumnFormula>IF(SUM(HighlanderAbilities4[[#This Row],[takes]]) &gt; 0,HighlanderAbilities4[[#This Row],[takes]]/SUM(HighlanderAbilities4[takes]),0)</calculatedColumnFormula>
    </tableColumn>
    <tableColumn id="5" xr3:uid="{FEC5E0E8-2A76-482B-9A05-EDA592232EFF}" name="take-win-rate" dataDxfId="1745">
      <calculatedColumnFormula>IF(HighlanderAbilities4[[#This Row],[takes]]&gt;0,HighlanderAbilities4[[#This Row],[wins]]/HighlanderAbilities4[[#This Row],[takes]],0)</calculatedColumnFormula>
    </tableColumn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B06F8FE-44BC-4FE1-BF56-C9AB1EC7286F}" name="HighlanderEquip" displayName="HighlanderEquip" ref="G2:I5" totalsRowShown="0">
  <autoFilter ref="G2:I5" xr:uid="{C15024E5-2A00-4F8B-BBEB-0FE7A036BC54}"/>
  <tableColumns count="3">
    <tableColumn id="1" xr3:uid="{D0F05619-D1E8-46C7-9526-A7DF0895A0D7}" name="level"/>
    <tableColumn id="2" xr3:uid="{A17D6F16-BD22-477B-869E-67960222BBD3}" name="sword" dataDxfId="1744">
      <calculatedColumnFormula>R3+R24+R45+R66+R87+R108</calculatedColumnFormula>
    </tableColumn>
    <tableColumn id="4" xr3:uid="{6BFD5C7B-4CFB-4B7D-B8E9-5C10F667B91B}" name="chestpiece" dataDxfId="1743">
      <calculatedColumnFormula>S3+S24+S45+S66+S87+S108</calculatedColumnFormula>
    </tableColumn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2AEA6C82-CB7D-494C-B92D-FAB52F5AEC34}" name="HighlanderAbilities1Scenario0" displayName="HighlanderAbilities1Scenario0" ref="K2:O5" totalsRowShown="0">
  <autoFilter ref="K2:O5" xr:uid="{4CDFB74F-734F-4444-929B-80D3797B5492}"/>
  <tableColumns count="5">
    <tableColumn id="2" xr3:uid="{96C8E1E4-AEAC-496A-98F5-015EF720792C}" name="ability"/>
    <tableColumn id="6" xr3:uid="{548719A0-C351-44F3-B8B6-36F100E4AB71}" name="takes" dataDxfId="1742">
      <calculatedColumnFormula>COUNTIF(Scenario0[winner1-ability1],HighlanderAbilities1Scenario0[[#This Row],[ability]])+COUNTIF(Scenario0[winner2-ability1],HighlanderAbilities1Scenario0[[#This Row],[ability]])+COUNTIF(Scenario0[loser1-ability1],HighlanderAbilities1Scenario0[[#This Row],[ability]])+COUNTIF(Scenario0[loser2-ability1],HighlanderAbilities1Scenario0[[#This Row],[ability]])</calculatedColumnFormula>
    </tableColumn>
    <tableColumn id="4" xr3:uid="{FED2B03D-2958-4762-9C90-093F2120FB0C}" name="wins" dataDxfId="1741">
      <calculatedColumnFormula>COUNTIF(Scenario0[winner1-ability1],HighlanderAbilities1Scenario0[[#This Row],[ability]])+COUNTIF(Scenario0[winner2-ability1],HighlanderAbilities1Scenario0[[#This Row],[ability]])</calculatedColumnFormula>
    </tableColumn>
    <tableColumn id="5" xr3:uid="{714A2AB1-B8D3-4425-A4CC-48434EC29123}" name="battles-take-rate" dataDxfId="1740">
      <calculatedColumnFormula>IF(SUM(HighlanderAbilities1Scenario0[[#This Row],[takes]]) &gt; 0,HighlanderAbilities1Scenario0[[#This Row],[takes]]/SUM(HighlanderAbilities1Scenario0[takes]),0)</calculatedColumnFormula>
    </tableColumn>
    <tableColumn id="7" xr3:uid="{99994CED-0148-46BA-B84B-C9435D52BEC4}" name="take-win-rate" dataDxfId="1739">
      <calculatedColumnFormula>IF(HighlanderAbilities1Scenario0[[#This Row],[takes]]&gt;0,HighlanderAbilities1Scenario0[[#This Row],[wins]]/HighlanderAbilities1Scenario0[[#This Row],[takes]],0)</calculatedColumnFormula>
    </tableColumn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591F927F-DB10-4068-B28C-72C883595995}" name="HighlanderAbilities2Scenario0" displayName="HighlanderAbilities2Scenario0" ref="K7:O10" totalsRowShown="0" headerRowDxfId="1738" headerRowBorderDxfId="1737" tableBorderDxfId="1736" totalsRowBorderDxfId="1735">
  <autoFilter ref="K7:O10" xr:uid="{07F4368A-34C9-4286-BBA2-89F699718525}"/>
  <tableColumns count="5">
    <tableColumn id="1" xr3:uid="{B5EF5DC5-C7B4-4873-A45F-DAB3D9E9D938}" name="ability"/>
    <tableColumn id="2" xr3:uid="{8643A9FD-3820-4506-963D-36547B668E17}" name="takes" dataDxfId="1734">
      <calculatedColumnFormula>COUNTIF(Scenario0[winner1-ability2],HighlanderAbilities2Scenario0[[#This Row],[ability]])+COUNTIF(Scenario0[winner2-ability2],HighlanderAbilities2Scenario0[[#This Row],[ability]])+COUNTIF(Scenario0[loser1-ability2],HighlanderAbilities2Scenario0[[#This Row],[ability]])+COUNTIF(Scenario0[loser2-ability2],HighlanderAbilities2Scenario0[[#This Row],[ability]])</calculatedColumnFormula>
    </tableColumn>
    <tableColumn id="3" xr3:uid="{3CAA5BDD-50A7-470E-8166-B7307C4C4571}" name="wins" dataDxfId="1733">
      <calculatedColumnFormula>COUNTIF(Scenario0[winner1-ability2],HighlanderAbilities2Scenario0[[#This Row],[ability]])+COUNTIF(Scenario0[winner2-ability2],HighlanderAbilities2Scenario0[[#This Row],[ability]])</calculatedColumnFormula>
    </tableColumn>
    <tableColumn id="4" xr3:uid="{CD2966D7-7CB3-4C40-BE2D-6DBA697240EC}" name="battles-take-rate" dataDxfId="1732">
      <calculatedColumnFormula>IF(SUM(HighlanderAbilities2Scenario0[[#This Row],[takes]]) &gt; 0,HighlanderAbilities2Scenario0[[#This Row],[takes]]/SUM(HighlanderAbilities2Scenario0[takes]),0)</calculatedColumnFormula>
    </tableColumn>
    <tableColumn id="5" xr3:uid="{4F88EC01-A1CC-4ADB-9757-AFB82B69D3F1}" name="take-win-rate" dataDxfId="1731">
      <calculatedColumnFormula>IF(HighlanderAbilities2Scenario0[[#This Row],[takes]]&gt;0,HighlanderAbilities2Scenario0[[#This Row],[wins]]/HighlanderAbilities2Scenario0[[#This Row],[takes]],0)</calculatedColumnFormula>
    </tableColumn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BB87A78D-DED9-4C23-ABF3-AE49439ED32A}" name="HighlanderAbilities3Scenario0" displayName="HighlanderAbilities3Scenario0" ref="K12:O15" totalsRowShown="0" headerRowDxfId="1730" headerRowBorderDxfId="1729" tableBorderDxfId="1728" totalsRowBorderDxfId="1727">
  <autoFilter ref="K12:O15" xr:uid="{E8520742-705B-4A78-A5FD-1F57726A369B}"/>
  <tableColumns count="5">
    <tableColumn id="1" xr3:uid="{8DB29311-E589-45A6-BC46-19CA69F13BB1}" name="ability"/>
    <tableColumn id="2" xr3:uid="{E6675AD9-3AA0-44F6-8367-D721C060D651}" name="takes" dataDxfId="1726">
      <calculatedColumnFormula>COUNTIF(Scenario0[winner1-ability3],HighlanderAbilities3Scenario0[[#This Row],[ability]])+COUNTIF(Scenario0[winner2-ability3],HighlanderAbilities3Scenario0[[#This Row],[ability]])+COUNTIF(Scenario0[loser1-ability3],HighlanderAbilities3Scenario0[[#This Row],[ability]])+COUNTIF(Scenario0[loser2-ability3],HighlanderAbilities3Scenario0[[#This Row],[ability]])</calculatedColumnFormula>
    </tableColumn>
    <tableColumn id="3" xr3:uid="{98AD33F0-4ACA-499B-A3F9-94A2E6D56391}" name="wins" dataDxfId="1725">
      <calculatedColumnFormula>COUNTIF(Scenario0[winner1-ability3],HighlanderAbilities3Scenario0[[#This Row],[ability]])+COUNTIF(Scenario0[winner2-ability3],HighlanderAbilities3Scenario0[[#This Row],[ability]])</calculatedColumnFormula>
    </tableColumn>
    <tableColumn id="4" xr3:uid="{4F6D1528-3EF9-4E9E-ABB7-011D3FE25E31}" name="battles-take-rate" dataDxfId="1724">
      <calculatedColumnFormula>IF(SUM(HighlanderAbilities3Scenario0[[#This Row],[takes]]) &gt; 0,HighlanderAbilities3Scenario0[[#This Row],[takes]]/SUM(HighlanderAbilities3Scenario0[takes]),0)</calculatedColumnFormula>
    </tableColumn>
    <tableColumn id="5" xr3:uid="{8794B585-E1FE-40FA-A697-44C5A2554E9D}" name="take-win-rate" dataDxfId="1723">
      <calculatedColumnFormula>IF(HighlanderAbilities3Scenario0[[#This Row],[takes]]&gt;0,HighlanderAbilities3Scenario0[[#This Row],[wins]]/HighlanderAbilities3Scenario0[[#This Row],[takes]],0)</calculatedColumnFormula>
    </tableColumn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FDABC6F7-F57D-425A-8135-D85C7401BDF9}" name="HighlanderAbilities4Scenario0" displayName="HighlanderAbilities4Scenario0" ref="K17:O20" totalsRowShown="0" headerRowDxfId="1722" headerRowBorderDxfId="1721" tableBorderDxfId="1720" totalsRowBorderDxfId="1719">
  <autoFilter ref="K17:O20" xr:uid="{01E0B516-A92C-45D4-946B-0FCF2F31D98A}"/>
  <tableColumns count="5">
    <tableColumn id="1" xr3:uid="{AA1B6D33-74EE-498E-B851-AABC093752BF}" name="ability" dataDxfId="1718"/>
    <tableColumn id="2" xr3:uid="{638C4C88-BC79-4B67-BB2F-FBF29994B680}" name="takes" dataDxfId="1717">
      <calculatedColumnFormula>COUNTIF(Scenario0[winner1-ability4],HighlanderAbilities4Scenario0[[#This Row],[ability]])+COUNTIF(Scenario0[winner2-ability4],HighlanderAbilities4Scenario0[[#This Row],[ability]])+COUNTIF(Scenario0[loser1-ability4],HighlanderAbilities4Scenario0[[#This Row],[ability]])+COUNTIF(Scenario0[loser2-ability4],HighlanderAbilities4Scenario0[[#This Row],[ability]])</calculatedColumnFormula>
    </tableColumn>
    <tableColumn id="3" xr3:uid="{11B3D431-37A8-40C0-BA09-19F03BD7C094}" name="wins" dataDxfId="1716">
      <calculatedColumnFormula>COUNTIF(Scenario0[winner1-ability4],HighlanderAbilities4Scenario0[[#This Row],[ability]])+COUNTIF(Scenario0[winner2-ability4],HighlanderAbilities4Scenario0[[#This Row],[ability]])</calculatedColumnFormula>
    </tableColumn>
    <tableColumn id="4" xr3:uid="{2E89F752-E002-4AC9-9AD8-A4F7E80FD965}" name="battles-take-rate" dataDxfId="1715">
      <calculatedColumnFormula>IF(SUM(HighlanderAbilities4Scenario0[[#This Row],[takes]]) &gt; 0,HighlanderAbilities4Scenario0[[#This Row],[takes]]/SUM(HighlanderAbilities4Scenario0[takes]),0)</calculatedColumnFormula>
    </tableColumn>
    <tableColumn id="5" xr3:uid="{FC5555BF-F43A-43A2-9265-004B94EF1495}" name="take-win-rate" dataDxfId="1714">
      <calculatedColumnFormula>IF(HighlanderAbilities4Scenario0[[#This Row],[takes]]&gt;0,HighlanderAbilities4Scenario0[[#This Row],[wins]]/HighlanderAbilities4Scenario0[[#This Row],[takes]],0)</calculatedColumnFormula>
    </tableColumn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7CE673B3-55FD-4039-8B81-6F4F50B3D9B1}" name="HighlanderEquipScenario0" displayName="HighlanderEquipScenario0" ref="Q2:S5" totalsRowShown="0">
  <autoFilter ref="Q2:S5" xr:uid="{E84D91C4-DFF3-43B9-932F-3FEFFBEA9FF1}"/>
  <tableColumns count="3">
    <tableColumn id="1" xr3:uid="{764F52D0-4D19-4267-B1BF-BB31B6CA38A2}" name="level"/>
    <tableColumn id="2" xr3:uid="{D5C7F91A-8CDB-4AAB-9D96-94A13155F959}" name="sword" dataDxfId="1713">
      <calculatedColumnFormula>COUNTIFS(Scenario0[winner1],"highlander",Scenario0[winner1-pw],HighlanderEquipScenario0[[#This Row],[level]])+COUNTIFS(Scenario0[winner2],"highlander",Scenario0[winner2-pw],HighlanderEquipScenario0[[#This Row],[level]])+COUNTIFS(Scenario0[loser1],"highlander",Scenario0[loser1-pw],HighlanderEquipScenario0[[#This Row],[level]])+COUNTIFS(Scenario0[loser2],"highlander",Scenario0[loser2-pw],HighlanderEquipScenario0[[#This Row],[level]])</calculatedColumnFormula>
    </tableColumn>
    <tableColumn id="4" xr3:uid="{66F587FA-18E7-4D09-AF05-DBB66FB958C2}" name="chestpiece" dataDxfId="1712">
      <calculatedColumnFormula>COUNTIFS(Scenario0[winner1],"highlander",Scenario0[winner1-cp],HighlanderEquipScenario0[[#This Row],[level]])+COUNTIFS(Scenario0[winner2],"highlander",Scenario0[winner2-cp],HighlanderEquipScenario0[[#This Row],[level]])+COUNTIFS(Scenario0[loser1],"highlander",Scenario0[loser1-cp],HighlanderEquipScenario0[[#This Row],[level]])+COUNTIFS(Scenario0[loser2],"highlander",Scenario0[loser2-cp],HighlanderEquipScenario0[[#This Row],[level]])</calculatedColumnFormula>
    </tableColumn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884FE58B-ADDE-48E6-B4FD-50358D22CCA9}" name="HighlanderAbilities1Scenario1" displayName="HighlanderAbilities1Scenario1" ref="K23:O26" totalsRowShown="0">
  <autoFilter ref="K23:O26" xr:uid="{A0A97CA7-01BF-4D92-A7D1-F51028CD7758}"/>
  <tableColumns count="5">
    <tableColumn id="2" xr3:uid="{E6740302-310E-48BF-97BB-67C4EAD7AD49}" name="ability"/>
    <tableColumn id="6" xr3:uid="{7EADA26B-A2A9-42E9-81BC-5BE771044290}" name="takes" dataDxfId="1711">
      <calculatedColumnFormula>COUNTIF(Scenario1[winner1-ability1],HighlanderAbilities1Scenario1[[#This Row],[ability]])+COUNTIF(Scenario1[winner2-ability1],HighlanderAbilities1Scenario1[[#This Row],[ability]])+COUNTIF(Scenario1[loser1-ability1],HighlanderAbilities1Scenario1[[#This Row],[ability]])+COUNTIF(Scenario1[loser2-ability1],HighlanderAbilities1Scenario1[[#This Row],[ability]])</calculatedColumnFormula>
    </tableColumn>
    <tableColumn id="4" xr3:uid="{F78D6B4A-E9F5-4243-BF3E-1157E2571979}" name="wins" dataDxfId="1710">
      <calculatedColumnFormula>COUNTIF(Scenario1[winner1-ability1],HighlanderAbilities1Scenario1[[#This Row],[ability]])+COUNTIF(Scenario1[winner2-ability1],HighlanderAbilities1Scenario1[[#This Row],[ability]])</calculatedColumnFormula>
    </tableColumn>
    <tableColumn id="5" xr3:uid="{771AC2F5-C552-42EF-8EE5-9F71ECEB8464}" name="battles-take-rate" dataDxfId="1709">
      <calculatedColumnFormula>IF(SUM(HighlanderAbilities1Scenario1[[#This Row],[takes]]) &gt; 0,HighlanderAbilities1Scenario1[[#This Row],[takes]]/SUM(HighlanderAbilities1Scenario1[takes]),0)</calculatedColumnFormula>
    </tableColumn>
    <tableColumn id="7" xr3:uid="{2485D1BC-14A6-4B94-9689-5F517E00582E}" name="take-win-rate" dataDxfId="1708">
      <calculatedColumnFormula>IF(HighlanderAbilities1Scenario1[[#This Row],[takes]]&gt;0,HighlanderAbilities1Scenario1[[#This Row],[wins]]/HighlanderAbilities1Scenario1[[#This Row],[takes]],0)</calculatedColumnFormula>
    </tableColumn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A819F7EF-8AB4-4F4A-99AD-2B29FAA09780}" name="HighlanderAbilities2Scenario1" displayName="HighlanderAbilities2Scenario1" ref="K28:O31" totalsRowShown="0" headerRowDxfId="1707" headerRowBorderDxfId="1706" tableBorderDxfId="1705" totalsRowBorderDxfId="1704">
  <autoFilter ref="K28:O31" xr:uid="{A29CF70A-0B84-46BB-A412-712C2F594795}"/>
  <tableColumns count="5">
    <tableColumn id="1" xr3:uid="{2ACCA177-B741-4715-A573-95124251885E}" name="ability"/>
    <tableColumn id="2" xr3:uid="{981978DF-16A6-42CB-9480-EFAA8E3F9E9C}" name="takes" dataDxfId="1703">
      <calculatedColumnFormula>COUNTIF(Scenario1[winner1-ability2],HighlanderAbilities2Scenario1[[#This Row],[ability]])+COUNTIF(Scenario1[winner2-ability2],HighlanderAbilities2Scenario1[[#This Row],[ability]])+COUNTIF(Scenario1[loser1-ability2],HighlanderAbilities2Scenario1[[#This Row],[ability]])+COUNTIF(Scenario1[loser2-ability2],HighlanderAbilities2Scenario1[[#This Row],[ability]])</calculatedColumnFormula>
    </tableColumn>
    <tableColumn id="3" xr3:uid="{009FC093-18B9-4362-8095-9A49FB237308}" name="wins" dataDxfId="1702">
      <calculatedColumnFormula>COUNTIF(Scenario1[winner1-ability2],HighlanderAbilities2Scenario1[[#This Row],[ability]])+COUNTIF(Scenario1[winner2-ability2],HighlanderAbilities2Scenario1[[#This Row],[ability]])</calculatedColumnFormula>
    </tableColumn>
    <tableColumn id="4" xr3:uid="{FB3D8F1B-1FBE-4007-908A-43FEB37EBA6F}" name="battles-take-rate" dataDxfId="1701">
      <calculatedColumnFormula>IF(SUM(HighlanderAbilities2Scenario1[[#This Row],[takes]]) &gt; 0,HighlanderAbilities2Scenario1[[#This Row],[takes]]/SUM(HighlanderAbilities2Scenario1[takes]),0)</calculatedColumnFormula>
    </tableColumn>
    <tableColumn id="5" xr3:uid="{43DF672E-319F-43BC-A974-D1B7ADA005A7}" name="take-win-rate" dataDxfId="1700">
      <calculatedColumnFormula>IF(HighlanderAbilities2Scenario1[[#This Row],[takes]]&gt;0,HighlanderAbilities2Scenario1[[#This Row],[wins]]/HighlanderAbilities2Scenario1[[#This Row],[takes]],0)</calculatedColumnFormula>
    </tableColumn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79BF0960-1F13-42B2-A0A0-BB083D40F29E}" name="HighlanderAbilities3Scenario1" displayName="HighlanderAbilities3Scenario1" ref="K33:O36" totalsRowShown="0" headerRowDxfId="1699" headerRowBorderDxfId="1698" tableBorderDxfId="1697" totalsRowBorderDxfId="1696">
  <autoFilter ref="K33:O36" xr:uid="{CBC18F4E-86CD-4BE3-9377-2B862ED3B826}"/>
  <tableColumns count="5">
    <tableColumn id="1" xr3:uid="{349D7C4C-AEEE-4B78-827F-D728E780B74D}" name="ability"/>
    <tableColumn id="2" xr3:uid="{A0319C61-0657-4AA9-9703-D24C68B5B85D}" name="takes" dataDxfId="1695">
      <calculatedColumnFormula>COUNTIF(Scenario1[winner1-ability3],HighlanderAbilities3Scenario1[[#This Row],[ability]])+COUNTIF(Scenario1[winner2-ability3],HighlanderAbilities3Scenario1[[#This Row],[ability]])+COUNTIF(Scenario1[loser1-ability3],HighlanderAbilities3Scenario1[[#This Row],[ability]])+COUNTIF(Scenario1[loser2-ability3],HighlanderAbilities3Scenario1[[#This Row],[ability]])</calculatedColumnFormula>
    </tableColumn>
    <tableColumn id="3" xr3:uid="{75268E76-9839-4D92-8EFB-694A3708DDC0}" name="wins" dataDxfId="1694">
      <calculatedColumnFormula>COUNTIF(Scenario1[winner1-ability3],HighlanderAbilities3Scenario1[[#This Row],[ability]])+COUNTIF(Scenario1[winner2-ability3],HighlanderAbilities3Scenario1[[#This Row],[ability]])</calculatedColumnFormula>
    </tableColumn>
    <tableColumn id="4" xr3:uid="{F7E2C4AA-1BDC-4690-B5C6-12E8B877C985}" name="battles-take-rate" dataDxfId="1693">
      <calculatedColumnFormula>IF(SUM(HighlanderAbilities3Scenario1[[#This Row],[takes]]) &gt; 0,HighlanderAbilities3Scenario1[[#This Row],[takes]]/SUM(HighlanderAbilities3Scenario1[takes]),0)</calculatedColumnFormula>
    </tableColumn>
    <tableColumn id="5" xr3:uid="{FC178073-C3FC-4C87-B2CC-7863B0D63960}" name="take-win-rate" dataDxfId="1692">
      <calculatedColumnFormula>IF(HighlanderAbilities3Scenario1[[#This Row],[takes]]&gt;0,HighlanderAbilities3Scenario1[[#This Row],[wins]]/HighlanderAbilities3Scenario1[[#This Row],[takes]],0)</calculatedColumnFormula>
    </tableColumn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AB57F929-DB42-4467-81F7-3CF3978D98A7}" name="HighlanderAbilities4Scenario1" displayName="HighlanderAbilities4Scenario1" ref="K38:O41" totalsRowShown="0" headerRowDxfId="1691" headerRowBorderDxfId="1690" tableBorderDxfId="1689" totalsRowBorderDxfId="1688">
  <autoFilter ref="K38:O41" xr:uid="{A1F38E75-59DE-4DB4-B81C-C0322397F6F7}"/>
  <tableColumns count="5">
    <tableColumn id="1" xr3:uid="{769AEF11-64B1-48E1-81F7-44ED789A5436}" name="ability" dataDxfId="1687"/>
    <tableColumn id="2" xr3:uid="{329ABE97-FD25-4B89-85FE-EF4B7E705884}" name="takes" dataDxfId="1686">
      <calculatedColumnFormula>COUNTIF(Scenario1[winner1-ability4],HighlanderAbilities4Scenario1[[#This Row],[ability]])+COUNTIF(Scenario1[winner2-ability4],HighlanderAbilities4Scenario1[[#This Row],[ability]])+COUNTIF(Scenario1[loser1-ability4],HighlanderAbilities4Scenario1[[#This Row],[ability]])+COUNTIF(Scenario1[loser2-ability4],HighlanderAbilities4Scenario1[[#This Row],[ability]])</calculatedColumnFormula>
    </tableColumn>
    <tableColumn id="3" xr3:uid="{82181B4F-99D1-4888-AE9B-48E8F53F221E}" name="wins" dataDxfId="1685">
      <calculatedColumnFormula>COUNTIF(Scenario1[winner1-ability4],HighlanderAbilities4Scenario1[[#This Row],[ability]])+COUNTIF(Scenario1[winner2-ability4],HighlanderAbilities4Scenario1[[#This Row],[ability]])</calculatedColumnFormula>
    </tableColumn>
    <tableColumn id="4" xr3:uid="{59590979-B8D3-4251-B563-207ABB7C108A}" name="battles-take-rate" dataDxfId="1684">
      <calculatedColumnFormula>IF(SUM(HighlanderAbilities4Scenario1[[#This Row],[takes]]) &gt; 0,HighlanderAbilities4Scenario1[[#This Row],[takes]]/SUM(HighlanderAbilities4Scenario1[takes]),0)</calculatedColumnFormula>
    </tableColumn>
    <tableColumn id="5" xr3:uid="{AFA1D752-987D-44CE-8BE8-8307E16CD291}" name="take-win-rate" dataDxfId="1683">
      <calculatedColumnFormula>IF(HighlanderAbilities4Scenario1[[#This Row],[takes]]&gt;0,HighlanderAbilities4Scenario1[[#This Row],[wins]]/HighlanderAbilities4Scenario1[[#This Row],[takes]],0)</calculatedColumnFormula>
    </tableColumn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9E625303-9D6A-4AF5-85A1-9E46DB22D815}" name="HighlanderEquipScenario1" displayName="HighlanderEquipScenario1" ref="Q23:S26" totalsRowShown="0">
  <autoFilter ref="Q23:S26" xr:uid="{18EECD25-0AE5-4756-B5E1-492D523A2929}"/>
  <tableColumns count="3">
    <tableColumn id="1" xr3:uid="{F53B0235-F7D4-4739-9825-9E58C956F591}" name="level"/>
    <tableColumn id="2" xr3:uid="{25A220DC-1877-43C0-86BC-38CAE5E8CE93}" name="sword" dataDxfId="1682">
      <calculatedColumnFormula>COUNTIFS(Scenario1[winner1],"highlander",Scenario1[winner1-pw],HighlanderEquipScenario1[[#This Row],[level]])+COUNTIFS(Scenario1[winner2],"highlander",Scenario1[winner2-pw],HighlanderEquipScenario1[[#This Row],[level]])+COUNTIFS(Scenario1[loser1],"highlander",Scenario1[loser1-pw],HighlanderEquipScenario1[[#This Row],[level]])+COUNTIFS(Scenario1[loser2],"highlander",Scenario1[loser2-pw],HighlanderEquipScenario1[[#This Row],[level]])</calculatedColumnFormula>
    </tableColumn>
    <tableColumn id="4" xr3:uid="{28654009-7F39-482D-8284-59E9917F4B63}" name="chestpiece" dataDxfId="1681">
      <calculatedColumnFormula>COUNTIFS(Scenario1[winner1],"highlander",Scenario1[winner1-cp],HighlanderEquipScenario1[[#This Row],[level]])+COUNTIFS(Scenario1[winner2],"highlander",Scenario1[winner2-cp],HighlanderEquipScenario1[[#This Row],[level]])+COUNTIFS(Scenario1[loser1],"highlander",Scenario1[loser1-cp],HighlanderEquipScenario1[[#This Row],[level]])+COUNTIFS(Scenario1[loser2],"highlander",Scenario1[loser2-cp],HighlanderEquipScenario1[[#This Row],[level]])</calculatedColumnFormula>
    </tableColumn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581F8875-43BF-4837-9BD9-03A3BD137108}" name="HighlanderAbilities1Scenario2" displayName="HighlanderAbilities1Scenario2" ref="K44:O47" totalsRowShown="0">
  <autoFilter ref="K44:O47" xr:uid="{81D76695-EE53-4A07-9351-842AC55F2540}"/>
  <tableColumns count="5">
    <tableColumn id="2" xr3:uid="{FBE29D38-0CE9-49DD-B347-CF4D22FCC16E}" name="ability"/>
    <tableColumn id="6" xr3:uid="{AFD949E7-D1D9-40C5-90C3-260E5FC63D06}" name="takes" dataDxfId="1680">
      <calculatedColumnFormula>COUNTIF(Scenario2[winner1-ability1],HighlanderAbilities1Scenario2[[#This Row],[ability]])+COUNTIF(Scenario2[loser1-ability1],HighlanderAbilities1Scenario2[[#This Row],[ability]])</calculatedColumnFormula>
    </tableColumn>
    <tableColumn id="4" xr3:uid="{46C60813-6A1D-4315-99B7-518FC84D569B}" name="wins" dataDxfId="1679">
      <calculatedColumnFormula>COUNTIF(Scenario2[winner1-ability1],HighlanderAbilities1Scenario2[[#This Row],[ability]])</calculatedColumnFormula>
    </tableColumn>
    <tableColumn id="5" xr3:uid="{76F1983E-CA15-4A41-958C-4EAB1B656281}" name="battles-take-rate" dataDxfId="1678">
      <calculatedColumnFormula>IF(SUM(HighlanderAbilities1Scenario2[[#This Row],[takes]]) &gt; 0,HighlanderAbilities1Scenario2[[#This Row],[takes]]/SUM(HighlanderAbilities1Scenario2[takes]),0)</calculatedColumnFormula>
    </tableColumn>
    <tableColumn id="7" xr3:uid="{0BB2B9B6-FBB7-40EE-8ED7-739E398BF282}" name="take-win-rate" dataDxfId="1677">
      <calculatedColumnFormula>IF(HighlanderAbilities1Scenario2[[#This Row],[takes]]&gt;0,HighlanderAbilities1Scenario2[[#This Row],[wins]]/HighlanderAbilities1Scenario2[[#This Row],[takes]],0)</calculatedColumnFormula>
    </tableColumn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6862C84C-BC1E-4758-9254-0E2D4C56ED27}" name="HighlanderAbilities2Scenario2" displayName="HighlanderAbilities2Scenario2" ref="K49:O52" totalsRowShown="0" headerRowDxfId="1676" headerRowBorderDxfId="1675" tableBorderDxfId="1674" totalsRowBorderDxfId="1673">
  <autoFilter ref="K49:O52" xr:uid="{B5828340-8DA1-4B65-ACEB-BDDDED872E64}"/>
  <tableColumns count="5">
    <tableColumn id="1" xr3:uid="{20C1D72C-DA48-41FF-B60E-6182F91FB599}" name="ability"/>
    <tableColumn id="2" xr3:uid="{B9F9E024-41FA-4BA8-AF29-E7D920F9903F}" name="takes" dataDxfId="1672">
      <calculatedColumnFormula>COUNTIF(Scenario2[winner1-ability2],HighlanderAbilities2Scenario2[[#This Row],[ability]])+COUNTIF(Scenario2[loser1-ability2],HighlanderAbilities2Scenario2[[#This Row],[ability]])</calculatedColumnFormula>
    </tableColumn>
    <tableColumn id="3" xr3:uid="{F6EBC36A-DFEB-4EAC-8407-B3F60D391E29}" name="wins" dataDxfId="1671">
      <calculatedColumnFormula>COUNTIF(Scenario2[winner1-ability2],HighlanderAbilities2Scenario2[[#This Row],[ability]])</calculatedColumnFormula>
    </tableColumn>
    <tableColumn id="4" xr3:uid="{CBEF0BDE-C3C4-4A23-8448-66FC7E8209FB}" name="battles-take-rate" dataDxfId="1670">
      <calculatedColumnFormula>IF(SUM(HighlanderAbilities2Scenario2[[#This Row],[takes]]) &gt; 0,HighlanderAbilities2Scenario2[[#This Row],[takes]]/SUM(HighlanderAbilities2Scenario2[takes]),0)</calculatedColumnFormula>
    </tableColumn>
    <tableColumn id="5" xr3:uid="{F3011AC2-F219-46C6-A7A6-35B70DABEBDC}" name="take-win-rate" dataDxfId="1669">
      <calculatedColumnFormula>IF(HighlanderAbilities2Scenario2[[#This Row],[takes]]&gt;0,HighlanderAbilities2Scenario2[[#This Row],[wins]]/HighlanderAbilities2Scenario2[[#This Row],[takes]],0)</calculatedColumnFormula>
    </tableColumn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501ADF4C-7048-4E17-B2DD-C58B7C07F063}" name="HighlanderAbilities3Scenario2" displayName="HighlanderAbilities3Scenario2" ref="K54:O57" totalsRowShown="0" headerRowDxfId="1668" headerRowBorderDxfId="1667" tableBorderDxfId="1666" totalsRowBorderDxfId="1665">
  <autoFilter ref="K54:O57" xr:uid="{34ED10E5-B169-4BBA-8F2C-73FF473D0922}"/>
  <tableColumns count="5">
    <tableColumn id="1" xr3:uid="{493EF5BC-2B38-4BE1-8614-18CDAC07BE37}" name="ability"/>
    <tableColumn id="2" xr3:uid="{0108FC97-4B58-40F9-B53F-97D4EF9A196C}" name="takes" dataDxfId="1664">
      <calculatedColumnFormula>COUNTIF(Scenario2[winner1-ability3],HighlanderAbilities3Scenario2[[#This Row],[ability]])+COUNTIF(Scenario2[loser1-ability3],HighlanderAbilities3Scenario2[[#This Row],[ability]])</calculatedColumnFormula>
    </tableColumn>
    <tableColumn id="3" xr3:uid="{EA0BA1A2-FC6B-4BE3-8A68-242E9CF5DFEC}" name="wins" dataDxfId="1663">
      <calculatedColumnFormula>COUNTIF(Scenario2[winner1-ability3],HighlanderAbilities3Scenario2[[#This Row],[ability]])</calculatedColumnFormula>
    </tableColumn>
    <tableColumn id="4" xr3:uid="{30063EAF-50ED-4235-8FA0-74C713EDE547}" name="battles-take-rate" dataDxfId="1662">
      <calculatedColumnFormula>IF(SUM(HighlanderAbilities3Scenario2[[#This Row],[takes]]) &gt; 0,HighlanderAbilities3Scenario2[[#This Row],[takes]]/SUM(HighlanderAbilities3Scenario2[takes]),0)</calculatedColumnFormula>
    </tableColumn>
    <tableColumn id="5" xr3:uid="{86AD0FC2-E3C1-45CF-9223-E72BB461F300}" name="take-win-rate" dataDxfId="1661">
      <calculatedColumnFormula>IF(HighlanderAbilities3Scenario2[[#This Row],[takes]]&gt;0,HighlanderAbilities3Scenario2[[#This Row],[wins]]/HighlanderAbilities3Scenario2[[#This Row],[takes]],0)</calculatedColumnFormula>
    </tableColumn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FA70F10B-BAAC-4E17-9EEC-68413B8C7108}" name="HighlanderAbilities4Scenario2" displayName="HighlanderAbilities4Scenario2" ref="K59:O62" totalsRowShown="0" headerRowDxfId="1660" headerRowBorderDxfId="1659" tableBorderDxfId="1658" totalsRowBorderDxfId="1657">
  <autoFilter ref="K59:O62" xr:uid="{DDB7F110-02A6-4F67-8266-251AF48CB7C0}"/>
  <tableColumns count="5">
    <tableColumn id="1" xr3:uid="{24AD3B9C-E89B-4255-AF6A-993728E1E88D}" name="ability" dataDxfId="1656"/>
    <tableColumn id="2" xr3:uid="{D8585D3A-FC34-4996-9EF2-60CC70EA9A7A}" name="takes" dataDxfId="1655">
      <calculatedColumnFormula>COUNTIF(Scenario2[winner1-ability4],HighlanderAbilities4Scenario2[[#This Row],[ability]])+COUNTIF(Scenario2[loser1-ability4],HighlanderAbilities4Scenario2[[#This Row],[ability]])</calculatedColumnFormula>
    </tableColumn>
    <tableColumn id="3" xr3:uid="{5693D63A-7667-450B-8F4D-8390532BD85C}" name="wins" dataDxfId="1654">
      <calculatedColumnFormula>COUNTIF(Scenario2[winner1-ability4],HighlanderAbilities4Scenario2[[#This Row],[ability]])</calculatedColumnFormula>
    </tableColumn>
    <tableColumn id="4" xr3:uid="{DFED8343-DB73-48A3-85AC-08485FB0C7E7}" name="battles-take-rate" dataDxfId="1653">
      <calculatedColumnFormula>IF(SUM(HighlanderAbilities4Scenario2[[#This Row],[takes]]) &gt; 0,HighlanderAbilities4Scenario2[[#This Row],[takes]]/SUM(HighlanderAbilities4Scenario2[takes]),0)</calculatedColumnFormula>
    </tableColumn>
    <tableColumn id="5" xr3:uid="{DC8113DC-172A-428C-9C29-1B00DCBC032B}" name="take-win-rate" dataDxfId="1652">
      <calculatedColumnFormula>IF(HighlanderAbilities4Scenario2[[#This Row],[takes]]&gt;0,HighlanderAbilities4Scenario2[[#This Row],[wins]]/HighlanderAbilities4Scenario2[[#This Row],[takes]],0)</calculatedColumnFormula>
    </tableColumn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DC8ED68E-BA8D-4E83-AA0C-261F07EB8824}" name="HighlanderEquipScenario2" displayName="HighlanderEquipScenario2" ref="Q44:S47" totalsRowShown="0">
  <autoFilter ref="Q44:S47" xr:uid="{BDEC3E9D-FA56-4E08-A52D-2A8BEB87833A}"/>
  <tableColumns count="3">
    <tableColumn id="1" xr3:uid="{29F321AB-29B4-496C-ACC4-8E6A42B7482E}" name="level"/>
    <tableColumn id="2" xr3:uid="{C196CCA5-FFE6-4EE0-9F1D-20E344386BA1}" name="sword" dataDxfId="1651">
      <calculatedColumnFormula>COUNTIFS(Scenario2[winner1],"highlander",Scenario2[winner1-pw],HighlanderEquipScenario2[[#This Row],[level]])+COUNTIFS(Scenario2[loser1],"highlander",Scenario2[loser1-pw],HighlanderEquipScenario2[[#This Row],[level]])</calculatedColumnFormula>
    </tableColumn>
    <tableColumn id="4" xr3:uid="{656D1C73-B02F-49D0-BE14-1C794215F2F4}" name="chestpiece" dataDxfId="1650">
      <calculatedColumnFormula>COUNTIFS(Scenario2[winner1],"highlander",Scenario2[winner1-cp],HighlanderEquipScenario2[[#This Row],[level]])+COUNTIFS(Scenario2[loser1],"highlander",Scenario2[loser1-cp],HighlanderEquipScenario2[[#This Row],[level]])</calculatedColumnFormula>
    </tableColumn>
  </tableColumns>
  <tableStyleInfo name="TableStyleMedium2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F726E1E-323E-407B-9FA8-6FC47DF2B208}" name="UpgradeStatistics1920" displayName="UpgradeStatistics1920" ref="U1:V9" totalsRowShown="0">
  <autoFilter ref="U1:V9" xr:uid="{9F726E1E-323E-407B-9FA8-6FC47DF2B208}"/>
  <tableColumns count="2">
    <tableColumn id="1" xr3:uid="{AF428A61-37E4-4C36-98F0-D3146C54A69E}" name="upgrade"/>
    <tableColumn id="3" xr3:uid="{8FC508AF-49ED-4B38-AC09-05E26F9C5E2D}" name="rate" dataDxfId="1649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18CE60D-DE06-457D-B56A-260456776DA3}" name="HighlanderAbilities1Scenario3" displayName="HighlanderAbilities1Scenario3" ref="K65:O68" totalsRowShown="0">
  <autoFilter ref="K65:O68" xr:uid="{918CE60D-DE06-457D-B56A-260456776DA3}"/>
  <tableColumns count="5">
    <tableColumn id="2" xr3:uid="{E17A51A8-DA5F-4E6B-A99E-BAD1E4EA7CD5}" name="ability"/>
    <tableColumn id="6" xr3:uid="{0C05501E-69CB-4827-9FE2-721A129B0945}" name="takes" dataDxfId="1648">
      <calculatedColumnFormula>COUNTIF(Scenario3[winner1-ability1],HighlanderAbilities1Scenario3[[#This Row],[ability]])+COUNTIF(Scenario3[loser1-ability1],HighlanderAbilities1Scenario3[[#This Row],[ability]])+COUNTIF(Scenario3[loser2-ability1],HighlanderAbilities1Scenario3[[#This Row],[ability]])</calculatedColumnFormula>
    </tableColumn>
    <tableColumn id="4" xr3:uid="{A903EEFB-39A5-441E-888E-397AC64592D8}" name="wins" dataDxfId="1647">
      <calculatedColumnFormula>COUNTIF(Scenario3[winner1-ability1],HighlanderAbilities1Scenario3[[#This Row],[ability]])</calculatedColumnFormula>
    </tableColumn>
    <tableColumn id="5" xr3:uid="{4E705C48-ED13-47DE-B143-107CFC4A9CB6}" name="battles-take-rate" dataDxfId="1646">
      <calculatedColumnFormula>IF(SUM(HighlanderAbilities1Scenario3[[#This Row],[takes]]) &gt; 0,HighlanderAbilities1Scenario3[[#This Row],[takes]]/SUM(HighlanderAbilities1Scenario3[takes]),0)</calculatedColumnFormula>
    </tableColumn>
    <tableColumn id="7" xr3:uid="{31EFFD88-9A16-4FCF-9FE9-CF5D4424A756}" name="take-win-rate" dataDxfId="1645">
      <calculatedColumnFormula>IF(HighlanderAbilities1Scenario3[[#This Row],[takes]]&gt;0,HighlanderAbilities1Scenario3[[#This Row],[wins]]/HighlanderAbilities1Scenario3[[#This Row],[takes]],0)</calculatedColumnFormula>
    </tableColumn>
  </tableColumns>
  <tableStyleInfo name="TableStyleMedium2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9932E6C-2474-4FB5-8D77-D5FC00AF662A}" name="HighlanderAbilities2Scenario3" displayName="HighlanderAbilities2Scenario3" ref="K70:O73" totalsRowShown="0" headerRowDxfId="1644" headerRowBorderDxfId="1643" tableBorderDxfId="1642" totalsRowBorderDxfId="1641">
  <autoFilter ref="K70:O73" xr:uid="{69932E6C-2474-4FB5-8D77-D5FC00AF662A}"/>
  <tableColumns count="5">
    <tableColumn id="1" xr3:uid="{2E53EB54-1C23-4897-A1F1-D503D3D6245A}" name="ability"/>
    <tableColumn id="2" xr3:uid="{9782667A-5C80-4158-8BE8-91036C06C83F}" name="takes" dataDxfId="1640">
      <calculatedColumnFormula>COUNTIF(Scenario3[winner1-ability2],HighlanderAbilities2Scenario3[[#This Row],[ability]])+COUNTIF(Scenario3[loser1-ability2],HighlanderAbilities2Scenario3[[#This Row],[ability]])+COUNTIF(Scenario3[loser2-ability2],HighlanderAbilities2Scenario3[[#This Row],[ability]])</calculatedColumnFormula>
    </tableColumn>
    <tableColumn id="3" xr3:uid="{6298DD85-E1A3-4CA2-8DA9-5F824E58E0DD}" name="wins" dataDxfId="1639">
      <calculatedColumnFormula>COUNTIF(Scenario3[winner1-ability2],HighlanderAbilities2Scenario3[[#This Row],[ability]])</calculatedColumnFormula>
    </tableColumn>
    <tableColumn id="4" xr3:uid="{AC2E8A6D-1967-4F4D-9C38-3C0B9FDFCCDD}" name="battles-take-rate" dataDxfId="1638">
      <calculatedColumnFormula>IF(SUM(HighlanderAbilities2Scenario3[[#This Row],[takes]]) &gt; 0,HighlanderAbilities2Scenario3[[#This Row],[takes]]/SUM(HighlanderAbilities2Scenario3[takes]),0)</calculatedColumnFormula>
    </tableColumn>
    <tableColumn id="5" xr3:uid="{92104491-ADA5-4BF6-A6ED-EB4CADCC91DC}" name="take-win-rate" dataDxfId="1637">
      <calculatedColumnFormula>IF(HighlanderAbilities2Scenario3[[#This Row],[takes]]&gt;0,HighlanderAbilities2Scenario3[[#This Row],[wins]]/HighlanderAbilities2Scenario3[[#This Row],[takes]],0)</calculatedColumnFormula>
    </tableColumn>
  </tableColumns>
  <tableStyleInfo name="TableStyleMedium2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837091A-7F3B-48DA-BCA2-CA93D3B0A384}" name="HighlanderAbilities3Scenario3" displayName="HighlanderAbilities3Scenario3" ref="K75:O78" totalsRowShown="0" headerRowDxfId="1636" headerRowBorderDxfId="1635" tableBorderDxfId="1634" totalsRowBorderDxfId="1633">
  <autoFilter ref="K75:O78" xr:uid="{B837091A-7F3B-48DA-BCA2-CA93D3B0A384}"/>
  <tableColumns count="5">
    <tableColumn id="1" xr3:uid="{2D571E3C-84BB-4BD6-8A83-870A51B1200D}" name="ability"/>
    <tableColumn id="2" xr3:uid="{AE127B83-3195-4F6F-80CF-9563453DF4C4}" name="takes" dataDxfId="1632">
      <calculatedColumnFormula>COUNTIF(Scenario3[winner1-ability3],HighlanderAbilities3Scenario3[[#This Row],[ability]])+COUNTIF(Scenario3[loser1-ability3],HighlanderAbilities3Scenario3[[#This Row],[ability]])+COUNTIF(Scenario3[loser2-ability3],HighlanderAbilities3Scenario3[[#This Row],[ability]])</calculatedColumnFormula>
    </tableColumn>
    <tableColumn id="3" xr3:uid="{CB76CF3A-30E9-4F1D-B3E6-42476A4475C0}" name="wins" dataDxfId="1631">
      <calculatedColumnFormula>COUNTIF(Scenario3[winner1-ability3],HighlanderAbilities3Scenario3[[#This Row],[ability]])</calculatedColumnFormula>
    </tableColumn>
    <tableColumn id="4" xr3:uid="{7F7C697F-AC90-4790-AA3C-9EFBA9C5C3BF}" name="battles-take-rate" dataDxfId="1630">
      <calculatedColumnFormula>IF(SUM(HighlanderAbilities3Scenario3[[#This Row],[takes]]) &gt; 0,HighlanderAbilities3Scenario3[[#This Row],[takes]]/SUM(HighlanderAbilities3Scenario3[takes]),0)</calculatedColumnFormula>
    </tableColumn>
    <tableColumn id="5" xr3:uid="{D038ED6A-392C-47FE-8728-128A0FA03DC7}" name="take-win-rate" dataDxfId="1629">
      <calculatedColumnFormula>IF(HighlanderAbilities3Scenario3[[#This Row],[takes]]&gt;0,HighlanderAbilities3Scenario3[[#This Row],[wins]]/HighlanderAbilities3Scenario3[[#This Row],[takes]],0)</calculatedColumnFormula>
    </tableColumn>
  </tableColumns>
  <tableStyleInfo name="TableStyleMedium2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2A1E26F-8C1E-4E44-A492-D2899C5A6AF6}" name="HighlanderAbilities4Scenario3" displayName="HighlanderAbilities4Scenario3" ref="K80:O83" totalsRowShown="0" headerRowDxfId="1628" headerRowBorderDxfId="1627" tableBorderDxfId="1626" totalsRowBorderDxfId="1625">
  <autoFilter ref="K80:O83" xr:uid="{52A1E26F-8C1E-4E44-A492-D2899C5A6AF6}"/>
  <tableColumns count="5">
    <tableColumn id="1" xr3:uid="{169774FB-455A-4DE4-A18D-B9D975DF3A85}" name="ability" dataDxfId="1624"/>
    <tableColumn id="2" xr3:uid="{E20A1519-EC59-41A4-BE08-D8DBEAC7CA6C}" name="takes" dataDxfId="1623">
      <calculatedColumnFormula>COUNTIF(Scenario3[winner1-ability4],HighlanderAbilities4Scenario3[[#This Row],[ability]])+COUNTIF(Scenario3[loser1-ability4],HighlanderAbilities4Scenario3[[#This Row],[ability]])+COUNTIF(Scenario3[loser2-ability4],HighlanderAbilities4Scenario3[[#This Row],[ability]])</calculatedColumnFormula>
    </tableColumn>
    <tableColumn id="3" xr3:uid="{C32F853F-6157-4846-A4BD-0C9677AFF193}" name="wins" dataDxfId="1622">
      <calculatedColumnFormula>COUNTIF(Scenario3[winner1-ability4],HighlanderAbilities4Scenario3[[#This Row],[ability]])</calculatedColumnFormula>
    </tableColumn>
    <tableColumn id="4" xr3:uid="{E0060D4D-D837-469A-8126-E998C0BE67B4}" name="battles-take-rate" dataDxfId="1621">
      <calculatedColumnFormula>IF(SUM(HighlanderAbilities4Scenario3[[#This Row],[takes]]) &gt; 0,HighlanderAbilities4Scenario3[[#This Row],[takes]]/SUM(HighlanderAbilities4Scenario3[takes]),0)</calculatedColumnFormula>
    </tableColumn>
    <tableColumn id="5" xr3:uid="{F27C28FA-9FB3-44A4-B3E8-F8C0548F4D2A}" name="take-win-rate" dataDxfId="1620">
      <calculatedColumnFormula>IF(HighlanderAbilities4Scenario3[[#This Row],[takes]]&gt;0,HighlanderAbilities4Scenario3[[#This Row],[wins]]/HighlanderAbilities4Scenario3[[#This Row],[takes]],0)</calculatedColumnFormula>
    </tableColumn>
  </tableColumns>
  <tableStyleInfo name="TableStyleMedium2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D7C2E781-6C06-4F6C-8974-8A1829027053}" name="HighlanderEquipScenario3" displayName="HighlanderEquipScenario3" ref="Q65:S68" totalsRowShown="0">
  <autoFilter ref="Q65:S68" xr:uid="{D7C2E781-6C06-4F6C-8974-8A1829027053}"/>
  <tableColumns count="3">
    <tableColumn id="1" xr3:uid="{696A5F92-944F-4127-B5E1-E378D744B6B7}" name="level"/>
    <tableColumn id="2" xr3:uid="{32D0CDD9-3AAD-45D2-A433-F7B34CE939B9}" name="sword" dataDxfId="1619">
      <calculatedColumnFormula>COUNTIFS(Scenario3[winner1],"highlander",Scenario3[winner1-pw],HighlanderEquipScenario3[[#This Row],[level]])+COUNTIFS(Scenario3[loser1],"highlander",Scenario3[loser1-pw],HighlanderEquipScenario3[[#This Row],[level]])+COUNTIFS(Scenario3[loser2],"highlander",Scenario3[loser2-pw],HighlanderEquipScenario3[[#This Row],[level]])</calculatedColumnFormula>
    </tableColumn>
    <tableColumn id="4" xr3:uid="{CCDAE671-DD6C-4735-9499-AE4C89B86652}" name="chestpiece" dataDxfId="1618">
      <calculatedColumnFormula>COUNTIFS(Scenario3[winner1],"highlander",Scenario3[winner1-cp],HighlanderEquipScenario3[[#This Row],[level]])+COUNTIFS(Scenario3[loser1],"highlander",Scenario3[loser1-cp],HighlanderEquipScenario3[[#This Row],[level]])+COUNTIFS(Scenario3[loser2],"highlander",Scenario3[loser2-cp],HighlanderEquipScenario3[[#This Row],[level]])</calculatedColumnFormula>
    </tableColumn>
  </tableColumns>
  <tableStyleInfo name="TableStyleMedium2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0" xr:uid="{E4635F60-70D3-43EC-AA7E-A70F148CE3F5}" name="HighlanderAbilities1Scenario4" displayName="HighlanderAbilities1Scenario4" ref="K86:O89" totalsRowShown="0">
  <autoFilter ref="K86:O89" xr:uid="{E4635F60-70D3-43EC-AA7E-A70F148CE3F5}"/>
  <tableColumns count="5">
    <tableColumn id="2" xr3:uid="{DED4C581-129A-4E2C-9C35-105073CE2F81}" name="ability"/>
    <tableColumn id="6" xr3:uid="{DBD8AC52-B272-4770-9D10-AE0CEC768BA1}" name="takes" dataDxfId="1617">
      <calculatedColumnFormula>COUNTIF(Scenario4[winner1-ability1],HighlanderAbilities1Scenario4[[#This Row],[ability]])+COUNTIF(Scenario4[loser1-ability1],HighlanderAbilities1Scenario4[[#This Row],[ability]])+COUNTIF(Scenario4[loser2-ability1],HighlanderAbilities1Scenario4[[#This Row],[ability]])+COUNTIF(Scenario4[loser3-ability1],HighlanderAbilities1Scenario4[[#This Row],[ability]])</calculatedColumnFormula>
    </tableColumn>
    <tableColumn id="4" xr3:uid="{D4A90814-8310-44F3-BABD-A7ED49910BA7}" name="wins" dataDxfId="1616">
      <calculatedColumnFormula>COUNTIF(Scenario4[winner1-ability1],HighlanderAbilities1Scenario4[[#This Row],[ability]])</calculatedColumnFormula>
    </tableColumn>
    <tableColumn id="5" xr3:uid="{6E0B87E2-94F5-47B4-A9C5-24FE38EC78C3}" name="battles-take-rate" dataDxfId="1615">
      <calculatedColumnFormula>IF(SUM(HighlanderAbilities1Scenario4[[#This Row],[takes]]) &gt; 0,HighlanderAbilities1Scenario4[[#This Row],[takes]]/SUM(HighlanderAbilities1Scenario4[takes]),0)</calculatedColumnFormula>
    </tableColumn>
    <tableColumn id="7" xr3:uid="{F78127DA-F232-4EC3-AA96-A79A8C01FDC4}" name="take-win-rate" dataDxfId="1614">
      <calculatedColumnFormula>IF(HighlanderAbilities1Scenario4[[#This Row],[takes]]&gt;0,HighlanderAbilities1Scenario4[[#This Row],[wins]]/HighlanderAbilities1Scenario4[[#This Row],[takes]],0)</calculatedColumnFormula>
    </tableColumn>
  </tableColumns>
  <tableStyleInfo name="TableStyleMedium2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1" xr:uid="{3FB76BAE-C200-45C4-A783-873BD5372C4E}" name="HighlanderAbilities2Scenario4" displayName="HighlanderAbilities2Scenario4" ref="K91:O94" totalsRowShown="0" headerRowDxfId="1613" headerRowBorderDxfId="1612" tableBorderDxfId="1611" totalsRowBorderDxfId="1610">
  <autoFilter ref="K91:O94" xr:uid="{3FB76BAE-C200-45C4-A783-873BD5372C4E}"/>
  <tableColumns count="5">
    <tableColumn id="1" xr3:uid="{96D230B6-F877-4ADA-A867-9281E8E07FC9}" name="ability"/>
    <tableColumn id="2" xr3:uid="{F0086EDA-22A6-42DA-9B0F-2E62B44C1A48}" name="takes" dataDxfId="1609">
      <calculatedColumnFormula>COUNTIF(Scenario4[winner1-ability2],HighlanderAbilities2Scenario4[[#This Row],[ability]])+COUNTIF(Scenario4[loser1-ability2],HighlanderAbilities2Scenario4[[#This Row],[ability]])+COUNTIF(Scenario4[loser2-ability2],HighlanderAbilities2Scenario4[[#This Row],[ability]])+COUNTIF(Scenario4[loser3-ability2],HighlanderAbilities2Scenario4[[#This Row],[ability]])</calculatedColumnFormula>
    </tableColumn>
    <tableColumn id="3" xr3:uid="{B012259B-690A-4A72-9B3E-560F89494A29}" name="wins" dataDxfId="1608">
      <calculatedColumnFormula>COUNTIF(Scenario4[winner1-ability2],HighlanderAbilities2Scenario4[[#This Row],[ability]])</calculatedColumnFormula>
    </tableColumn>
    <tableColumn id="4" xr3:uid="{A289992E-5099-433A-839B-22BE62264AB7}" name="battles-take-rate" dataDxfId="1607">
      <calculatedColumnFormula>IF(SUM(HighlanderAbilities2Scenario4[[#This Row],[takes]]) &gt; 0,HighlanderAbilities2Scenario4[[#This Row],[takes]]/SUM(HighlanderAbilities2Scenario4[takes]),0)</calculatedColumnFormula>
    </tableColumn>
    <tableColumn id="5" xr3:uid="{6C66F06C-E991-4F51-9300-952851507C08}" name="take-win-rate" dataDxfId="1606">
      <calculatedColumnFormula>IF(HighlanderAbilities2Scenario4[[#This Row],[takes]]&gt;0,HighlanderAbilities2Scenario4[[#This Row],[wins]]/HighlanderAbilities2Scenario4[[#This Row],[takes]],0)</calculatedColumnFormula>
    </tableColumn>
  </tableColumns>
  <tableStyleInfo name="TableStyleMedium2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2" xr:uid="{33BFDA70-3D7F-4060-B83B-0A7A4D01351D}" name="HighlanderAbilities3Scenario4" displayName="HighlanderAbilities3Scenario4" ref="K96:O99" totalsRowShown="0" headerRowDxfId="1605" headerRowBorderDxfId="1604" tableBorderDxfId="1603" totalsRowBorderDxfId="1602">
  <autoFilter ref="K96:O99" xr:uid="{33BFDA70-3D7F-4060-B83B-0A7A4D01351D}"/>
  <tableColumns count="5">
    <tableColumn id="1" xr3:uid="{7C86F223-F988-4E9E-BDD2-B17C6A41FCF6}" name="ability"/>
    <tableColumn id="2" xr3:uid="{D3CA016D-637C-45E4-9FA6-44863C0579E7}" name="takes" dataDxfId="1601">
      <calculatedColumnFormula>COUNTIF(Scenario4[winner1-ability3],HighlanderAbilities3Scenario4[[#This Row],[ability]])+COUNTIF(Scenario4[loser1-ability3],HighlanderAbilities3Scenario4[[#This Row],[ability]])+COUNTIF(Scenario4[loser2-ability3],HighlanderAbilities3Scenario4[[#This Row],[ability]])+COUNTIF(Scenario4[loser3-ability3],HighlanderAbilities3Scenario4[[#This Row],[ability]])</calculatedColumnFormula>
    </tableColumn>
    <tableColumn id="3" xr3:uid="{1CF5A6E3-BDBB-4BA0-AB18-D98F0CF98FAD}" name="wins" dataDxfId="1600">
      <calculatedColumnFormula>COUNTIF(Scenario4[winner1-ability3],HighlanderAbilities3Scenario4[[#This Row],[ability]])</calculatedColumnFormula>
    </tableColumn>
    <tableColumn id="4" xr3:uid="{C7700EEB-22A4-475D-847D-673B54FC744B}" name="battles-take-rate" dataDxfId="1599">
      <calculatedColumnFormula>IF(SUM(HighlanderAbilities3Scenario4[[#This Row],[takes]]) &gt; 0,HighlanderAbilities3Scenario4[[#This Row],[takes]]/SUM(HighlanderAbilities3Scenario4[takes]),0)</calculatedColumnFormula>
    </tableColumn>
    <tableColumn id="5" xr3:uid="{D63D4ECC-976C-4185-942A-9A1FA6D5333C}" name="take-win-rate" dataDxfId="1598">
      <calculatedColumnFormula>IF(HighlanderAbilities3Scenario4[[#This Row],[takes]]&gt;0,HighlanderAbilities3Scenario4[[#This Row],[wins]]/HighlanderAbilities3Scenario4[[#This Row],[takes]],0)</calculatedColumnFormula>
    </tableColumn>
  </tableColumns>
  <tableStyleInfo name="TableStyleMedium2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3" xr:uid="{3021A274-1944-499F-919F-F5D82E87C071}" name="HighlanderAbilities4Scenario4" displayName="HighlanderAbilities4Scenario4" ref="K101:O104" totalsRowShown="0" headerRowDxfId="1597" headerRowBorderDxfId="1596" tableBorderDxfId="1595" totalsRowBorderDxfId="1594">
  <autoFilter ref="K101:O104" xr:uid="{3021A274-1944-499F-919F-F5D82E87C071}"/>
  <tableColumns count="5">
    <tableColumn id="1" xr3:uid="{6A10C915-2B4E-4171-B1A6-BA0E08BCB5E6}" name="ability" dataDxfId="1593"/>
    <tableColumn id="2" xr3:uid="{1B63CB98-3358-4BF6-B784-DAB5C7511C79}" name="takes" dataDxfId="1592">
      <calculatedColumnFormula>COUNTIF(Scenario4[winner1-ability4],HighlanderAbilities4Scenario4[[#This Row],[ability]])+COUNTIF(Scenario4[loser1-ability4],HighlanderAbilities4Scenario4[[#This Row],[ability]])+COUNTIF(Scenario4[loser2-ability4],HighlanderAbilities4Scenario4[[#This Row],[ability]])+COUNTIF(Scenario4[loser3-ability4],HighlanderAbilities4Scenario4[[#This Row],[ability]])</calculatedColumnFormula>
    </tableColumn>
    <tableColumn id="3" xr3:uid="{DA71A3EB-7BF8-4770-9352-8EB5456EEB80}" name="wins" dataDxfId="1591">
      <calculatedColumnFormula>COUNTIF(Scenario4[winner1-ability4],HighlanderAbilities4Scenario4[[#This Row],[ability]])</calculatedColumnFormula>
    </tableColumn>
    <tableColumn id="4" xr3:uid="{7473A2D8-3F3F-4FFA-BAB1-C8B71D109AB0}" name="battles-take-rate" dataDxfId="1590">
      <calculatedColumnFormula>IF(SUM(HighlanderAbilities4Scenario4[[#This Row],[takes]]) &gt; 0,HighlanderAbilities4Scenario4[[#This Row],[takes]]/SUM(HighlanderAbilities4Scenario4[takes]),0)</calculatedColumnFormula>
    </tableColumn>
    <tableColumn id="5" xr3:uid="{267C917C-4983-4803-9AE8-E81D25B3F4A3}" name="take-win-rate" dataDxfId="1589">
      <calculatedColumnFormula>IF(HighlanderAbilities4Scenario4[[#This Row],[takes]]&gt;0,HighlanderAbilities4Scenario4[[#This Row],[wins]]/HighlanderAbilities4Scenario4[[#This Row],[takes]],0)</calculatedColumnFormula>
    </tableColumn>
  </tableColumns>
  <tableStyleInfo name="TableStyleMedium2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4" xr:uid="{C70E3893-1158-4C05-85ED-343E71210686}" name="HighlanderEquipScenario4" displayName="HighlanderEquipScenario4" ref="Q86:S89" totalsRowShown="0">
  <autoFilter ref="Q86:S89" xr:uid="{C70E3893-1158-4C05-85ED-343E71210686}"/>
  <tableColumns count="3">
    <tableColumn id="1" xr3:uid="{B0267319-CEFB-46A1-A0D0-B821254D33D8}" name="level"/>
    <tableColumn id="2" xr3:uid="{F3F64B13-6B39-493C-A6A4-F1DC4F71C793}" name="sword" dataDxfId="1588">
      <calculatedColumnFormula>COUNTIFS(Scenario4[winner1],"highlander",Scenario4[winner1-pw],HighlanderEquipScenario4[[#This Row],[level]])+COUNTIFS(Scenario4[loser1],"highlander",Scenario4[loser1-pw],HighlanderEquipScenario4[[#This Row],[level]])+COUNTIFS(Scenario4[loser2],"highlander",Scenario4[loser2-pw],HighlanderEquipScenario4[[#This Row],[level]])+COUNTIFS(Scenario4[loser3],"highlander",Scenario4[loser3-pw],HighlanderEquipScenario4[[#This Row],[level]])</calculatedColumnFormula>
    </tableColumn>
    <tableColumn id="4" xr3:uid="{E2F6EB7B-43DF-42D9-87B2-023C21CF0A40}" name="chestpiece" dataDxfId="1587">
      <calculatedColumnFormula>COUNTIFS(Scenario4[winner1],"highlander",Scenario4[winner1-cp],HighlanderEquipScenario4[[#This Row],[level]])+COUNTIFS(Scenario4[loser1],"highlander",Scenario4[loser1-cp],HighlanderEquipScenario4[[#This Row],[level]])+COUNTIFS(Scenario4[loser2],"highlander",Scenario4[loser2-cp],HighlanderEquipScenario4[[#This Row],[level]])+COUNTIFS(Scenario4[loser3],"highlander",Scenario4[loser3-cp],HighlanderEquipScenario4[[#This Row],[level]])</calculatedColumnFormula>
    </tableColumn>
  </tableColumns>
  <tableStyleInfo name="TableStyleMedium2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8" xr:uid="{E92FFEA1-DCE3-4FE6-AE73-F34F7655B6E5}" name="HighlanderAbilities1Scenario5" displayName="HighlanderAbilities1Scenario5" ref="K107:O110" totalsRowShown="0">
  <autoFilter ref="K107:O110" xr:uid="{E92FFEA1-DCE3-4FE6-AE73-F34F7655B6E5}"/>
  <tableColumns count="5">
    <tableColumn id="2" xr3:uid="{370D4B97-1834-4E47-BB03-00E8BB421161}" name="ability"/>
    <tableColumn id="6" xr3:uid="{F8E4A647-6A92-4B38-9AD3-4BA20F30E33E}" name="takes" dataDxfId="1586">
      <calculatedColumnFormula>COUNTIF(Scenario5[winner1-ability1],HighlanderAbilities1Scenario5[[#This Row],[ability]])+COUNTIF(Scenario5[winner2-ability1],HighlanderAbilities1Scenario5[[#This Row],[ability]])+COUNTIF(Scenario5[loser1-ability1],HighlanderAbilities1Scenario5[[#This Row],[ability]])+COUNTIF(Scenario5[loser2-ability1],HighlanderAbilities1Scenario5[[#This Row],[ability]])</calculatedColumnFormula>
    </tableColumn>
    <tableColumn id="4" xr3:uid="{E3E11701-45EA-4E7B-8D97-785CFAB0CD86}" name="wins" dataDxfId="1585">
      <calculatedColumnFormula>COUNTIF(Scenario5[winner1-ability1],HighlanderAbilities1Scenario5[[#This Row],[ability]])+COUNTIF(Scenario5[winner2-ability1],HighlanderAbilities1Scenario5[[#This Row],[ability]])</calculatedColumnFormula>
    </tableColumn>
    <tableColumn id="5" xr3:uid="{3365DD93-BED9-475B-AA72-6854F651A87E}" name="battles-take-rate" dataDxfId="1584">
      <calculatedColumnFormula>IF(SUM(HighlanderAbilities1Scenario5[[#This Row],[takes]]) &gt; 0,HighlanderAbilities1Scenario5[[#This Row],[takes]]/SUM(HighlanderAbilities1Scenario5[takes]),0)</calculatedColumnFormula>
    </tableColumn>
    <tableColumn id="7" xr3:uid="{94D8C1EC-49E9-4B1A-A039-F363BD539C43}" name="take-win-rate" dataDxfId="1583">
      <calculatedColumnFormula>IF(HighlanderAbilities1Scenario5[[#This Row],[takes]]&gt;0,HighlanderAbilities1Scenario5[[#This Row],[wins]]/HighlanderAbilities1Scenario5[[#This Row],[takes]],0)</calculatedColumnFormula>
    </tableColumn>
  </tableColumns>
  <tableStyleInfo name="TableStyleMedium2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9" xr:uid="{8A05B47B-BA82-410E-8E83-33AEF19FC888}" name="HighlanderAbilities2Scenario5" displayName="HighlanderAbilities2Scenario5" ref="K112:O115" totalsRowShown="0" headerRowDxfId="1582" headerRowBorderDxfId="1581" tableBorderDxfId="1580" totalsRowBorderDxfId="1579">
  <autoFilter ref="K112:O115" xr:uid="{8A05B47B-BA82-410E-8E83-33AEF19FC888}"/>
  <tableColumns count="5">
    <tableColumn id="1" xr3:uid="{91AB09DE-4802-41D1-A830-69E8CA9B6C73}" name="ability"/>
    <tableColumn id="2" xr3:uid="{772E6551-9344-4E76-BF3F-45BFA26D4F53}" name="takes" dataDxfId="1578">
      <calculatedColumnFormula>COUNTIF(Scenario5[winner1-ability2],HighlanderAbilities2Scenario5[[#This Row],[ability]])+COUNTIF(Scenario5[winner2-ability2],HighlanderAbilities2Scenario5[[#This Row],[ability]])+COUNTIF(Scenario5[loser1-ability2],HighlanderAbilities2Scenario5[[#This Row],[ability]])+COUNTIF(Scenario5[loser2-ability2],HighlanderAbilities2Scenario5[[#This Row],[ability]])</calculatedColumnFormula>
    </tableColumn>
    <tableColumn id="3" xr3:uid="{0748E928-679C-4373-83B8-9E5383F2EB01}" name="wins" dataDxfId="1577">
      <calculatedColumnFormula>COUNTIF(Scenario5[winner1-ability2],HighlanderAbilities2Scenario5[[#This Row],[ability]])+COUNTIF(Scenario5[winner2-ability2],HighlanderAbilities2Scenario5[[#This Row],[ability]])</calculatedColumnFormula>
    </tableColumn>
    <tableColumn id="4" xr3:uid="{EE61E8A1-5380-4192-A8D5-90CD9586331B}" name="battles-take-rate" dataDxfId="1576">
      <calculatedColumnFormula>IF(SUM(HighlanderAbilities2Scenario5[[#This Row],[takes]]) &gt; 0,HighlanderAbilities2Scenario5[[#This Row],[takes]]/SUM(HighlanderAbilities2Scenario5[takes]),0)</calculatedColumnFormula>
    </tableColumn>
    <tableColumn id="5" xr3:uid="{5BC5B108-E7F6-45C2-A5B8-015520D1A83E}" name="take-win-rate" dataDxfId="1575">
      <calculatedColumnFormula>IF(HighlanderAbilities2Scenario5[[#This Row],[takes]]&gt;0,HighlanderAbilities2Scenario5[[#This Row],[wins]]/HighlanderAbilities2Scenario5[[#This Row],[takes]],0)</calculatedColumnFormula>
    </tableColumn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0" xr:uid="{0FB333E9-9A55-4894-9A20-6383E318C370}" name="HighlanderAbilities3Scenario5" displayName="HighlanderAbilities3Scenario5" ref="K117:O120" totalsRowShown="0" headerRowDxfId="1574" headerRowBorderDxfId="1573" tableBorderDxfId="1572" totalsRowBorderDxfId="1571">
  <autoFilter ref="K117:O120" xr:uid="{0FB333E9-9A55-4894-9A20-6383E318C370}"/>
  <tableColumns count="5">
    <tableColumn id="1" xr3:uid="{4157DC2F-FCBF-4073-A6F1-6675EC9E7B37}" name="ability"/>
    <tableColumn id="2" xr3:uid="{69004BF6-0D71-409F-A1D4-8340A31F2DD9}" name="takes" dataDxfId="1570">
      <calculatedColumnFormula>COUNTIF(Scenario5[winner1-ability3],HighlanderAbilities3Scenario5[[#This Row],[ability]])+COUNTIF(Scenario5[winner2-ability3],HighlanderAbilities3Scenario5[[#This Row],[ability]])+COUNTIF(Scenario5[loser1-ability3],HighlanderAbilities3Scenario5[[#This Row],[ability]])+COUNTIF(Scenario5[loser2-ability3],HighlanderAbilities3Scenario5[[#This Row],[ability]])</calculatedColumnFormula>
    </tableColumn>
    <tableColumn id="3" xr3:uid="{48091A4D-D948-449C-AA4E-6ECAA9545B32}" name="wins" dataDxfId="1569">
      <calculatedColumnFormula>COUNTIF(Scenario5[winner1-ability3],HighlanderAbilities3Scenario5[[#This Row],[ability]])+COUNTIF(Scenario5[winner2-ability3],HighlanderAbilities3Scenario5[[#This Row],[ability]])</calculatedColumnFormula>
    </tableColumn>
    <tableColumn id="4" xr3:uid="{79CB238A-29E9-4B74-AB8F-04DDDB25C927}" name="battles-take-rate" dataDxfId="1568">
      <calculatedColumnFormula>IF(SUM(HighlanderAbilities3Scenario5[[#This Row],[takes]]) &gt; 0,HighlanderAbilities3Scenario5[[#This Row],[takes]]/SUM(HighlanderAbilities3Scenario5[takes]),0)</calculatedColumnFormula>
    </tableColumn>
    <tableColumn id="5" xr3:uid="{AE48667D-3626-4CD6-B844-F40AC8534E14}" name="take-win-rate" dataDxfId="1567">
      <calculatedColumnFormula>IF(HighlanderAbilities3Scenario5[[#This Row],[takes]]&gt;0,HighlanderAbilities3Scenario5[[#This Row],[wins]]/HighlanderAbilities3Scenario5[[#This Row],[takes]],0)</calculatedColumnFormula>
    </tableColumn>
  </tableColumns>
  <tableStyleInfo name="TableStyleMedium2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1" xr:uid="{865DBF38-999A-4183-A029-CB08FB30F44C}" name="HighlanderAbilities4Scenario5" displayName="HighlanderAbilities4Scenario5" ref="K122:O125" totalsRowShown="0" headerRowDxfId="1566" headerRowBorderDxfId="1565" tableBorderDxfId="1564" totalsRowBorderDxfId="1563">
  <autoFilter ref="K122:O125" xr:uid="{865DBF38-999A-4183-A029-CB08FB30F44C}"/>
  <tableColumns count="5">
    <tableColumn id="1" xr3:uid="{41E29E68-60A8-423B-9021-7DFA08756E06}" name="ability" dataDxfId="1562"/>
    <tableColumn id="2" xr3:uid="{9CC3CC3F-42CE-4277-9DE5-B1A61D3DB62A}" name="takes" dataDxfId="1561">
      <calculatedColumnFormula>COUNTIF(Scenario5[winner1-ability4],HighlanderAbilities4Scenario5[[#This Row],[ability]])+COUNTIF(Scenario5[winner2-ability4],HighlanderAbilities4Scenario5[[#This Row],[ability]])+COUNTIF(Scenario5[loser1-ability4],HighlanderAbilities4Scenario5[[#This Row],[ability]])+COUNTIF(Scenario5[loser2-ability4],HighlanderAbilities4Scenario5[[#This Row],[ability]])</calculatedColumnFormula>
    </tableColumn>
    <tableColumn id="3" xr3:uid="{C5FCE514-7540-479E-894E-D8CA29011D80}" name="wins" dataDxfId="1560">
      <calculatedColumnFormula>COUNTIF(Scenario5[winner1-ability4],HighlanderAbilities4Scenario5[[#This Row],[ability]])+COUNTIF(Scenario5[winner2-ability4],HighlanderAbilities4Scenario5[[#This Row],[ability]])</calculatedColumnFormula>
    </tableColumn>
    <tableColumn id="4" xr3:uid="{267AE6DC-7E86-4BE9-8482-A30D7BE58B58}" name="battles-take-rate" dataDxfId="1559">
      <calculatedColumnFormula>IF(SUM(HighlanderAbilities4Scenario5[[#This Row],[takes]]) &gt; 0,HighlanderAbilities4Scenario5[[#This Row],[takes]]/SUM(HighlanderAbilities4Scenario5[takes]),0)</calculatedColumnFormula>
    </tableColumn>
    <tableColumn id="5" xr3:uid="{D4F70B2E-1094-4854-B3A6-E13E8370FB6F}" name="take-win-rate" dataDxfId="1558">
      <calculatedColumnFormula>IF(HighlanderAbilities4Scenario5[[#This Row],[takes]]&gt;0,HighlanderAbilities4Scenario5[[#This Row],[wins]]/HighlanderAbilities4Scenario5[[#This Row],[takes]],0)</calculatedColumnFormula>
    </tableColumn>
  </tableColumns>
  <tableStyleInfo name="TableStyleMedium2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2" xr:uid="{AE013EA8-DF3B-4BBA-AAAC-EE3F57259DA3}" name="HighlanderEquipScenario5" displayName="HighlanderEquipScenario5" ref="Q107:S110" totalsRowShown="0">
  <autoFilter ref="Q107:S110" xr:uid="{AE013EA8-DF3B-4BBA-AAAC-EE3F57259DA3}"/>
  <tableColumns count="3">
    <tableColumn id="1" xr3:uid="{F3D90884-8B6C-40EB-936A-A923BA841D7F}" name="level"/>
    <tableColumn id="2" xr3:uid="{2DA830E6-2F38-48FA-9BAC-B527D9CCC8D1}" name="sword" dataDxfId="1557">
      <calculatedColumnFormula>COUNTIFS(Scenario5[winner1],"highlander",Scenario5[winner1-pw],HighlanderEquipScenario5[[#This Row],[level]])+COUNTIFS(Scenario5[winner2],"highlander",Scenario5[winner2-pw],HighlanderEquipScenario5[[#This Row],[level]])+COUNTIFS(Scenario5[loser1],"highlander",Scenario5[loser1-pw],HighlanderEquipScenario5[[#This Row],[level]])+COUNTIFS(Scenario5[loser2],"highlander",Scenario5[loser2-pw],HighlanderEquipScenario5[[#This Row],[level]])</calculatedColumnFormula>
    </tableColumn>
    <tableColumn id="4" xr3:uid="{A41CE38C-EE1C-497F-9031-8AE9B4AAE8BF}" name="chestpiece" dataDxfId="1556">
      <calculatedColumnFormula>COUNTIFS(Scenario5[winner1],"highlander",Scenario5[winner1-cp],HighlanderEquipScenario5[[#This Row],[level]])+COUNTIFS(Scenario5[winner2],"highlander",Scenario5[winner2-cp],HighlanderEquipScenario5[[#This Row],[level]])+COUNTIFS(Scenario5[loser1],"highlander",Scenario5[loser1-cp],HighlanderEquipScenario5[[#This Row],[level]])+COUNTIFS(Scenario5[loser2],"highlander",Scenario5[loser2-cp],HighlanderEquipScenario5[[#This Row],[level]])</calculatedColumnFormula>
    </tableColumn>
  </tableColumns>
  <tableStyleInfo name="TableStyleMedium2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E9C2E3BE-35CA-4522-A0D2-300243F43902}" name="DruidAbilities1" displayName="DruidAbilities1" ref="A2:E5" totalsRowShown="0">
  <autoFilter ref="A2:E5" xr:uid="{DCA301F1-E0F8-4700-BEE5-2688AF43F23A}"/>
  <tableColumns count="5">
    <tableColumn id="2" xr3:uid="{93EA1F80-C6AB-4EC9-AEE8-56E729DF7847}" name="ability"/>
    <tableColumn id="6" xr3:uid="{15EF928B-498B-43FC-8CE9-9493D82F9C26}" name="takes" dataDxfId="1555">
      <calculatedColumnFormula>L3+L24+L45+L66+L87+L108</calculatedColumnFormula>
    </tableColumn>
    <tableColumn id="4" xr3:uid="{30745929-46B0-48D6-B955-7A2AC6D9C7E1}" name="wins" dataDxfId="1554">
      <calculatedColumnFormula>M3+M24+M45+M66+M87+M108</calculatedColumnFormula>
    </tableColumn>
    <tableColumn id="5" xr3:uid="{6D02BF52-C170-4CC1-9A86-21AB4BDB7626}" name="battles-take-rate" dataDxfId="1553">
      <calculatedColumnFormula>IF(SUM(DruidAbilities1[[#This Row],[takes]]) &gt; 0,DruidAbilities1[[#This Row],[takes]]/SUM(DruidAbilities1[takes]),0)</calculatedColumnFormula>
    </tableColumn>
    <tableColumn id="7" xr3:uid="{1BD2CBF1-C18F-4926-AD25-D921CA90DC08}" name="take-win-rate" dataDxfId="1552">
      <calculatedColumnFormula>IF(DruidAbilities1[[#This Row],[takes]]&gt;0,DruidAbilities1[[#This Row],[wins]]/DruidAbilities1[[#This Row],[takes]],0)</calculatedColumnFormula>
    </tableColumn>
  </tableColumns>
  <tableStyleInfo name="TableStyleMedium2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367F1C73-ED1E-4E60-8200-BA163DFF0C87}" name="DruidAbilities2" displayName="DruidAbilities2" ref="A7:E10" totalsRowShown="0" headerRowDxfId="1551" headerRowBorderDxfId="1550" tableBorderDxfId="1549" totalsRowBorderDxfId="1548">
  <autoFilter ref="A7:E10" xr:uid="{8ADAEE31-4DDA-4DF2-9EAD-04808D53FFC1}"/>
  <tableColumns count="5">
    <tableColumn id="1" xr3:uid="{66F8BC3A-1684-4A71-8B49-EE69455B0DE9}" name="ability"/>
    <tableColumn id="2" xr3:uid="{A8D63241-E0F4-4693-ABBE-3F7FD1417DFC}" name="takes" dataDxfId="1547">
      <calculatedColumnFormula>L8+L29+L50+L71+L92+L113</calculatedColumnFormula>
    </tableColumn>
    <tableColumn id="3" xr3:uid="{48DF5F5A-0975-4E8D-B144-712277591A94}" name="wins" dataDxfId="1546">
      <calculatedColumnFormula>M8+M29+M50+M71+M92+M113</calculatedColumnFormula>
    </tableColumn>
    <tableColumn id="4" xr3:uid="{268E7864-1892-40A3-BCCF-FE157CEB565E}" name="battles-take-rate" dataDxfId="1545">
      <calculatedColumnFormula>IF(SUM(DruidAbilities2[[#This Row],[takes]]) &gt; 0,DruidAbilities2[[#This Row],[takes]]/SUM(DruidAbilities2[takes]),0)</calculatedColumnFormula>
    </tableColumn>
    <tableColumn id="5" xr3:uid="{374CE05D-3175-43E9-B4DC-F8CD21B172BB}" name="take-win-rate" dataDxfId="1544">
      <calculatedColumnFormula>IF(DruidAbilities2[[#This Row],[takes]]&gt;0,DruidAbilities2[[#This Row],[wins]]/DruidAbilities2[[#This Row],[takes]],0)</calculatedColumnFormula>
    </tableColumn>
  </tableColumns>
  <tableStyleInfo name="TableStyleMedium2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A2CE5123-D112-44C4-B168-D945CF82A081}" name="DruidAbilities3" displayName="DruidAbilities3" ref="A12:E15" totalsRowShown="0" headerRowDxfId="1543" headerRowBorderDxfId="1542" tableBorderDxfId="1541" totalsRowBorderDxfId="1540">
  <autoFilter ref="A12:E15" xr:uid="{1B0EA3CA-FA8E-4345-B52C-471D5C94AD38}"/>
  <tableColumns count="5">
    <tableColumn id="1" xr3:uid="{45CA90FB-A2ED-421B-89DD-30969C31AE00}" name="ability"/>
    <tableColumn id="2" xr3:uid="{DF223676-B573-4853-A841-241EB64E92A1}" name="takes" dataDxfId="1539">
      <calculatedColumnFormula>L13+L34+L55+L76+L97+L118</calculatedColumnFormula>
    </tableColumn>
    <tableColumn id="3" xr3:uid="{925C0493-2E5C-4E18-B248-24590FEA740E}" name="wins" dataDxfId="1538">
      <calculatedColumnFormula>M13+M34+M55+M76+M97+M118</calculatedColumnFormula>
    </tableColumn>
    <tableColumn id="4" xr3:uid="{7164F2B9-2D78-40B4-A513-E10635D154E9}" name="battles-take-rate" dataDxfId="1537">
      <calculatedColumnFormula>IF(SUM(DruidAbilities3[[#This Row],[takes]]) &gt; 0,DruidAbilities3[[#This Row],[takes]]/SUM(DruidAbilities3[takes]),0)</calculatedColumnFormula>
    </tableColumn>
    <tableColumn id="5" xr3:uid="{6DB17264-E974-4948-97B1-29BF3B55E29D}" name="take-win-rate" dataDxfId="1536">
      <calculatedColumnFormula>IF(DruidAbilities3[[#This Row],[takes]]&gt;0,DruidAbilities3[[#This Row],[wins]]/DruidAbilities3[[#This Row],[takes]],0)</calculatedColumnFormula>
    </tableColumn>
  </tableColumns>
  <tableStyleInfo name="TableStyleMedium2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9F118AFF-C47F-4848-9C27-8D32C456EFBF}" name="DruidAbilities4" displayName="DruidAbilities4" ref="A17:E20" totalsRowShown="0" headerRowDxfId="1535" headerRowBorderDxfId="1534" tableBorderDxfId="1533" totalsRowBorderDxfId="1532">
  <autoFilter ref="A17:E20" xr:uid="{2AADA4A0-2F4A-4009-8ECF-0BECA693390C}"/>
  <tableColumns count="5">
    <tableColumn id="1" xr3:uid="{B55E8E85-9B14-4EFC-B40F-2ADF016F740F}" name="ability" dataDxfId="1531"/>
    <tableColumn id="2" xr3:uid="{076E566F-F5E9-47AA-B1B5-F3E7825F4999}" name="takes" dataDxfId="1530">
      <calculatedColumnFormula>L18+L39+L60+L81+L102+L123</calculatedColumnFormula>
    </tableColumn>
    <tableColumn id="3" xr3:uid="{322B89F0-887F-4B61-98E6-57F772ED36C6}" name="wins" dataDxfId="1529">
      <calculatedColumnFormula>M18+M39+M60+M81+M102+M123</calculatedColumnFormula>
    </tableColumn>
    <tableColumn id="4" xr3:uid="{DD000198-4098-4FC5-A3B5-6351F4B85BF2}" name="battles-take-rate" dataDxfId="1528">
      <calculatedColumnFormula>IF(SUM(DruidAbilities4[[#This Row],[takes]]) &gt; 0,DruidAbilities4[[#This Row],[takes]]/SUM(DruidAbilities4[takes]),0)</calculatedColumnFormula>
    </tableColumn>
    <tableColumn id="5" xr3:uid="{81BF86A0-5F92-4D2B-A368-FDA1F7D3ACE3}" name="take-win-rate" dataDxfId="1527">
      <calculatedColumnFormula>IF(DruidAbilities4[[#This Row],[takes]]&gt;0,DruidAbilities4[[#This Row],[wins]]/DruidAbilities4[[#This Row],[takes]],0)</calculatedColumnFormula>
    </tableColumn>
  </tableColumns>
  <tableStyleInfo name="TableStyleMedium2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13BCC088-8F39-48B0-95E5-E63768BB8A50}" name="DruidEquip" displayName="DruidEquip" ref="G2:I5" totalsRowShown="0">
  <autoFilter ref="G2:I5" xr:uid="{C15024E5-2A00-4F8B-BBEB-0FE7A036BC54}"/>
  <tableColumns count="3">
    <tableColumn id="1" xr3:uid="{5B9D82B9-3D0B-4C4E-9628-FC4065F1766B}" name="level"/>
    <tableColumn id="2" xr3:uid="{7825B36A-217E-4FE5-A50A-4C0322A24058}" name="staff" dataDxfId="1526">
      <calculatedColumnFormula>R3+R24+R45+R66+R87+R108</calculatedColumnFormula>
    </tableColumn>
    <tableColumn id="4" xr3:uid="{59B0F45B-3883-4EBA-BA1D-13246CC2FDE2}" name="chestpiece" dataDxfId="1525">
      <calculatedColumnFormula>S3+S24+S45+S66+S87+S108</calculatedColumnFormula>
    </tableColumn>
  </tableColumns>
  <tableStyleInfo name="TableStyleMedium2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F3078140-BDB3-4E47-9641-F6A59B656217}" name="DruidAbilities1Scenario0" displayName="DruidAbilities1Scenario0" ref="K2:O5" totalsRowShown="0">
  <autoFilter ref="K2:O5" xr:uid="{4CDFB74F-734F-4444-929B-80D3797B5492}"/>
  <tableColumns count="5">
    <tableColumn id="2" xr3:uid="{1F2631B6-23E3-4938-8032-70ED0A1C4D53}" name="ability"/>
    <tableColumn id="6" xr3:uid="{E1365074-2A39-43B2-802B-F0D7DE81C665}" name="takes" dataDxfId="1524">
      <calculatedColumnFormula>COUNTIF(Scenario0[winner1-ability1],DruidAbilities1Scenario0[[#This Row],[ability]])+COUNTIF(Scenario0[winner2-ability1],DruidAbilities1Scenario0[[#This Row],[ability]])+COUNTIF(Scenario0[loser1-ability1],DruidAbilities1Scenario0[[#This Row],[ability]])+COUNTIF(Scenario0[loser2-ability1],DruidAbilities1Scenario0[[#This Row],[ability]])</calculatedColumnFormula>
    </tableColumn>
    <tableColumn id="4" xr3:uid="{C72A9F66-870A-4BDC-BA05-80282530E432}" name="wins" dataDxfId="1523">
      <calculatedColumnFormula>COUNTIF(Scenario0[winner1-ability1],DruidAbilities1Scenario0[[#This Row],[ability]])+COUNTIF(Scenario0[winner2-ability1],DruidAbilities1Scenario0[[#This Row],[ability]])</calculatedColumnFormula>
    </tableColumn>
    <tableColumn id="5" xr3:uid="{B378F8E1-F8A6-4F4B-985C-9DEE02C18C62}" name="battles-take-rate" dataDxfId="1522">
      <calculatedColumnFormula>IF(SUM(DruidAbilities1Scenario0[[#This Row],[takes]]) &gt; 0,DruidAbilities1Scenario0[[#This Row],[takes]]/SUM(DruidAbilities1Scenario0[takes]),0)</calculatedColumnFormula>
    </tableColumn>
    <tableColumn id="7" xr3:uid="{DD4E19FD-B77D-47A4-90B5-0FE54DD8DFDD}" name="take-win-rate" dataDxfId="1521">
      <calculatedColumnFormula>IF(DruidAbilities1Scenario0[[#This Row],[takes]]&gt;0,DruidAbilities1Scenario0[[#This Row],[wins]]/DruidAbilities1Scenario0[[#This Row],[takes]],0)</calculatedColumnFormula>
    </tableColumn>
  </tableColumns>
  <tableStyleInfo name="TableStyleMedium2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DC638ED2-3B5C-4F3A-8BF5-49CF68790CFF}" name="DruidAbilities2Scenario0" displayName="DruidAbilities2Scenario0" ref="K7:O10" totalsRowShown="0" headerRowDxfId="1520" headerRowBorderDxfId="1519" tableBorderDxfId="1518" totalsRowBorderDxfId="1517">
  <autoFilter ref="K7:O10" xr:uid="{07F4368A-34C9-4286-BBA2-89F699718525}"/>
  <tableColumns count="5">
    <tableColumn id="1" xr3:uid="{5BED9BFF-ED58-4C47-971E-1F0FECEB0144}" name="ability"/>
    <tableColumn id="2" xr3:uid="{A29D37F0-2AF4-4419-8288-60516A134BBE}" name="takes" dataDxfId="1516">
      <calculatedColumnFormula>COUNTIF(Scenario0[winner1-ability2],DruidAbilities2Scenario0[[#This Row],[ability]])+COUNTIF(Scenario0[winner2-ability2],DruidAbilities2Scenario0[[#This Row],[ability]])+COUNTIF(Scenario0[loser1-ability2],DruidAbilities2Scenario0[[#This Row],[ability]])+COUNTIF(Scenario0[loser2-ability2],DruidAbilities2Scenario0[[#This Row],[ability]])</calculatedColumnFormula>
    </tableColumn>
    <tableColumn id="3" xr3:uid="{0E5FADB7-D383-4AC3-B6EF-7F5F00B20702}" name="wins" dataDxfId="1515">
      <calculatedColumnFormula>COUNTIF(Scenario0[winner1-ability2],DruidAbilities2Scenario0[[#This Row],[ability]])+COUNTIF(Scenario0[winner2-ability2],DruidAbilities2Scenario0[[#This Row],[ability]])</calculatedColumnFormula>
    </tableColumn>
    <tableColumn id="4" xr3:uid="{3F3E6573-03B3-4E46-87CF-691A088D075D}" name="battles-take-rate" dataDxfId="1514">
      <calculatedColumnFormula>IF(SUM(DruidAbilities2Scenario0[[#This Row],[takes]]) &gt; 0,DruidAbilities2Scenario0[[#This Row],[takes]]/SUM(DruidAbilities2Scenario0[takes]),0)</calculatedColumnFormula>
    </tableColumn>
    <tableColumn id="5" xr3:uid="{F9BD2519-F555-44D7-B470-E4B2359F48ED}" name="take-win-rate" dataDxfId="1513">
      <calculatedColumnFormula>IF(DruidAbilities2Scenario0[[#This Row],[takes]]&gt;0,DruidAbilities2Scenario0[[#This Row],[wins]]/DruidAbilities2Scenario0[[#This Row],[takes]],0)</calculatedColumnFormula>
    </tableColumn>
  </tableColumns>
  <tableStyleInfo name="TableStyleMedium2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D93F13CD-3FC5-4FE8-8FD7-CB381F4B2F32}" name="DruidAbilities3Scenario0" displayName="DruidAbilities3Scenario0" ref="K12:O15" totalsRowShown="0" headerRowDxfId="1512" headerRowBorderDxfId="1511" tableBorderDxfId="1510" totalsRowBorderDxfId="1509">
  <autoFilter ref="K12:O15" xr:uid="{E8520742-705B-4A78-A5FD-1F57726A369B}"/>
  <tableColumns count="5">
    <tableColumn id="1" xr3:uid="{EF9C86AC-A217-4318-BD6D-3E629F18591F}" name="ability"/>
    <tableColumn id="2" xr3:uid="{B7D8A600-2162-4A35-8158-AC4071B36227}" name="takes" dataDxfId="1508">
      <calculatedColumnFormula>COUNTIF(Scenario0[winner1-ability3],DruidAbilities3Scenario0[[#This Row],[ability]])+COUNTIF(Scenario0[winner2-ability3],DruidAbilities3Scenario0[[#This Row],[ability]])+COUNTIF(Scenario0[loser1-ability3],DruidAbilities3Scenario0[[#This Row],[ability]])+COUNTIF(Scenario0[loser2-ability3],DruidAbilities3Scenario0[[#This Row],[ability]])</calculatedColumnFormula>
    </tableColumn>
    <tableColumn id="3" xr3:uid="{09BE4551-FD08-44A5-A3EA-0E8E18684832}" name="wins" dataDxfId="1507">
      <calculatedColumnFormula>COUNTIF(Scenario0[winner1-ability3],DruidAbilities3Scenario0[[#This Row],[ability]])+COUNTIF(Scenario0[winner2-ability3],DruidAbilities3Scenario0[[#This Row],[ability]])</calculatedColumnFormula>
    </tableColumn>
    <tableColumn id="4" xr3:uid="{CEF7C87A-5622-4B53-82EF-99E133A706A3}" name="battles-take-rate" dataDxfId="1506">
      <calculatedColumnFormula>IF(SUM(DruidAbilities3Scenario0[[#This Row],[takes]]) &gt; 0,DruidAbilities3Scenario0[[#This Row],[takes]]/SUM(DruidAbilities3Scenario0[takes]),0)</calculatedColumnFormula>
    </tableColumn>
    <tableColumn id="5" xr3:uid="{207DD875-ED11-40EC-8B20-4E5EFE92F4EB}" name="take-win-rate" dataDxfId="1505">
      <calculatedColumnFormula>IF(DruidAbilities3Scenario0[[#This Row],[takes]]&gt;0,DruidAbilities3Scenario0[[#This Row],[wins]]/DruidAbilities3Scenario0[[#This Row],[takes]],0)</calculatedColumnFormula>
    </tableColumn>
  </tableColumns>
  <tableStyleInfo name="TableStyleMedium2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9C438AE7-1237-4D7E-A8FB-E4C2CD188770}" name="DruidAbilities4Scenario0" displayName="DruidAbilities4Scenario0" ref="K17:O20" totalsRowShown="0" headerRowDxfId="1504" headerRowBorderDxfId="1503" tableBorderDxfId="1502" totalsRowBorderDxfId="1501">
  <autoFilter ref="K17:O20" xr:uid="{01E0B516-A92C-45D4-946B-0FCF2F31D98A}"/>
  <tableColumns count="5">
    <tableColumn id="1" xr3:uid="{F1A34086-91B1-448A-A581-8C7A371A6B38}" name="ability" dataDxfId="1500"/>
    <tableColumn id="2" xr3:uid="{1CA216CA-0230-4993-9DF5-190FC3A6530D}" name="takes" dataDxfId="1499">
      <calculatedColumnFormula>COUNTIF(Scenario0[winner1-ability4],DruidAbilities4Scenario0[[#This Row],[ability]])+COUNTIF(Scenario0[winner2-ability4],DruidAbilities4Scenario0[[#This Row],[ability]])+COUNTIF(Scenario0[loser1-ability4],DruidAbilities4Scenario0[[#This Row],[ability]])+COUNTIF(Scenario0[loser2-ability4],DruidAbilities4Scenario0[[#This Row],[ability]])</calculatedColumnFormula>
    </tableColumn>
    <tableColumn id="3" xr3:uid="{3FE68981-4182-44F2-B379-18A22F892EA1}" name="wins" dataDxfId="1498">
      <calculatedColumnFormula>COUNTIF(Scenario0[winner1-ability4],DruidAbilities4Scenario0[[#This Row],[ability]])+COUNTIF(Scenario0[winner2-ability4],DruidAbilities4Scenario0[[#This Row],[ability]])</calculatedColumnFormula>
    </tableColumn>
    <tableColumn id="4" xr3:uid="{DE3B5744-304C-4D30-8262-6220F69226C8}" name="battles-take-rate" dataDxfId="1497">
      <calculatedColumnFormula>IF(SUM(DruidAbilities4Scenario0[[#This Row],[takes]]) &gt; 0,DruidAbilities4Scenario0[[#This Row],[takes]]/SUM(DruidAbilities4Scenario0[takes]),0)</calculatedColumnFormula>
    </tableColumn>
    <tableColumn id="5" xr3:uid="{F8133BE8-9677-4172-9CE4-1A01B1A5F7B8}" name="take-win-rate" dataDxfId="1496">
      <calculatedColumnFormula>IF(DruidAbilities4Scenario0[[#This Row],[takes]]&gt;0,DruidAbilities4Scenario0[[#This Row],[wins]]/DruidAbilities4Scenario0[[#This Row],[takes]],0)</calculatedColumnFormula>
    </tableColumn>
  </tableColumns>
  <tableStyleInfo name="TableStyleMedium2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10D15A51-86BE-4845-A63E-4FCF51B034D2}" name="DruidEquipScenario0" displayName="DruidEquipScenario0" ref="Q2:S5" totalsRowShown="0">
  <autoFilter ref="Q2:S5" xr:uid="{E84D91C4-DFF3-43B9-932F-3FEFFBEA9FF1}"/>
  <tableColumns count="3">
    <tableColumn id="1" xr3:uid="{1F6D937D-F7B5-4BEB-942A-52C533D9BD42}" name="level"/>
    <tableColumn id="2" xr3:uid="{DF36CC27-76C5-4288-AFB9-8A7D0BDE79EA}" name="staff" dataDxfId="1495">
      <calculatedColumnFormula>COUNTIFS(Scenario0[winner1],"druid",Scenario0[winner1-pw],DruidEquipScenario0[[#This Row],[level]])+COUNTIFS(Scenario0[winner2],"druid",Scenario0[winner2-pw],DruidEquipScenario0[[#This Row],[level]])+COUNTIFS(Scenario0[loser1],"druid",Scenario0[loser1-pw],DruidEquipScenario0[[#This Row],[level]])+COUNTIFS(Scenario0[loser2],"druid",Scenario0[loser2-pw],DruidEquipScenario0[[#This Row],[level]])</calculatedColumnFormula>
    </tableColumn>
    <tableColumn id="4" xr3:uid="{7AA12247-C283-4AC1-A9D3-AB30173ABE9A}" name="chestpiece" dataDxfId="1494">
      <calculatedColumnFormula>COUNTIFS(Scenario0[winner1],"druid",Scenario0[winner1-cp],DruidEquipScenario0[[#This Row],[level]])+COUNTIFS(Scenario0[winner2],"druid",Scenario0[winner2-cp],DruidEquipScenario0[[#This Row],[level]])+COUNTIFS(Scenario0[loser1],"druid",Scenario0[loser1-cp],DruidEquipScenario0[[#This Row],[level]])+COUNTIFS(Scenario0[loser2],"druid",Scenario0[loser2-cp],DruidEquipScenario0[[#This Row],[level]])</calculatedColumnFormula>
    </tableColumn>
  </tableColumns>
  <tableStyleInfo name="TableStyleMedium2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BCEC32CA-F677-463E-93B7-5C34289E1030}" name="DruidAbilities1Scenario1" displayName="DruidAbilities1Scenario1" ref="K23:O26" totalsRowShown="0">
  <autoFilter ref="K23:O26" xr:uid="{A0A97CA7-01BF-4D92-A7D1-F51028CD7758}"/>
  <tableColumns count="5">
    <tableColumn id="2" xr3:uid="{B1AA029D-7544-465D-A3DA-C0AF99FE7FFE}" name="ability"/>
    <tableColumn id="6" xr3:uid="{4B9D742A-9430-4484-8932-F8E3D527A2FE}" name="takes" dataDxfId="1493">
      <calculatedColumnFormula>COUNTIF(Scenario1[winner1-ability1],DruidAbilities1Scenario1[[#This Row],[ability]])+COUNTIF(Scenario1[winner2-ability1],DruidAbilities1Scenario1[[#This Row],[ability]])+COUNTIF(Scenario1[loser1-ability1],DruidAbilities1Scenario1[[#This Row],[ability]])+COUNTIF(Scenario1[loser2-ability1],DruidAbilities1Scenario1[[#This Row],[ability]])</calculatedColumnFormula>
    </tableColumn>
    <tableColumn id="4" xr3:uid="{AF51F963-1418-45B1-B496-287C1FF17C47}" name="wins" dataDxfId="1492">
      <calculatedColumnFormula>COUNTIF(Scenario1[winner1-ability1],DruidAbilities1Scenario1[[#This Row],[ability]])+COUNTIF(Scenario1[winner2-ability1],DruidAbilities1Scenario1[[#This Row],[ability]])</calculatedColumnFormula>
    </tableColumn>
    <tableColumn id="5" xr3:uid="{5D1CC046-EE60-414F-BBC0-327C5A60C051}" name="battles-take-rate" dataDxfId="1491">
      <calculatedColumnFormula>IF(SUM(DruidAbilities1Scenario1[[#This Row],[takes]]) &gt; 0,DruidAbilities1Scenario1[[#This Row],[takes]]/SUM(DruidAbilities1Scenario1[takes]),0)</calculatedColumnFormula>
    </tableColumn>
    <tableColumn id="7" xr3:uid="{CAC312C4-9496-419E-9E08-13834AC19F4A}" name="take-win-rate" dataDxfId="1490">
      <calculatedColumnFormula>IF(DruidAbilities1Scenario1[[#This Row],[takes]]&gt;0,DruidAbilities1Scenario1[[#This Row],[wins]]/DruidAbilities1Scenario1[[#This Row],[takes]],0)</calculatedColumnFormula>
    </tableColumn>
  </tableColumns>
  <tableStyleInfo name="TableStyleMedium2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79C1A1C3-E8C4-48E6-9700-2ABC05FA72B6}" name="DruidAbilities2Scenario1" displayName="DruidAbilities2Scenario1" ref="K28:O31" totalsRowShown="0" headerRowDxfId="1489" headerRowBorderDxfId="1488" tableBorderDxfId="1487" totalsRowBorderDxfId="1486">
  <autoFilter ref="K28:O31" xr:uid="{A29CF70A-0B84-46BB-A412-712C2F594795}"/>
  <tableColumns count="5">
    <tableColumn id="1" xr3:uid="{1A559255-6613-44B2-BD57-5F8158C8EE71}" name="ability"/>
    <tableColumn id="2" xr3:uid="{7FD2A0F5-5C1A-4D26-A0A5-DB5B0369B3B3}" name="takes" dataDxfId="1485">
      <calculatedColumnFormula>COUNTIF(Scenario1[winner1-ability2],DruidAbilities2Scenario1[[#This Row],[ability]])+COUNTIF(Scenario1[winner2-ability2],DruidAbilities2Scenario1[[#This Row],[ability]])+COUNTIF(Scenario1[loser1-ability2],DruidAbilities2Scenario1[[#This Row],[ability]])+COUNTIF(Scenario1[loser2-ability2],DruidAbilities2Scenario1[[#This Row],[ability]])</calculatedColumnFormula>
    </tableColumn>
    <tableColumn id="3" xr3:uid="{9BCBE7CF-4BC2-48E6-874F-AE968C5246F1}" name="wins" dataDxfId="1484">
      <calculatedColumnFormula>COUNTIF(Scenario1[winner1-ability2],DruidAbilities2Scenario1[[#This Row],[ability]])+COUNTIF(Scenario1[winner2-ability2],DruidAbilities2Scenario1[[#This Row],[ability]])</calculatedColumnFormula>
    </tableColumn>
    <tableColumn id="4" xr3:uid="{3BD32B80-7820-4DDF-896B-4533BFC0F81C}" name="battles-take-rate" dataDxfId="1483">
      <calculatedColumnFormula>IF(SUM(DruidAbilities2Scenario1[[#This Row],[takes]]) &gt; 0,DruidAbilities2Scenario1[[#This Row],[takes]]/SUM(DruidAbilities2Scenario1[takes]),0)</calculatedColumnFormula>
    </tableColumn>
    <tableColumn id="5" xr3:uid="{17CA25E3-F495-4F09-87A8-921884DC389E}" name="take-win-rate" dataDxfId="1482">
      <calculatedColumnFormula>IF(DruidAbilities2Scenario1[[#This Row],[takes]]&gt;0,DruidAbilities2Scenario1[[#This Row],[wins]]/DruidAbilities2Scenario1[[#This Row],[takes]],0)</calculatedColumnFormula>
    </tableColumn>
  </tableColumns>
  <tableStyleInfo name="TableStyleMedium2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E23CC0F0-92EC-41DC-ADB3-7FC2D49CF1A1}" name="DruidAbilities3Scenario1" displayName="DruidAbilities3Scenario1" ref="K33:O36" totalsRowShown="0" headerRowDxfId="1481" headerRowBorderDxfId="1480" tableBorderDxfId="1479" totalsRowBorderDxfId="1478">
  <autoFilter ref="K33:O36" xr:uid="{CBC18F4E-86CD-4BE3-9377-2B862ED3B826}"/>
  <tableColumns count="5">
    <tableColumn id="1" xr3:uid="{40A29338-0F99-4951-B4FB-476ED4DF9AEC}" name="ability"/>
    <tableColumn id="2" xr3:uid="{A7FAD50E-A417-47E5-A56F-9D4AD78558E1}" name="takes" dataDxfId="1477">
      <calculatedColumnFormula>COUNTIF(Scenario1[winner1-ability3],DruidAbilities3Scenario1[[#This Row],[ability]])+COUNTIF(Scenario1[winner2-ability3],DruidAbilities3Scenario1[[#This Row],[ability]])+COUNTIF(Scenario1[loser1-ability3],DruidAbilities3Scenario1[[#This Row],[ability]])+COUNTIF(Scenario1[loser2-ability3],DruidAbilities3Scenario1[[#This Row],[ability]])</calculatedColumnFormula>
    </tableColumn>
    <tableColumn id="3" xr3:uid="{C16DC73D-230C-45D1-BCB8-3D417FEB0C01}" name="wins" dataDxfId="1476">
      <calculatedColumnFormula>COUNTIF(Scenario1[winner1-ability3],DruidAbilities3Scenario1[[#This Row],[ability]])+COUNTIF(Scenario1[winner2-ability3],DruidAbilities3Scenario1[[#This Row],[ability]])</calculatedColumnFormula>
    </tableColumn>
    <tableColumn id="4" xr3:uid="{29A3F1A4-44E4-4885-93DB-61045BDC9368}" name="battles-take-rate" dataDxfId="1475">
      <calculatedColumnFormula>IF(SUM(DruidAbilities3Scenario1[[#This Row],[takes]]) &gt; 0,DruidAbilities3Scenario1[[#This Row],[takes]]/SUM(DruidAbilities3Scenario1[takes]),0)</calculatedColumnFormula>
    </tableColumn>
    <tableColumn id="5" xr3:uid="{CBE6FC3E-1398-4792-9960-05DB2E29A086}" name="take-win-rate" dataDxfId="1474">
      <calculatedColumnFormula>IF(DruidAbilities3Scenario1[[#This Row],[takes]]&gt;0,DruidAbilities3Scenario1[[#This Row],[wins]]/DruidAbilities3Scenario1[[#This Row],[takes]],0)</calculatedColumnFormula>
    </tableColumn>
  </tableColumns>
  <tableStyleInfo name="TableStyleMedium2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B0E502D9-A178-4E68-AD47-91A77FF0026D}" name="DruidAbilities4Scenario1" displayName="DruidAbilities4Scenario1" ref="K38:O41" totalsRowShown="0" headerRowDxfId="1473" headerRowBorderDxfId="1472" tableBorderDxfId="1471" totalsRowBorderDxfId="1470">
  <autoFilter ref="K38:O41" xr:uid="{A1F38E75-59DE-4DB4-B81C-C0322397F6F7}"/>
  <tableColumns count="5">
    <tableColumn id="1" xr3:uid="{74357A07-E8F9-4439-8A7D-C51B3289B074}" name="ability" dataDxfId="1469"/>
    <tableColumn id="2" xr3:uid="{2B46AB72-5070-479E-BA92-0EA40B2FAD9A}" name="takes" dataDxfId="1468">
      <calculatedColumnFormula>COUNTIF(Scenario1[winner1-ability4],DruidAbilities4Scenario1[[#This Row],[ability]])+COUNTIF(Scenario1[winner2-ability4],DruidAbilities4Scenario1[[#This Row],[ability]])+COUNTIF(Scenario1[loser1-ability4],DruidAbilities4Scenario1[[#This Row],[ability]])+COUNTIF(Scenario1[loser2-ability4],DruidAbilities4Scenario1[[#This Row],[ability]])</calculatedColumnFormula>
    </tableColumn>
    <tableColumn id="3" xr3:uid="{BC4834DC-D82E-4A73-AD41-DF77BDA0A581}" name="wins" dataDxfId="1467">
      <calculatedColumnFormula>COUNTIF(Scenario1[winner1-ability4],DruidAbilities4Scenario1[[#This Row],[ability]])+COUNTIF(Scenario1[winner2-ability4],DruidAbilities4Scenario1[[#This Row],[ability]])</calculatedColumnFormula>
    </tableColumn>
    <tableColumn id="4" xr3:uid="{415002C4-75F0-46C7-99A9-D681BB21F0B5}" name="battles-take-rate" dataDxfId="1466">
      <calculatedColumnFormula>IF(SUM(DruidAbilities4Scenario1[[#This Row],[takes]]) &gt; 0,DruidAbilities4Scenario1[[#This Row],[takes]]/SUM(DruidAbilities4Scenario1[takes]),0)</calculatedColumnFormula>
    </tableColumn>
    <tableColumn id="5" xr3:uid="{74D4EFF7-5FDB-4060-8CE9-E85223B14F54}" name="take-win-rate" dataDxfId="1465">
      <calculatedColumnFormula>IF(DruidAbilities4Scenario1[[#This Row],[takes]]&gt;0,DruidAbilities4Scenario1[[#This Row],[wins]]/DruidAbilities4Scenario1[[#This Row],[takes]],0)</calculatedColumnFormula>
    </tableColumn>
  </tableColumns>
  <tableStyleInfo name="TableStyleMedium2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85F3ACFA-B469-4D94-827A-B74FEF6FD456}" name="DruidEquipScenario1" displayName="DruidEquipScenario1" ref="Q23:S26" totalsRowShown="0">
  <autoFilter ref="Q23:S26" xr:uid="{18EECD25-0AE5-4756-B5E1-492D523A2929}"/>
  <tableColumns count="3">
    <tableColumn id="1" xr3:uid="{D52248FE-CC95-4895-8CF8-5DF27E0221DE}" name="level"/>
    <tableColumn id="2" xr3:uid="{C4058735-8D3E-4A8C-92D4-D10D2A7C9422}" name="staff" dataDxfId="1464">
      <calculatedColumnFormula>COUNTIFS(Scenario1[winner1],"druid",Scenario1[winner1-pw],DruidEquipScenario1[[#This Row],[level]])+COUNTIFS(Scenario1[winner2],"druid",Scenario1[winner2-pw],DruidEquipScenario1[[#This Row],[level]])+COUNTIFS(Scenario1[loser1],"druid",Scenario1[loser1-pw],DruidEquipScenario1[[#This Row],[level]])+COUNTIFS(Scenario1[loser2],"druid",Scenario1[loser2-pw],DruidEquipScenario1[[#This Row],[level]])</calculatedColumnFormula>
    </tableColumn>
    <tableColumn id="4" xr3:uid="{BDECDF88-053E-465B-AC18-4541231D051F}" name="chestpiece" dataDxfId="1463">
      <calculatedColumnFormula>COUNTIFS(Scenario1[winner1],"druid",Scenario1[winner1-cp],DruidEquipScenario1[[#This Row],[level]])+COUNTIFS(Scenario1[winner2],"druid",Scenario1[winner2-cp],DruidEquipScenario1[[#This Row],[level]])+COUNTIFS(Scenario1[loser1],"druid",Scenario1[loser1-cp],DruidEquipScenario1[[#This Row],[level]])+COUNTIFS(Scenario1[loser2],"druid",Scenario1[loser2-cp],DruidEquipScenario1[[#This Row],[level]])</calculatedColumnFormula>
    </tableColumn>
  </tableColumns>
  <tableStyleInfo name="TableStyleMedium2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CBE95669-37D6-4B0F-AD60-E21606A477C2}" name="DruidAbilities1Scenario2" displayName="DruidAbilities1Scenario2" ref="K44:O47" totalsRowShown="0">
  <autoFilter ref="K44:O47" xr:uid="{81D76695-EE53-4A07-9351-842AC55F2540}"/>
  <tableColumns count="5">
    <tableColumn id="2" xr3:uid="{2C08616F-4B29-42C2-9FAF-BEDCE1BE6512}" name="ability"/>
    <tableColumn id="6" xr3:uid="{A4E514AE-74ED-4CBD-8BAA-DDBDD93343ED}" name="takes" dataDxfId="1462">
      <calculatedColumnFormula>COUNTIF(Scenario2[winner1-ability1],DruidAbilities1Scenario2[[#This Row],[ability]])+COUNTIF(Scenario2[loser1-ability1],DruidAbilities1Scenario2[[#This Row],[ability]])</calculatedColumnFormula>
    </tableColumn>
    <tableColumn id="4" xr3:uid="{9E406F64-0021-46DF-9A24-710653B29DB1}" name="wins" dataDxfId="1461">
      <calculatedColumnFormula>COUNTIF(Scenario2[winner1-ability1],DruidAbilities1Scenario2[[#This Row],[ability]])</calculatedColumnFormula>
    </tableColumn>
    <tableColumn id="5" xr3:uid="{8E619ED0-484C-4412-A819-C4816A1E0005}" name="battles-take-rate" dataDxfId="1460">
      <calculatedColumnFormula>IF(SUM(DruidAbilities1Scenario2[[#This Row],[takes]]) &gt; 0,DruidAbilities1Scenario2[[#This Row],[takes]]/SUM(DruidAbilities1Scenario2[takes]),0)</calculatedColumnFormula>
    </tableColumn>
    <tableColumn id="7" xr3:uid="{9C917808-F812-41BD-BE7A-1E3FC2991E2A}" name="take-win-rate" dataDxfId="1459">
      <calculatedColumnFormula>IF(DruidAbilities1Scenario2[[#This Row],[takes]]&gt;0,DruidAbilities1Scenario2[[#This Row],[wins]]/DruidAbilities1Scenario2[[#This Row],[takes]],0)</calculatedColumnFormula>
    </tableColumn>
  </tableColumns>
  <tableStyleInfo name="TableStyleMedium2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E80D3A66-4530-4787-B90C-530981D21F9F}" name="DruidAbilities2Scenario2" displayName="DruidAbilities2Scenario2" ref="K49:O52" totalsRowShown="0" headerRowDxfId="1458" headerRowBorderDxfId="1457" tableBorderDxfId="1456" totalsRowBorderDxfId="1455">
  <autoFilter ref="K49:O52" xr:uid="{B5828340-8DA1-4B65-ACEB-BDDDED872E64}"/>
  <tableColumns count="5">
    <tableColumn id="1" xr3:uid="{AAFEA2B4-5173-4F9C-A6AB-AAF8F9CB0DC9}" name="ability"/>
    <tableColumn id="2" xr3:uid="{37BF47CF-D5F7-4EEC-BF5D-8D8A7FDCDB71}" name="takes" dataDxfId="1454">
      <calculatedColumnFormula>COUNTIF(Scenario2[winner1-ability2],DruidAbilities2Scenario2[[#This Row],[ability]])+COUNTIF(Scenario2[loser1-ability2],DruidAbilities2Scenario2[[#This Row],[ability]])</calculatedColumnFormula>
    </tableColumn>
    <tableColumn id="3" xr3:uid="{A10AD064-6A51-435F-B148-566D6EC7E1CD}" name="wins" dataDxfId="1453">
      <calculatedColumnFormula>COUNTIF(Scenario2[winner1-ability2],DruidAbilities2Scenario2[[#This Row],[ability]])</calculatedColumnFormula>
    </tableColumn>
    <tableColumn id="4" xr3:uid="{DD2FBF56-CB12-4887-A4B2-BB3C9B0B611A}" name="battles-take-rate" dataDxfId="1452">
      <calculatedColumnFormula>IF(SUM(DruidAbilities2Scenario2[[#This Row],[takes]]) &gt; 0,DruidAbilities2Scenario2[[#This Row],[takes]]/SUM(DruidAbilities2Scenario2[takes]),0)</calculatedColumnFormula>
    </tableColumn>
    <tableColumn id="5" xr3:uid="{0B81485C-0A15-4440-AFC6-41A4C60560D2}" name="take-win-rate" dataDxfId="1451">
      <calculatedColumnFormula>IF(DruidAbilities2Scenario2[[#This Row],[takes]]&gt;0,DruidAbilities2Scenario2[[#This Row],[wins]]/DruidAbilities2Scenario2[[#This Row],[takes]],0)</calculatedColumnFormula>
    </tableColumn>
  </tableColumns>
  <tableStyleInfo name="TableStyleMedium2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7BB90E73-629A-493B-9BF4-0BF8EB99C055}" name="DruidAbilities3Scenario2" displayName="DruidAbilities3Scenario2" ref="K54:O57" totalsRowShown="0" headerRowDxfId="1450" headerRowBorderDxfId="1449" tableBorderDxfId="1448" totalsRowBorderDxfId="1447">
  <autoFilter ref="K54:O57" xr:uid="{34ED10E5-B169-4BBA-8F2C-73FF473D0922}"/>
  <tableColumns count="5">
    <tableColumn id="1" xr3:uid="{EFF39CA2-890C-42A9-9155-4219A2407443}" name="ability"/>
    <tableColumn id="2" xr3:uid="{BDCCCB89-81E5-4E90-B565-096C821C3796}" name="takes" dataDxfId="1446">
      <calculatedColumnFormula>COUNTIF(Scenario2[winner1-ability3],DruidAbilities3Scenario2[[#This Row],[ability]])+COUNTIF(Scenario2[loser1-ability3],DruidAbilities3Scenario2[[#This Row],[ability]])</calculatedColumnFormula>
    </tableColumn>
    <tableColumn id="3" xr3:uid="{002B3C7D-EA7B-446F-B715-09FE178F988F}" name="wins" dataDxfId="1445">
      <calculatedColumnFormula>COUNTIF(Scenario2[winner1-ability3],DruidAbilities3Scenario2[[#This Row],[ability]])</calculatedColumnFormula>
    </tableColumn>
    <tableColumn id="4" xr3:uid="{17A59155-4BEE-4B00-A77D-54C7568B711B}" name="battles-take-rate" dataDxfId="1444">
      <calculatedColumnFormula>IF(SUM(DruidAbilities3Scenario2[[#This Row],[takes]]) &gt; 0,DruidAbilities3Scenario2[[#This Row],[takes]]/SUM(DruidAbilities3Scenario2[takes]),0)</calculatedColumnFormula>
    </tableColumn>
    <tableColumn id="5" xr3:uid="{B7047AE6-3B28-47F0-A9D7-9CF02FED99D8}" name="take-win-rate" dataDxfId="1443">
      <calculatedColumnFormula>IF(DruidAbilities3Scenario2[[#This Row],[takes]]&gt;0,DruidAbilities3Scenario2[[#This Row],[wins]]/DruidAbilities3Scenario2[[#This Row],[takes]],0)</calculatedColumnFormula>
    </tableColumn>
  </tableColumns>
  <tableStyleInfo name="TableStyleMedium2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66ABDDAF-FB53-47E0-BEB9-2F447A3D5569}" name="DruidAbilities4Scenario2" displayName="DruidAbilities4Scenario2" ref="K59:O62" totalsRowShown="0" headerRowDxfId="1442" headerRowBorderDxfId="1441" tableBorderDxfId="1440" totalsRowBorderDxfId="1439">
  <autoFilter ref="K59:O62" xr:uid="{DDB7F110-02A6-4F67-8266-251AF48CB7C0}"/>
  <tableColumns count="5">
    <tableColumn id="1" xr3:uid="{963218A6-E2C8-468F-A480-18EABD6D01C3}" name="ability" dataDxfId="1438"/>
    <tableColumn id="2" xr3:uid="{B7AE8A89-2A8C-49AF-8D96-6C1AB2DACE14}" name="takes" dataDxfId="1437">
      <calculatedColumnFormula>COUNTIF(Scenario2[winner1-ability4],DruidAbilities4Scenario2[[#This Row],[ability]])+COUNTIF(Scenario2[loser1-ability4],DruidAbilities4Scenario2[[#This Row],[ability]])</calculatedColumnFormula>
    </tableColumn>
    <tableColumn id="3" xr3:uid="{7BE83CB3-1688-4157-A509-6D6BCE4C2D8A}" name="wins" dataDxfId="1436">
      <calculatedColumnFormula>COUNTIF(Scenario2[winner1-ability4],DruidAbilities4Scenario2[[#This Row],[ability]])</calculatedColumnFormula>
    </tableColumn>
    <tableColumn id="4" xr3:uid="{AA29BEEB-A7D2-4818-96D2-39227A3BFA6F}" name="battles-take-rate" dataDxfId="1435">
      <calculatedColumnFormula>IF(SUM(DruidAbilities4Scenario2[[#This Row],[takes]]) &gt; 0,DruidAbilities4Scenario2[[#This Row],[takes]]/SUM(DruidAbilities4Scenario2[takes]),0)</calculatedColumnFormula>
    </tableColumn>
    <tableColumn id="5" xr3:uid="{80265759-5A29-4280-A08B-09A68AC89775}" name="take-win-rate" dataDxfId="1434">
      <calculatedColumnFormula>IF(DruidAbilities4Scenario2[[#This Row],[takes]]&gt;0,DruidAbilities4Scenario2[[#This Row],[wins]]/DruidAbilities4Scenario2[[#This Row],[takes]],0)</calculatedColumnFormula>
    </tableColumn>
  </tableColumns>
  <tableStyleInfo name="TableStyleMedium2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AEDE881E-7282-43D0-8F91-4685895F6625}" name="DruidEquipScenario2" displayName="DruidEquipScenario2" ref="Q44:S47" totalsRowShown="0">
  <autoFilter ref="Q44:S47" xr:uid="{BDEC3E9D-FA56-4E08-A52D-2A8BEB87833A}"/>
  <tableColumns count="3">
    <tableColumn id="1" xr3:uid="{97A63FDB-8D0A-4D5B-B398-DE16DDB6E5AE}" name="level"/>
    <tableColumn id="2" xr3:uid="{B1B2AEE4-7EFB-465F-9897-F74BFA184CF9}" name="staff" dataDxfId="1433">
      <calculatedColumnFormula>COUNTIFS(Scenario2[winner1],"druid",Scenario2[winner1-pw],DruidEquipScenario2[[#This Row],[level]])+COUNTIFS(Scenario2[loser1],"druid",Scenario2[loser1-pw],DruidEquipScenario2[[#This Row],[level]])</calculatedColumnFormula>
    </tableColumn>
    <tableColumn id="4" xr3:uid="{F39C90B6-69C0-4F1C-B324-F0E21A6085AC}" name="chestpiece" dataDxfId="1432">
      <calculatedColumnFormula>COUNTIFS(Scenario2[winner1],"druid",Scenario2[winner1-cp],DruidEquipScenario2[[#This Row],[level]])+COUNTIFS(Scenario2[loser1],"druid",Scenario2[loser1-cp],DruidEquipScenario2[[#This Row],[level]])</calculatedColumnFormula>
    </tableColumn>
  </tableColumns>
  <tableStyleInfo name="TableStyleMedium2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417140E-3039-400F-A2B4-F56655CB63C3}" name="UpgradeStatistics192021" displayName="UpgradeStatistics192021" ref="U1:V9" totalsRowShown="0">
  <autoFilter ref="U1:V9" xr:uid="{5417140E-3039-400F-A2B4-F56655CB63C3}"/>
  <tableColumns count="2">
    <tableColumn id="1" xr3:uid="{63B8D156-7829-48A7-AFF3-A00395B62308}" name="upgrade"/>
    <tableColumn id="3" xr3:uid="{020C299C-8D4C-4605-833B-336B832A94E2}" name="rate" dataDxfId="1431"/>
  </tableColumns>
  <tableStyleInfo name="TableStyleMedium2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2AE8D1C-C88A-4C38-85AE-265777F1DB64}" name="DruidAbilities1Scenario3" displayName="DruidAbilities1Scenario3" ref="K65:O68" totalsRowShown="0">
  <autoFilter ref="K65:O68" xr:uid="{E2AE8D1C-C88A-4C38-85AE-265777F1DB64}"/>
  <tableColumns count="5">
    <tableColumn id="2" xr3:uid="{B4781F8C-B3F2-4709-B7B1-62740C9497B7}" name="ability"/>
    <tableColumn id="6" xr3:uid="{5F9D7297-F806-44A1-849F-EEB61239CE1F}" name="takes" dataDxfId="1430">
      <calculatedColumnFormula>COUNTIF(Scenario3[winner1-ability1],DruidAbilities1Scenario3[[#This Row],[ability]])+COUNTIF(Scenario3[loser1-ability1],DruidAbilities1Scenario3[[#This Row],[ability]])+COUNTIF(Scenario3[loser2-ability1],DruidAbilities1Scenario3[[#This Row],[ability]])</calculatedColumnFormula>
    </tableColumn>
    <tableColumn id="4" xr3:uid="{F84EB2DB-EA2F-4445-86C5-DE1CF37D6874}" name="wins" dataDxfId="1429">
      <calculatedColumnFormula>COUNTIF(Scenario3[winner1-ability1],DruidAbilities1Scenario3[[#This Row],[ability]])</calculatedColumnFormula>
    </tableColumn>
    <tableColumn id="5" xr3:uid="{4FF89EE2-8630-4141-AE21-A771AD1A9EF8}" name="battles-take-rate" dataDxfId="1428">
      <calculatedColumnFormula>IF(SUM(DruidAbilities1Scenario3[[#This Row],[takes]]) &gt; 0,DruidAbilities1Scenario3[[#This Row],[takes]]/SUM(DruidAbilities1Scenario3[takes]),0)</calculatedColumnFormula>
    </tableColumn>
    <tableColumn id="7" xr3:uid="{BBD89900-CC0C-4EE2-8C2F-0901751BCE84}" name="take-win-rate" dataDxfId="1427">
      <calculatedColumnFormula>IF(DruidAbilities1Scenario3[[#This Row],[takes]]&gt;0,DruidAbilities1Scenario3[[#This Row],[wins]]/DruidAbilities1Scenario3[[#This Row],[takes]],0)</calculatedColumnFormula>
    </tableColumn>
  </tableColumns>
  <tableStyleInfo name="TableStyleMedium2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D274278E-4AD9-4E51-9A51-FE3A58DB7C27}" name="DruidAbilities2Scenario3" displayName="DruidAbilities2Scenario3" ref="K70:O73" totalsRowShown="0" headerRowDxfId="1426" headerRowBorderDxfId="1425" tableBorderDxfId="1424" totalsRowBorderDxfId="1423">
  <autoFilter ref="K70:O73" xr:uid="{D274278E-4AD9-4E51-9A51-FE3A58DB7C27}"/>
  <tableColumns count="5">
    <tableColumn id="1" xr3:uid="{321BFA07-99BD-443A-B8A1-6ABBFC552955}" name="ability"/>
    <tableColumn id="2" xr3:uid="{313D29C3-28A9-4E4B-9374-B3CC9B0C5F4C}" name="takes" dataDxfId="1422">
      <calculatedColumnFormula>COUNTIF(Scenario3[winner1-ability2],DruidAbilities2Scenario3[[#This Row],[ability]])+COUNTIF(Scenario3[loser1-ability2],DruidAbilities2Scenario3[[#This Row],[ability]])+COUNTIF(Scenario3[loser2-ability2],DruidAbilities2Scenario3[[#This Row],[ability]])</calculatedColumnFormula>
    </tableColumn>
    <tableColumn id="3" xr3:uid="{85B70045-F1BD-46B5-8836-01ADFCF2ACED}" name="wins" dataDxfId="1421">
      <calculatedColumnFormula>COUNTIF(Scenario3[winner1-ability2],DruidAbilities2Scenario3[[#This Row],[ability]])</calculatedColumnFormula>
    </tableColumn>
    <tableColumn id="4" xr3:uid="{59808BF5-1BB2-4D2F-A36A-8FCA1917F73C}" name="battles-take-rate" dataDxfId="1420">
      <calculatedColumnFormula>IF(SUM(DruidAbilities2Scenario3[[#This Row],[takes]]) &gt; 0,DruidAbilities2Scenario3[[#This Row],[takes]]/SUM(DruidAbilities2Scenario3[takes]),0)</calculatedColumnFormula>
    </tableColumn>
    <tableColumn id="5" xr3:uid="{E3108102-AFDC-48DA-8308-A964A9E7A30B}" name="take-win-rate" dataDxfId="1419">
      <calculatedColumnFormula>IF(DruidAbilities2Scenario3[[#This Row],[takes]]&gt;0,DruidAbilities2Scenario3[[#This Row],[wins]]/DruidAbilities2Scenario3[[#This Row],[takes]],0)</calculatedColumnFormula>
    </tableColumn>
  </tableColumns>
  <tableStyleInfo name="TableStyleMedium2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17BF15B-E01C-4B5F-88CC-AFF6B65494BF}" name="DruidAbilities3Scenario3" displayName="DruidAbilities3Scenario3" ref="K75:O78" totalsRowShown="0" headerRowDxfId="1418" headerRowBorderDxfId="1417" tableBorderDxfId="1416" totalsRowBorderDxfId="1415">
  <autoFilter ref="K75:O78" xr:uid="{717BF15B-E01C-4B5F-88CC-AFF6B65494BF}"/>
  <tableColumns count="5">
    <tableColumn id="1" xr3:uid="{7583E585-DA6F-4B28-A439-6436B9C13C80}" name="ability"/>
    <tableColumn id="2" xr3:uid="{E33FCEE2-7D04-4685-A8E7-09E00F0A82C8}" name="takes" dataDxfId="1414">
      <calculatedColumnFormula>COUNTIF(Scenario3[winner1-ability3],DruidAbilities3Scenario3[[#This Row],[ability]])+COUNTIF(Scenario3[loser1-ability3],DruidAbilities3Scenario3[[#This Row],[ability]])+COUNTIF(Scenario3[loser2-ability3],DruidAbilities3Scenario3[[#This Row],[ability]])</calculatedColumnFormula>
    </tableColumn>
    <tableColumn id="3" xr3:uid="{4FA07E3E-F2D1-4DD1-8D26-DD2ADDFBB677}" name="wins" dataDxfId="1413">
      <calculatedColumnFormula>COUNTIF(Scenario3[winner1-ability3],DruidAbilities3Scenario3[[#This Row],[ability]])</calculatedColumnFormula>
    </tableColumn>
    <tableColumn id="4" xr3:uid="{56EE8E9D-0B38-4F3C-A706-DF801F6E782A}" name="battles-take-rate" dataDxfId="1412">
      <calculatedColumnFormula>IF(SUM(DruidAbilities3Scenario3[[#This Row],[takes]]) &gt; 0,DruidAbilities3Scenario3[[#This Row],[takes]]/SUM(DruidAbilities3Scenario3[takes]),0)</calculatedColumnFormula>
    </tableColumn>
    <tableColumn id="5" xr3:uid="{FE0FB108-1A9C-4BC3-A939-DE028175C726}" name="take-win-rate" dataDxfId="1411">
      <calculatedColumnFormula>IF(DruidAbilities3Scenario3[[#This Row],[takes]]&gt;0,DruidAbilities3Scenario3[[#This Row],[wins]]/DruidAbilities3Scenario3[[#This Row],[takes]],0)</calculatedColumnFormula>
    </tableColumn>
  </tableColumns>
  <tableStyleInfo name="TableStyleMedium2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6C814871-D00E-4AC2-ABE0-4B3892D7F0AE}" name="DruidAbilities4Scenario3" displayName="DruidAbilities4Scenario3" ref="K80:O83" totalsRowShown="0" headerRowDxfId="1410" headerRowBorderDxfId="1409" tableBorderDxfId="1408" totalsRowBorderDxfId="1407">
  <autoFilter ref="K80:O83" xr:uid="{6C814871-D00E-4AC2-ABE0-4B3892D7F0AE}"/>
  <tableColumns count="5">
    <tableColumn id="1" xr3:uid="{B336BFD3-C277-43F6-97B4-769FAB55ABA9}" name="ability" dataDxfId="1406"/>
    <tableColumn id="2" xr3:uid="{5DC7BD53-CE7F-4C9C-B8BB-D410EDE17928}" name="takes" dataDxfId="1405">
      <calculatedColumnFormula>COUNTIF(Scenario3[winner1-ability4],DruidAbilities4Scenario3[[#This Row],[ability]])+COUNTIF(Scenario3[loser1-ability4],DruidAbilities4Scenario3[[#This Row],[ability]])+COUNTIF(Scenario3[loser2-ability4],DruidAbilities4Scenario3[[#This Row],[ability]])</calculatedColumnFormula>
    </tableColumn>
    <tableColumn id="3" xr3:uid="{BF5BD6B1-D622-43B6-8CCB-E020C15BFB1B}" name="wins" dataDxfId="1404">
      <calculatedColumnFormula>COUNTIF(Scenario3[winner1-ability4],DruidAbilities4Scenario3[[#This Row],[ability]])</calculatedColumnFormula>
    </tableColumn>
    <tableColumn id="4" xr3:uid="{B9D09778-1506-47CB-BB1F-A00AE865D740}" name="battles-take-rate" dataDxfId="1403">
      <calculatedColumnFormula>IF(SUM(DruidAbilities4Scenario3[[#This Row],[takes]]) &gt; 0,DruidAbilities4Scenario3[[#This Row],[takes]]/SUM(DruidAbilities4Scenario3[takes]),0)</calculatedColumnFormula>
    </tableColumn>
    <tableColumn id="5" xr3:uid="{F7D4555E-1F6C-4C65-96EB-3A4D07F925C9}" name="take-win-rate" dataDxfId="1402">
      <calculatedColumnFormula>IF(DruidAbilities4Scenario3[[#This Row],[takes]]&gt;0,DruidAbilities4Scenario3[[#This Row],[wins]]/DruidAbilities4Scenario3[[#This Row],[takes]],0)</calculatedColumnFormula>
    </tableColumn>
  </tableColumns>
  <tableStyleInfo name="TableStyleMedium2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1A35E9E-ED48-4674-8D09-0AD5E6A80FD4}" name="DruidEquipScenario3" displayName="DruidEquipScenario3" ref="Q65:S68" totalsRowShown="0">
  <autoFilter ref="Q65:S68" xr:uid="{01A35E9E-ED48-4674-8D09-0AD5E6A80FD4}"/>
  <tableColumns count="3">
    <tableColumn id="1" xr3:uid="{667CCCAB-6AFF-43BA-9EF8-BF89EADCB160}" name="level"/>
    <tableColumn id="2" xr3:uid="{4D436888-0D2E-4E4A-996E-FF20D57391A4}" name="staff" dataDxfId="1401">
      <calculatedColumnFormula>COUNTIFS(Scenario3[winner1],"druid",Scenario3[winner1-pw],DruidEquipScenario3[[#This Row],[level]])+COUNTIFS(Scenario3[loser1],"druid",Scenario3[loser1-pw],DruidEquipScenario3[[#This Row],[level]])+COUNTIFS(Scenario3[loser2],"druid",Scenario3[loser2-pw],DruidEquipScenario3[[#This Row],[level]])</calculatedColumnFormula>
    </tableColumn>
    <tableColumn id="4" xr3:uid="{79F85740-9104-4C26-94F6-1F9E2E6FB767}" name="chestpiece" dataDxfId="1400">
      <calculatedColumnFormula>COUNTIFS(Scenario3[winner1],"druid",Scenario3[winner1-cp],DruidEquipScenario3[[#This Row],[level]])+COUNTIFS(Scenario3[loser1],"druid",Scenario3[loser1-cp],DruidEquipScenario3[[#This Row],[level]])+COUNTIFS(Scenario3[loser2],"druid",Scenario3[loser2-cp],DruidEquipScenario3[[#This Row],[level]])</calculatedColumnFormula>
    </tableColumn>
  </tableColumns>
  <tableStyleInfo name="TableStyleMedium2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5" xr:uid="{40638D7B-9CFA-4B44-A2DB-8B1AFEBF1788}" name="DruidAbilities1Scenario4" displayName="DruidAbilities1Scenario4" ref="K86:O89" totalsRowShown="0">
  <autoFilter ref="K86:O89" xr:uid="{40638D7B-9CFA-4B44-A2DB-8B1AFEBF1788}"/>
  <tableColumns count="5">
    <tableColumn id="2" xr3:uid="{46A21EC1-CC96-4C64-9EBB-0B57D5190869}" name="ability"/>
    <tableColumn id="6" xr3:uid="{9BE9F61A-140A-40A9-8ADC-013AD6E57924}" name="takes" dataDxfId="1399">
      <calculatedColumnFormula>COUNTIF(Scenario4[winner1-ability1],DruidAbilities1Scenario4[[#This Row],[ability]])+COUNTIF(Scenario4[loser1-ability1],DruidAbilities1Scenario4[[#This Row],[ability]])+COUNTIF(Scenario4[loser2-ability1],DruidAbilities1Scenario4[[#This Row],[ability]])+COUNTIF(Scenario4[loser3-ability1],DruidAbilities1Scenario4[[#This Row],[ability]])</calculatedColumnFormula>
    </tableColumn>
    <tableColumn id="4" xr3:uid="{CD674F5B-324A-4887-A567-51AEE8F56A73}" name="wins" dataDxfId="1398">
      <calculatedColumnFormula>COUNTIF(Scenario4[winner1-ability1],DruidAbilities1Scenario4[[#This Row],[ability]])</calculatedColumnFormula>
    </tableColumn>
    <tableColumn id="5" xr3:uid="{06AAF157-CF91-4862-9B21-2300847F6670}" name="battles-take-rate" dataDxfId="1397">
      <calculatedColumnFormula>IF(SUM(DruidAbilities1Scenario4[[#This Row],[takes]]) &gt; 0,DruidAbilities1Scenario4[[#This Row],[takes]]/SUM(DruidAbilities1Scenario4[takes]),0)</calculatedColumnFormula>
    </tableColumn>
    <tableColumn id="7" xr3:uid="{81B4661D-32B7-43E5-8856-E9A52C7C06B4}" name="take-win-rate" dataDxfId="1396">
      <calculatedColumnFormula>IF(DruidAbilities1Scenario4[[#This Row],[takes]]&gt;0,DruidAbilities1Scenario4[[#This Row],[wins]]/DruidAbilities1Scenario4[[#This Row],[takes]],0)</calculatedColumnFormula>
    </tableColumn>
  </tableColumns>
  <tableStyleInfo name="TableStyleMedium2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6" xr:uid="{71F7B578-5C02-45D2-9307-50A2D8C07EE4}" name="DruidAbilities2Scenario4" displayName="DruidAbilities2Scenario4" ref="K91:O94" totalsRowShown="0" headerRowDxfId="1395" headerRowBorderDxfId="1394" tableBorderDxfId="1393" totalsRowBorderDxfId="1392">
  <autoFilter ref="K91:O94" xr:uid="{71F7B578-5C02-45D2-9307-50A2D8C07EE4}"/>
  <tableColumns count="5">
    <tableColumn id="1" xr3:uid="{D393C5B7-E59F-4EB2-9BA7-B56645606921}" name="ability"/>
    <tableColumn id="2" xr3:uid="{9B1E7D00-606D-4B7A-91A5-E0649E6AE2B7}" name="takes" dataDxfId="1391">
      <calculatedColumnFormula>COUNTIF(Scenario4[winner1-ability2],DruidAbilities2Scenario4[[#This Row],[ability]])+COUNTIF(Scenario4[loser1-ability2],DruidAbilities2Scenario4[[#This Row],[ability]])+COUNTIF(Scenario4[loser2-ability2],DruidAbilities2Scenario4[[#This Row],[ability]])+COUNTIF(Scenario4[loser3-ability2],DruidAbilities2Scenario4[[#This Row],[ability]])</calculatedColumnFormula>
    </tableColumn>
    <tableColumn id="3" xr3:uid="{9F0C7EF6-B04B-4ED8-A215-C3EDE23E1D98}" name="wins" dataDxfId="1390">
      <calculatedColumnFormula>COUNTIF(Scenario4[winner1-ability2],DruidAbilities2Scenario4[[#This Row],[ability]])</calculatedColumnFormula>
    </tableColumn>
    <tableColumn id="4" xr3:uid="{FF69DC1A-7A6E-47CC-BBE3-E23DADEF715C}" name="battles-take-rate" dataDxfId="1389">
      <calculatedColumnFormula>IF(SUM(DruidAbilities2Scenario4[[#This Row],[takes]]) &gt; 0,DruidAbilities2Scenario4[[#This Row],[takes]]/SUM(DruidAbilities2Scenario4[takes]),0)</calculatedColumnFormula>
    </tableColumn>
    <tableColumn id="5" xr3:uid="{D4F08630-8AAE-42A5-B62D-A4173FD92EEC}" name="take-win-rate" dataDxfId="1388">
      <calculatedColumnFormula>IF(DruidAbilities2Scenario4[[#This Row],[takes]]&gt;0,DruidAbilities2Scenario4[[#This Row],[wins]]/DruidAbilities2Scenario4[[#This Row],[takes]],0)</calculatedColumnFormula>
    </tableColumn>
  </tableColumns>
  <tableStyleInfo name="TableStyleMedium2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xr:uid="{60A51B23-E1EC-46A4-86DD-B8952B470B5D}" name="DruidAbilities3Scenario4" displayName="DruidAbilities3Scenario4" ref="K96:O99" totalsRowShown="0" headerRowDxfId="1387" headerRowBorderDxfId="1386" tableBorderDxfId="1385" totalsRowBorderDxfId="1384">
  <autoFilter ref="K96:O99" xr:uid="{60A51B23-E1EC-46A4-86DD-B8952B470B5D}"/>
  <tableColumns count="5">
    <tableColumn id="1" xr3:uid="{BB9BA421-5048-4FEC-8419-53452611EF72}" name="ability"/>
    <tableColumn id="2" xr3:uid="{E6D2A5BE-0413-44E9-A96A-952DA88A2D9E}" name="takes" dataDxfId="1383">
      <calculatedColumnFormula>COUNTIF(Scenario4[winner1-ability3],DruidAbilities3Scenario4[[#This Row],[ability]])+COUNTIF(Scenario4[loser1-ability3],DruidAbilities3Scenario4[[#This Row],[ability]])+COUNTIF(Scenario4[loser2-ability3],DruidAbilities3Scenario4[[#This Row],[ability]])+COUNTIF(Scenario4[loser3-ability3],DruidAbilities3Scenario4[[#This Row],[ability]])</calculatedColumnFormula>
    </tableColumn>
    <tableColumn id="3" xr3:uid="{12D28CFE-8E3B-4715-8093-F9A43CA8CF9C}" name="wins" dataDxfId="1382">
      <calculatedColumnFormula>COUNTIF(Scenario4[winner1-ability3],DruidAbilities3Scenario4[[#This Row],[ability]])</calculatedColumnFormula>
    </tableColumn>
    <tableColumn id="4" xr3:uid="{E1D61A81-525A-4DC1-B6E9-25C258725BE6}" name="battles-take-rate" dataDxfId="1381">
      <calculatedColumnFormula>IF(SUM(DruidAbilities3Scenario4[[#This Row],[takes]]) &gt; 0,DruidAbilities3Scenario4[[#This Row],[takes]]/SUM(DruidAbilities3Scenario4[takes]),0)</calculatedColumnFormula>
    </tableColumn>
    <tableColumn id="5" xr3:uid="{529ADBF8-3ECE-4756-8D80-6E460021D95A}" name="take-win-rate" dataDxfId="1380">
      <calculatedColumnFormula>IF(DruidAbilities3Scenario4[[#This Row],[takes]]&gt;0,DruidAbilities3Scenario4[[#This Row],[wins]]/DruidAbilities3Scenario4[[#This Row],[takes]],0)</calculatedColumnFormula>
    </tableColumn>
  </tableColumns>
  <tableStyleInfo name="TableStyleMedium2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xr:uid="{BCDE9ED1-1F22-42AC-AE3B-C1EED0842896}" name="DruidAbilities4Scenario4" displayName="DruidAbilities4Scenario4" ref="K101:O104" totalsRowShown="0" headerRowDxfId="1379" headerRowBorderDxfId="1378" tableBorderDxfId="1377" totalsRowBorderDxfId="1376">
  <autoFilter ref="K101:O104" xr:uid="{BCDE9ED1-1F22-42AC-AE3B-C1EED0842896}"/>
  <tableColumns count="5">
    <tableColumn id="1" xr3:uid="{DB6EB367-D24F-401C-919C-82D3EAEA2086}" name="ability" dataDxfId="1375"/>
    <tableColumn id="2" xr3:uid="{BBEB468B-4705-4289-A434-105410CC5CFC}" name="takes" dataDxfId="1374">
      <calculatedColumnFormula>COUNTIF(Scenario4[winner1-ability4],DruidAbilities4Scenario4[[#This Row],[ability]])+COUNTIF(Scenario4[loser1-ability4],DruidAbilities4Scenario4[[#This Row],[ability]])+COUNTIF(Scenario4[loser2-ability4],DruidAbilities4Scenario4[[#This Row],[ability]])+COUNTIF(Scenario4[loser3-ability4],DruidAbilities4Scenario4[[#This Row],[ability]])</calculatedColumnFormula>
    </tableColumn>
    <tableColumn id="3" xr3:uid="{A1B34D10-59D6-41E9-9B0A-D297A8F4B690}" name="wins" dataDxfId="1373">
      <calculatedColumnFormula>COUNTIF(Scenario4[winner1-ability4],DruidAbilities4Scenario4[[#This Row],[ability]])</calculatedColumnFormula>
    </tableColumn>
    <tableColumn id="4" xr3:uid="{8295F0F3-E629-4A87-A950-FDB997C5BE5E}" name="battles-take-rate" dataDxfId="1372">
      <calculatedColumnFormula>IF(SUM(DruidAbilities4Scenario4[[#This Row],[takes]]) &gt; 0,DruidAbilities4Scenario4[[#This Row],[takes]]/SUM(DruidAbilities4Scenario4[takes]),0)</calculatedColumnFormula>
    </tableColumn>
    <tableColumn id="5" xr3:uid="{261C34F8-BE1A-4487-BAC9-3AC3B736E0F3}" name="take-win-rate" dataDxfId="1371">
      <calculatedColumnFormula>IF(DruidAbilities4Scenario4[[#This Row],[takes]]&gt;0,DruidAbilities4Scenario4[[#This Row],[wins]]/DruidAbilities4Scenario4[[#This Row],[takes]],0)</calculatedColumnFormula>
    </tableColumn>
  </tableColumns>
  <tableStyleInfo name="TableStyleMedium2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xr:uid="{F82E072E-3A0E-4A87-81DB-9DDFBB1877BB}" name="DruidEquipScenario4" displayName="DruidEquipScenario4" ref="Q86:S89" totalsRowShown="0">
  <autoFilter ref="Q86:S89" xr:uid="{F82E072E-3A0E-4A87-81DB-9DDFBB1877BB}"/>
  <tableColumns count="3">
    <tableColumn id="1" xr3:uid="{5A998658-4094-4DAE-873A-2A5A8C4751C7}" name="level"/>
    <tableColumn id="2" xr3:uid="{86BC5044-A575-4CB6-9424-F44C4975F915}" name="staff" dataDxfId="1370">
      <calculatedColumnFormula>COUNTIFS(Scenario4[winner1],"druid",Scenario4[winner1-pw],DruidEquipScenario4[[#This Row],[level]])+COUNTIFS(Scenario4[loser1],"druid",Scenario4[loser1-pw],DruidEquipScenario4[[#This Row],[level]])+COUNTIFS(Scenario4[loser2],"druid",Scenario4[loser2-pw],DruidEquipScenario4[[#This Row],[level]])+COUNTIFS(Scenario4[loser3],"druid",Scenario4[loser3-pw],DruidEquipScenario4[[#This Row],[level]])</calculatedColumnFormula>
    </tableColumn>
    <tableColumn id="4" xr3:uid="{49B32343-FED7-4472-8EDA-2C4278939A18}" name="chestpiece" dataDxfId="1369">
      <calculatedColumnFormula>COUNTIFS(Scenario4[winner1],"druid",Scenario4[winner1-cp],DruidEquipScenario4[[#This Row],[level]])+COUNTIFS(Scenario4[loser1],"druid",Scenario4[loser1-cp],DruidEquipScenario4[[#This Row],[level]])+COUNTIFS(Scenario4[loser2],"druid",Scenario4[loser2-cp],DruidEquipScenario4[[#This Row],[level]])+COUNTIFS(Scenario4[loser3],"druid",Scenario4[loser3-cp],DruidEquipScenario4[[#This Row],[level]])</calculatedColumnFormula>
    </tableColumn>
  </tableColumns>
  <tableStyleInfo name="TableStyleMedium2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3" xr:uid="{AD9B53CC-5392-47EA-9C40-B8030C23CE53}" name="DruidAbilities1Scenario5" displayName="DruidAbilities1Scenario5" ref="K107:O110" totalsRowShown="0">
  <autoFilter ref="K107:O110" xr:uid="{AD9B53CC-5392-47EA-9C40-B8030C23CE53}"/>
  <tableColumns count="5">
    <tableColumn id="2" xr3:uid="{BC661AF6-B4F2-4A35-8639-656A41C64A5C}" name="ability"/>
    <tableColumn id="6" xr3:uid="{7638FD7D-CA71-43CD-B9D8-8C9C01D8A3D6}" name="takes" dataDxfId="1368">
      <calculatedColumnFormula>COUNTIF(Scenario5[winner1-ability1],DruidAbilities1Scenario5[[#This Row],[ability]])+COUNTIF(Scenario5[winner2-ability1],DruidAbilities1Scenario5[[#This Row],[ability]])+COUNTIF(Scenario5[loser1-ability1],DruidAbilities1Scenario5[[#This Row],[ability]])+COUNTIF(Scenario5[loser2-ability1],DruidAbilities1Scenario5[[#This Row],[ability]])</calculatedColumnFormula>
    </tableColumn>
    <tableColumn id="4" xr3:uid="{86CEF010-F0D4-4500-94B6-B9985471B554}" name="wins" dataDxfId="1367">
      <calculatedColumnFormula>COUNTIF(Scenario5[winner1-ability1],DruidAbilities1Scenario5[[#This Row],[ability]])+COUNTIF(Scenario5[winner2-ability1],DruidAbilities1Scenario5[[#This Row],[ability]])</calculatedColumnFormula>
    </tableColumn>
    <tableColumn id="5" xr3:uid="{E75EFC67-0702-4227-A12A-ED26CDA551D6}" name="battles-take-rate" dataDxfId="1366">
      <calculatedColumnFormula>IF(SUM(DruidAbilities1Scenario5[[#This Row],[takes]]) &gt; 0,DruidAbilities1Scenario5[[#This Row],[takes]]/SUM(DruidAbilities1Scenario5[takes]),0)</calculatedColumnFormula>
    </tableColumn>
    <tableColumn id="7" xr3:uid="{21088685-031E-489B-BBAE-C893E1B6BF37}" name="take-win-rate" dataDxfId="1365">
      <calculatedColumnFormula>IF(DruidAbilities1Scenario5[[#This Row],[takes]]&gt;0,DruidAbilities1Scenario5[[#This Row],[wins]]/DruidAbilities1Scenario5[[#This Row],[takes]],0)</calculatedColumnFormula>
    </tableColumn>
  </tableColumns>
  <tableStyleInfo name="TableStyleMedium2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4" xr:uid="{AD47E9C3-BA0B-4D4B-AFAA-4C7ECFF19F83}" name="DruidAbilities2Scenario5" displayName="DruidAbilities2Scenario5" ref="K112:O115" totalsRowShown="0" headerRowDxfId="1364" headerRowBorderDxfId="1363" tableBorderDxfId="1362" totalsRowBorderDxfId="1361">
  <autoFilter ref="K112:O115" xr:uid="{AD47E9C3-BA0B-4D4B-AFAA-4C7ECFF19F83}"/>
  <tableColumns count="5">
    <tableColumn id="1" xr3:uid="{BA1D9E60-6A90-4FC2-9BBB-908C31F3FA44}" name="ability"/>
    <tableColumn id="2" xr3:uid="{80EAF131-8910-4440-A7D3-5AB0CCA126B0}" name="takes" dataDxfId="1360">
      <calculatedColumnFormula>COUNTIF(Scenario5[winner1-ability2],DruidAbilities2Scenario5[[#This Row],[ability]])+COUNTIF(Scenario5[winner2-ability2],DruidAbilities2Scenario5[[#This Row],[ability]])+COUNTIF(Scenario5[loser1-ability2],DruidAbilities2Scenario5[[#This Row],[ability]])+COUNTIF(Scenario5[loser2-ability2],DruidAbilities2Scenario5[[#This Row],[ability]])</calculatedColumnFormula>
    </tableColumn>
    <tableColumn id="3" xr3:uid="{B08BBB2F-150B-4F62-8635-DCF88DFEE5F2}" name="wins" dataDxfId="1359">
      <calculatedColumnFormula>COUNTIF(Scenario5[winner1-ability2],DruidAbilities2Scenario5[[#This Row],[ability]])+COUNTIF(Scenario5[winner2-ability2],DruidAbilities2Scenario5[[#This Row],[ability]])</calculatedColumnFormula>
    </tableColumn>
    <tableColumn id="4" xr3:uid="{C1B39B78-321B-4DFF-B309-5615A9BCA97F}" name="battles-take-rate" dataDxfId="1358">
      <calculatedColumnFormula>IF(SUM(DruidAbilities2Scenario5[[#This Row],[takes]]) &gt; 0,DruidAbilities2Scenario5[[#This Row],[takes]]/SUM(DruidAbilities2Scenario5[takes]),0)</calculatedColumnFormula>
    </tableColumn>
    <tableColumn id="5" xr3:uid="{9F7C8F49-B026-4B7A-AF2C-813CD46CB519}" name="take-win-rate" dataDxfId="1357">
      <calculatedColumnFormula>IF(DruidAbilities2Scenario5[[#This Row],[takes]]&gt;0,DruidAbilities2Scenario5[[#This Row],[wins]]/DruidAbilities2Scenario5[[#This Row],[takes]],0)</calculatedColumnFormula>
    </tableColumn>
  </tableColumns>
  <tableStyleInfo name="TableStyleMedium2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5" xr:uid="{D57616DC-6F15-472B-8AAC-7F4E20D257CB}" name="DruidAbilities3Scenario5" displayName="DruidAbilities3Scenario5" ref="K117:O120" totalsRowShown="0" headerRowDxfId="1356" headerRowBorderDxfId="1355" tableBorderDxfId="1354" totalsRowBorderDxfId="1353">
  <autoFilter ref="K117:O120" xr:uid="{D57616DC-6F15-472B-8AAC-7F4E20D257CB}"/>
  <tableColumns count="5">
    <tableColumn id="1" xr3:uid="{AF180CAF-3A35-4CC4-9426-56A4440EDFF0}" name="ability"/>
    <tableColumn id="2" xr3:uid="{AAB4A3F7-CB49-443C-B212-F4C09D46302E}" name="takes" dataDxfId="1352">
      <calculatedColumnFormula>COUNTIF(Scenario5[winner1-ability3],DruidAbilities3Scenario5[[#This Row],[ability]])+COUNTIF(Scenario5[winner2-ability3],DruidAbilities3Scenario5[[#This Row],[ability]])+COUNTIF(Scenario5[loser1-ability3],DruidAbilities3Scenario5[[#This Row],[ability]])+COUNTIF(Scenario5[loser2-ability3],DruidAbilities3Scenario5[[#This Row],[ability]])</calculatedColumnFormula>
    </tableColumn>
    <tableColumn id="3" xr3:uid="{1ED7F6A1-B5F2-4EA4-A461-2DB3002089E5}" name="wins" dataDxfId="1351">
      <calculatedColumnFormula>COUNTIF(Scenario5[winner1-ability3],DruidAbilities3Scenario5[[#This Row],[ability]])+COUNTIF(Scenario5[winner2-ability3],DruidAbilities3Scenario5[[#This Row],[ability]])</calculatedColumnFormula>
    </tableColumn>
    <tableColumn id="4" xr3:uid="{41CC0ED3-B5B1-4E57-ACE2-0B11011EBE29}" name="battles-take-rate" dataDxfId="1350">
      <calculatedColumnFormula>IF(SUM(DruidAbilities3Scenario5[[#This Row],[takes]]) &gt; 0,DruidAbilities3Scenario5[[#This Row],[takes]]/SUM(DruidAbilities3Scenario5[takes]),0)</calculatedColumnFormula>
    </tableColumn>
    <tableColumn id="5" xr3:uid="{EE1A7D37-EB2E-4F6C-9A63-FAAA26703A30}" name="take-win-rate" dataDxfId="1349">
      <calculatedColumnFormula>IF(DruidAbilities3Scenario5[[#This Row],[takes]]&gt;0,DruidAbilities3Scenario5[[#This Row],[wins]]/DruidAbilities3Scenario5[[#This Row],[takes]],0)</calculatedColumnFormula>
    </tableColumn>
  </tableColumns>
  <tableStyleInfo name="TableStyleMedium2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6" xr:uid="{2FAABC51-3ED7-410E-B39C-5A68AC6ED2E4}" name="DruidAbilities4Scenario5" displayName="DruidAbilities4Scenario5" ref="K122:O125" totalsRowShown="0" headerRowDxfId="1348" headerRowBorderDxfId="1347" tableBorderDxfId="1346" totalsRowBorderDxfId="1345">
  <autoFilter ref="K122:O125" xr:uid="{2FAABC51-3ED7-410E-B39C-5A68AC6ED2E4}"/>
  <tableColumns count="5">
    <tableColumn id="1" xr3:uid="{7F722AC3-75F6-45B3-9190-827293B02D4C}" name="ability" dataDxfId="1344"/>
    <tableColumn id="2" xr3:uid="{683FB055-6956-496F-A0E9-5C2E73881138}" name="takes" dataDxfId="1343">
      <calculatedColumnFormula>COUNTIF(Scenario5[winner1-ability4],DruidAbilities4Scenario5[[#This Row],[ability]])+COUNTIF(Scenario5[winner2-ability4],DruidAbilities4Scenario5[[#This Row],[ability]])+COUNTIF(Scenario5[loser1-ability4],DruidAbilities4Scenario5[[#This Row],[ability]])+COUNTIF(Scenario5[loser2-ability4],DruidAbilities4Scenario5[[#This Row],[ability]])</calculatedColumnFormula>
    </tableColumn>
    <tableColumn id="3" xr3:uid="{50DB7C12-A1F7-4F5B-B934-8CF4A23731C6}" name="wins" dataDxfId="1342">
      <calculatedColumnFormula>COUNTIF(Scenario5[winner1-ability4],DruidAbilities4Scenario5[[#This Row],[ability]])+COUNTIF(Scenario5[winner2-ability4],DruidAbilities4Scenario5[[#This Row],[ability]])</calculatedColumnFormula>
    </tableColumn>
    <tableColumn id="4" xr3:uid="{9E5512F7-2D64-4D14-A8FD-ED92A798E786}" name="battles-take-rate" dataDxfId="1341">
      <calculatedColumnFormula>IF(SUM(DruidAbilities4Scenario5[[#This Row],[takes]]) &gt; 0,DruidAbilities4Scenario5[[#This Row],[takes]]/SUM(DruidAbilities4Scenario5[takes]),0)</calculatedColumnFormula>
    </tableColumn>
    <tableColumn id="5" xr3:uid="{265B028E-E591-449E-9BD1-25A22D51F1D7}" name="take-win-rate" dataDxfId="1340">
      <calculatedColumnFormula>IF(DruidAbilities4Scenario5[[#This Row],[takes]]&gt;0,DruidAbilities4Scenario5[[#This Row],[wins]]/DruidAbilities4Scenario5[[#This Row],[takes]],0)</calculatedColumnFormula>
    </tableColumn>
  </tableColumns>
  <tableStyleInfo name="TableStyleMedium2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7" xr:uid="{28726FB7-63FC-4F39-BEF9-BA72699BD992}" name="DruidEquipScenario5" displayName="DruidEquipScenario5" ref="Q107:S110" totalsRowShown="0">
  <autoFilter ref="Q107:S110" xr:uid="{28726FB7-63FC-4F39-BEF9-BA72699BD992}"/>
  <tableColumns count="3">
    <tableColumn id="1" xr3:uid="{6DA49FAB-7964-4E44-9EB2-6EFC57BFD341}" name="level"/>
    <tableColumn id="2" xr3:uid="{D18EA27D-248E-45A2-8507-2D4367F925E2}" name="staff" dataDxfId="1339">
      <calculatedColumnFormula>COUNTIFS(Scenario5[winner1],"druid",Scenario5[winner1-pw],DruidEquipScenario5[[#This Row],[level]])+COUNTIFS(Scenario5[winner2],"druid",Scenario5[winner2-pw],DruidEquipScenario5[[#This Row],[level]])+COUNTIFS(Scenario5[loser1],"druid",Scenario5[loser1-pw],DruidEquipScenario5[[#This Row],[level]])+COUNTIFS(Scenario5[loser2],"druid",Scenario5[loser2-pw],DruidEquipScenario5[[#This Row],[level]])</calculatedColumnFormula>
    </tableColumn>
    <tableColumn id="4" xr3:uid="{B8BD7DE1-F66E-4408-9469-BE6C82AFAF24}" name="chestpiece" dataDxfId="1338">
      <calculatedColumnFormula>COUNTIFS(Scenario5[winner1],"druid",Scenario5[winner1-cp],DruidEquipScenario5[[#This Row],[level]])+COUNTIFS(Scenario5[winner2],"druid",Scenario5[winner2-cp],DruidEquipScenario5[[#This Row],[level]])+COUNTIFS(Scenario5[loser1],"druid",Scenario5[loser1-cp],DruidEquipScenario5[[#This Row],[level]])+COUNTIFS(Scenario5[loser2],"druid",Scenario5[loser2-cp],DruidEquipScenario5[[#This Row],[level]])</calculatedColumnFormula>
    </tableColumn>
  </tableColumns>
  <tableStyleInfo name="TableStyleMedium2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45D52E-07AF-4C3E-991E-C0BE35D5FC59}" name="OracleAbilities1" displayName="OracleAbilities1" ref="A2:E5" totalsRowShown="0">
  <autoFilter ref="A2:E5" xr:uid="{DCA301F1-E0F8-4700-BEE5-2688AF43F23A}"/>
  <tableColumns count="5">
    <tableColumn id="2" xr3:uid="{5C784B06-A37D-4CA4-8DEF-409C9B9AB08F}" name="ability"/>
    <tableColumn id="6" xr3:uid="{560EAA4F-A0DF-4F24-B4A6-644DEC16CC9D}" name="takes" dataDxfId="1337">
      <calculatedColumnFormula>L3+L24+L45+L66+L87+L108</calculatedColumnFormula>
    </tableColumn>
    <tableColumn id="4" xr3:uid="{EC3B8EC8-1BFA-48CF-8CDE-94C6F7C34CA6}" name="wins" dataDxfId="1336">
      <calculatedColumnFormula>M3+M24+M45+M66+M87+M108</calculatedColumnFormula>
    </tableColumn>
    <tableColumn id="5" xr3:uid="{F0960502-C6CE-4EB1-BD9C-74EF7F619CEB}" name="battles-take-rate" dataDxfId="1335">
      <calculatedColumnFormula>IF(SUM(OracleAbilities1[[#This Row],[takes]]) &gt; 0,OracleAbilities1[[#This Row],[takes]]/SUM(OracleAbilities1[takes]),0)</calculatedColumnFormula>
    </tableColumn>
    <tableColumn id="7" xr3:uid="{D57162F7-A951-498D-B7FA-BABAB174DFFA}" name="take-win-rate" dataDxfId="1334">
      <calculatedColumnFormula>IF(OracleAbilities1[[#This Row],[takes]]&gt;0,OracleAbilities1[[#This Row],[wins]]/OracleAbilities1[[#This Row],[takes]],0)</calculatedColumnFormula>
    </tableColumn>
  </tableColumns>
  <tableStyleInfo name="TableStyleMedium2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380D9C1-2DBD-48B6-B9B3-F097B532854D}" name="OracleAbilities2" displayName="OracleAbilities2" ref="A7:E10" totalsRowShown="0" headerRowDxfId="1333" headerRowBorderDxfId="1332" tableBorderDxfId="1331" totalsRowBorderDxfId="1330">
  <autoFilter ref="A7:E10" xr:uid="{8ADAEE31-4DDA-4DF2-9EAD-04808D53FFC1}"/>
  <tableColumns count="5">
    <tableColumn id="1" xr3:uid="{BFA7C9AB-3F83-4B30-A342-3A4C00BEC06A}" name="ability"/>
    <tableColumn id="2" xr3:uid="{73BA7D00-F29E-4ADA-B8D8-1A50A1E7DEA2}" name="takes" dataDxfId="1329">
      <calculatedColumnFormula>L8+L29+L50+L71+L92+L113</calculatedColumnFormula>
    </tableColumn>
    <tableColumn id="3" xr3:uid="{DC8F8E66-B8EB-483C-B2BE-7C9B2A81E076}" name="wins" dataDxfId="1328">
      <calculatedColumnFormula>M8+M29+M50+M71+M92+M113</calculatedColumnFormula>
    </tableColumn>
    <tableColumn id="4" xr3:uid="{5AD9DA06-82FA-4EF9-BFCA-BF0FFFF88911}" name="battles-take-rate" dataDxfId="1327">
      <calculatedColumnFormula>IF(SUM(OracleAbilities2[[#This Row],[takes]]) &gt; 0,OracleAbilities2[[#This Row],[takes]]/SUM(OracleAbilities2[takes]),0)</calculatedColumnFormula>
    </tableColumn>
    <tableColumn id="5" xr3:uid="{E56D220D-AA3D-4E94-B0A0-DA6A34FF8616}" name="take-win-rate" dataDxfId="1326">
      <calculatedColumnFormula>IF(OracleAbilities2[[#This Row],[takes]]&gt;0,OracleAbilities2[[#This Row],[wins]]/OracleAbilities2[[#This Row],[takes]],0)</calculatedColumnFormula>
    </tableColumn>
  </tableColumns>
  <tableStyleInfo name="TableStyleMedium2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2DBB12F-7951-4D77-B3A2-7D8D0FD14DED}" name="OracleAbilities3" displayName="OracleAbilities3" ref="A12:E15" totalsRowShown="0" headerRowDxfId="1325" headerRowBorderDxfId="1324" tableBorderDxfId="1323" totalsRowBorderDxfId="1322">
  <autoFilter ref="A12:E15" xr:uid="{1B0EA3CA-FA8E-4345-B52C-471D5C94AD38}"/>
  <tableColumns count="5">
    <tableColumn id="1" xr3:uid="{17068E2F-ED3B-4C49-9EDE-802EA88EE80F}" name="ability"/>
    <tableColumn id="2" xr3:uid="{916E9328-0FE5-4CF5-8767-EAB3C72EC7D2}" name="takes" dataDxfId="1321">
      <calculatedColumnFormula>L13+L34+L55+L76+L97+L118</calculatedColumnFormula>
    </tableColumn>
    <tableColumn id="3" xr3:uid="{C0F69861-77B3-4AAF-8D53-36D42207F13D}" name="wins" dataDxfId="1320">
      <calculatedColumnFormula>M13+M34+M55+M76+M97+M118</calculatedColumnFormula>
    </tableColumn>
    <tableColumn id="4" xr3:uid="{17EE2411-F535-4C09-9682-1BE2E263BF38}" name="battles-take-rate" dataDxfId="1319">
      <calculatedColumnFormula>IF(SUM(OracleAbilities3[[#This Row],[takes]]) &gt; 0,OracleAbilities3[[#This Row],[takes]]/SUM(OracleAbilities3[takes]),0)</calculatedColumnFormula>
    </tableColumn>
    <tableColumn id="5" xr3:uid="{229155FF-B56A-4B53-A912-3FAA27663DA3}" name="take-win-rate" dataDxfId="1318">
      <calculatedColumnFormula>IF(OracleAbilities3[[#This Row],[takes]]&gt;0,OracleAbilities3[[#This Row],[wins]]/OracleAbilities3[[#This Row],[takes]],0)</calculatedColumnFormula>
    </tableColumn>
  </tableColumns>
  <tableStyleInfo name="TableStyleMedium2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A209D14-B429-4B71-BECC-2FDBC36929F6}" name="OracleAbilities4" displayName="OracleAbilities4" ref="A17:E20" totalsRowShown="0" headerRowDxfId="1317" headerRowBorderDxfId="1316" tableBorderDxfId="1315" totalsRowBorderDxfId="1314">
  <autoFilter ref="A17:E20" xr:uid="{2AADA4A0-2F4A-4009-8ECF-0BECA693390C}"/>
  <tableColumns count="5">
    <tableColumn id="1" xr3:uid="{5859F4D6-E405-494D-9495-456C2A717042}" name="ability" dataDxfId="1313"/>
    <tableColumn id="2" xr3:uid="{13382877-AB77-41B2-B30F-FD8ADF1868AD}" name="takes" dataDxfId="1312">
      <calculatedColumnFormula>L18+L39+L60+L81+L102+L123</calculatedColumnFormula>
    </tableColumn>
    <tableColumn id="3" xr3:uid="{56A52BF0-1C62-4182-A5FB-18D3BE10282A}" name="wins" dataDxfId="1311">
      <calculatedColumnFormula>M18+M39+M60+M81+M102+M123</calculatedColumnFormula>
    </tableColumn>
    <tableColumn id="4" xr3:uid="{F15A1649-CD46-4B82-A2D9-FCA28362795D}" name="battles-take-rate" dataDxfId="1310">
      <calculatedColumnFormula>IF(SUM(OracleAbilities4[[#This Row],[takes]]) &gt; 0,OracleAbilities4[[#This Row],[takes]]/SUM(OracleAbilities4[takes]),0)</calculatedColumnFormula>
    </tableColumn>
    <tableColumn id="5" xr3:uid="{2B045368-A471-4E84-9C25-A1C1225281E8}" name="take-win-rate" dataDxfId="1309">
      <calculatedColumnFormula>IF(OracleAbilities4[[#This Row],[takes]]&gt;0,OracleAbilities4[[#This Row],[wins]]/OracleAbilities4[[#This Row],[takes]],0)</calculatedColumnFormula>
    </tableColumn>
  </tableColumns>
  <tableStyleInfo name="TableStyleMedium2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86218C3-763E-4D19-B099-56A2D6852D04}" name="OracleEquip" displayName="OracleEquip" ref="G2:I5" totalsRowShown="0">
  <autoFilter ref="G2:I5" xr:uid="{C15024E5-2A00-4F8B-BBEB-0FE7A036BC54}"/>
  <tableColumns count="3">
    <tableColumn id="1" xr3:uid="{134591AF-F53B-4113-8631-C1B208DEDF6E}" name="level"/>
    <tableColumn id="2" xr3:uid="{2E56C5C5-28FA-4C1F-B3C3-04ED354B22DD}" name="book" dataDxfId="1308">
      <calculatedColumnFormula>R3+R24+R45+R66+R87+R108</calculatedColumnFormula>
    </tableColumn>
    <tableColumn id="4" xr3:uid="{069713F1-C2CC-49D1-89BE-818384A2E4FD}" name="chestpiece" dataDxfId="1307">
      <calculatedColumnFormula>S3+S24+S45+S66+S87+S108</calculatedColumnFormula>
    </tableColumn>
  </tableColumns>
  <tableStyleInfo name="TableStyleMedium2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DBC6C944-4BF2-48BC-9A4D-7CBBABBF2040}" name="OracleAbilities1Scenario0" displayName="OracleAbilities1Scenario0" ref="K2:O5" totalsRowShown="0">
  <autoFilter ref="K2:O5" xr:uid="{4CDFB74F-734F-4444-929B-80D3797B5492}"/>
  <tableColumns count="5">
    <tableColumn id="2" xr3:uid="{5D8456F3-3CDF-428E-99D7-20E40B9D08E8}" name="ability"/>
    <tableColumn id="6" xr3:uid="{51503199-331A-4CF9-AF85-06AF38B73665}" name="takes" dataDxfId="1306">
      <calculatedColumnFormula>COUNTIF(Scenario0[winner1-ability1],OracleAbilities1Scenario0[[#This Row],[ability]])+COUNTIF(Scenario0[winner2-ability1],OracleAbilities1Scenario0[[#This Row],[ability]])+COUNTIF(Scenario0[loser1-ability1],OracleAbilities1Scenario0[[#This Row],[ability]])+COUNTIF(Scenario0[loser2-ability1],OracleAbilities1Scenario0[[#This Row],[ability]])</calculatedColumnFormula>
    </tableColumn>
    <tableColumn id="4" xr3:uid="{74FED3C1-5F6F-4D67-97A3-5CE9E53D1110}" name="wins" dataDxfId="1305">
      <calculatedColumnFormula>COUNTIF(Scenario0[winner1-ability1],OracleAbilities1Scenario0[[#This Row],[ability]])+COUNTIF(Scenario0[winner2-ability1],OracleAbilities1Scenario0[[#This Row],[ability]])</calculatedColumnFormula>
    </tableColumn>
    <tableColumn id="5" xr3:uid="{FFBB28B3-8185-43DE-AF96-8D7B77DD9AB1}" name="battles-take-rate" dataDxfId="1304">
      <calculatedColumnFormula>IF(SUM(OracleAbilities1Scenario0[[#This Row],[takes]]) &gt; 0,OracleAbilities1Scenario0[[#This Row],[takes]]/SUM(OracleAbilities1Scenario0[takes]),0)</calculatedColumnFormula>
    </tableColumn>
    <tableColumn id="7" xr3:uid="{E9E98CD5-3EEE-4580-981F-1F1356AC1A8E}" name="take-win-rate" dataDxfId="1303">
      <calculatedColumnFormula>IF(OracleAbilities1Scenario0[[#This Row],[takes]]&gt;0,OracleAbilities1Scenario0[[#This Row],[wins]]/OracleAbilities1Scenario0[[#This Row],[takes]],0)</calculatedColumnFormula>
    </tableColumn>
  </tableColumns>
  <tableStyleInfo name="TableStyleMedium2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DF8CF2BB-D672-495B-A58A-3B1627D8A3FC}" name="OracleAbilities2Scenario0" displayName="OracleAbilities2Scenario0" ref="K7:O10" totalsRowShown="0" headerRowDxfId="1302" headerRowBorderDxfId="1301" tableBorderDxfId="1300" totalsRowBorderDxfId="1299">
  <autoFilter ref="K7:O10" xr:uid="{07F4368A-34C9-4286-BBA2-89F699718525}"/>
  <tableColumns count="5">
    <tableColumn id="1" xr3:uid="{E527E3BD-2EEC-41D1-B3DF-AC2A5E8EEBF8}" name="ability"/>
    <tableColumn id="2" xr3:uid="{6C69826F-398B-4DCA-8860-DE45F6C1ED62}" name="takes" dataDxfId="1298">
      <calculatedColumnFormula>COUNTIF(Scenario0[winner1-ability2],OracleAbilities2Scenario0[[#This Row],[ability]])+COUNTIF(Scenario0[winner2-ability2],OracleAbilities2Scenario0[[#This Row],[ability]])+COUNTIF(Scenario0[loser1-ability2],OracleAbilities2Scenario0[[#This Row],[ability]])+COUNTIF(Scenario0[loser2-ability2],OracleAbilities2Scenario0[[#This Row],[ability]])</calculatedColumnFormula>
    </tableColumn>
    <tableColumn id="3" xr3:uid="{D4E46F53-57F5-4C18-AF6F-65BB8721D139}" name="wins" dataDxfId="1297">
      <calculatedColumnFormula>COUNTIF(Scenario0[winner1-ability2],OracleAbilities2Scenario0[[#This Row],[ability]])+COUNTIF(Scenario0[winner2-ability2],OracleAbilities2Scenario0[[#This Row],[ability]])</calculatedColumnFormula>
    </tableColumn>
    <tableColumn id="4" xr3:uid="{8DB86543-C68E-49E3-B4D9-340861CEEEDE}" name="battles-take-rate" dataDxfId="1296">
      <calculatedColumnFormula>IF(SUM(OracleAbilities2Scenario0[[#This Row],[takes]]) &gt; 0,OracleAbilities2Scenario0[[#This Row],[takes]]/SUM(OracleAbilities2Scenario0[takes]),0)</calculatedColumnFormula>
    </tableColumn>
    <tableColumn id="5" xr3:uid="{99272AA5-2299-4797-8A55-CAF5812E4980}" name="take-win-rate" dataDxfId="1295">
      <calculatedColumnFormula>IF(OracleAbilities2Scenario0[[#This Row],[takes]]&gt;0,OracleAbilities2Scenario0[[#This Row],[wins]]/OracleAbilities2Scenario0[[#This Row],[takes]],0)</calculatedColumnFormula>
    </tableColumn>
  </tableColumns>
  <tableStyleInfo name="TableStyleMedium2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34D40E4F-D5D7-4DF8-AF0C-573732687C18}" name="OracleAbilities3Scenario0" displayName="OracleAbilities3Scenario0" ref="K12:O15" totalsRowShown="0" headerRowDxfId="1294" headerRowBorderDxfId="1293" tableBorderDxfId="1292" totalsRowBorderDxfId="1291">
  <autoFilter ref="K12:O15" xr:uid="{E8520742-705B-4A78-A5FD-1F57726A369B}"/>
  <tableColumns count="5">
    <tableColumn id="1" xr3:uid="{3EEBBB3A-00A6-4E59-A1AC-5B19396CC8F3}" name="ability"/>
    <tableColumn id="2" xr3:uid="{2926E19E-4996-45B4-8D43-E1E50A1306A3}" name="takes" dataDxfId="1290">
      <calculatedColumnFormula>COUNTIF(Scenario0[winner1-ability3],OracleAbilities3Scenario0[[#This Row],[ability]])+COUNTIF(Scenario0[winner2-ability3],OracleAbilities3Scenario0[[#This Row],[ability]])+COUNTIF(Scenario0[loser1-ability3],OracleAbilities3Scenario0[[#This Row],[ability]])+COUNTIF(Scenario0[loser2-ability3],OracleAbilities3Scenario0[[#This Row],[ability]])</calculatedColumnFormula>
    </tableColumn>
    <tableColumn id="3" xr3:uid="{D9A91C47-5EB8-45C9-8247-5A331F9F423F}" name="wins" dataDxfId="1289">
      <calculatedColumnFormula>COUNTIF(Scenario0[winner1-ability3],OracleAbilities3Scenario0[[#This Row],[ability]])+COUNTIF(Scenario0[winner2-ability3],OracleAbilities3Scenario0[[#This Row],[ability]])</calculatedColumnFormula>
    </tableColumn>
    <tableColumn id="4" xr3:uid="{81BC6305-7DBC-4EA9-B70A-B1CCC1BA1663}" name="battles-take-rate" dataDxfId="1288">
      <calculatedColumnFormula>IF(SUM(OracleAbilities3Scenario0[[#This Row],[takes]]) &gt; 0,OracleAbilities3Scenario0[[#This Row],[takes]]/SUM(OracleAbilities3Scenario0[takes]),0)</calculatedColumnFormula>
    </tableColumn>
    <tableColumn id="5" xr3:uid="{D6D0078F-5370-4ABC-8E15-CB8C3AA2917A}" name="take-win-rate" dataDxfId="1287">
      <calculatedColumnFormula>IF(OracleAbilities3Scenario0[[#This Row],[takes]]&gt;0,OracleAbilities3Scenario0[[#This Row],[wins]]/OracleAbilities3Scenario0[[#This Row],[takes]],0)</calculatedColumnFormula>
    </tableColumn>
  </tableColumns>
  <tableStyleInfo name="TableStyleMedium2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EF4B7640-B6E9-44B5-BE91-15BFD54F1B08}" name="OracleAbilities4Scenario0" displayName="OracleAbilities4Scenario0" ref="K17:O20" totalsRowShown="0" headerRowDxfId="1286" headerRowBorderDxfId="1285" tableBorderDxfId="1284" totalsRowBorderDxfId="1283">
  <autoFilter ref="K17:O20" xr:uid="{01E0B516-A92C-45D4-946B-0FCF2F31D98A}"/>
  <tableColumns count="5">
    <tableColumn id="1" xr3:uid="{6E3ACF5F-C817-4C40-88BC-5BCD22AC85C1}" name="ability" dataDxfId="1282"/>
    <tableColumn id="2" xr3:uid="{B913933F-DE61-4933-B988-849E3D873B6C}" name="takes" dataDxfId="1281">
      <calculatedColumnFormula>COUNTIF(Scenario0[winner1-ability4],OracleAbilities4Scenario0[[#This Row],[ability]])+COUNTIF(Scenario0[winner2-ability4],OracleAbilities4Scenario0[[#This Row],[ability]])+COUNTIF(Scenario0[loser1-ability4],OracleAbilities4Scenario0[[#This Row],[ability]])+COUNTIF(Scenario0[loser2-ability4],OracleAbilities4Scenario0[[#This Row],[ability]])</calculatedColumnFormula>
    </tableColumn>
    <tableColumn id="3" xr3:uid="{54B8F0B1-CC8A-4360-B578-B27C4D1283EF}" name="wins" dataDxfId="1280">
      <calculatedColumnFormula>COUNTIF(Scenario0[winner1-ability4],OracleAbilities4Scenario0[[#This Row],[ability]])+COUNTIF(Scenario0[winner2-ability4],OracleAbilities4Scenario0[[#This Row],[ability]])</calculatedColumnFormula>
    </tableColumn>
    <tableColumn id="4" xr3:uid="{DC546825-CF58-487F-AC2D-8861F9A5F018}" name="battles-take-rate" dataDxfId="1279">
      <calculatedColumnFormula>IF(SUM(OracleAbilities4Scenario0[[#This Row],[takes]]) &gt; 0,OracleAbilities4Scenario0[[#This Row],[takes]]/SUM(OracleAbilities4Scenario0[takes]),0)</calculatedColumnFormula>
    </tableColumn>
    <tableColumn id="5" xr3:uid="{42CFA2DC-5D0A-4A16-85A7-24D02B39C236}" name="take-win-rate" dataDxfId="1278">
      <calculatedColumnFormula>IF(OracleAbilities4Scenario0[[#This Row],[takes]]&gt;0,OracleAbilities4Scenario0[[#This Row],[wins]]/OracleAbilities4Scenario0[[#This Row],[takes]],0)</calculatedColumnFormula>
    </tableColumn>
  </tableColumns>
  <tableStyleInfo name="TableStyleMedium2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FF2DEBD1-F2E5-4D56-8116-ABC9214B783B}" name="OracleEquipScenario0" displayName="OracleEquipScenario0" ref="Q2:S5" totalsRowShown="0">
  <autoFilter ref="Q2:S5" xr:uid="{E84D91C4-DFF3-43B9-932F-3FEFFBEA9FF1}"/>
  <tableColumns count="3">
    <tableColumn id="1" xr3:uid="{8CE6DC32-F8A6-4512-8149-E934432CDA32}" name="level"/>
    <tableColumn id="2" xr3:uid="{CCB2CE9A-CE81-4B04-A959-B8E714D4FDC0}" name="book" dataDxfId="1277">
      <calculatedColumnFormula>COUNTIFS(Scenario0[winner1],"oracle",Scenario0[winner1-pw],OracleEquipScenario0[[#This Row],[level]])+COUNTIFS(Scenario0[winner2],"oracle",Scenario0[winner2-pw],OracleEquipScenario0[[#This Row],[level]])+COUNTIFS(Scenario0[loser1],"oracle",Scenario0[loser1-pw],OracleEquipScenario0[[#This Row],[level]])+COUNTIFS(Scenario0[loser2],"oracle",Scenario0[loser2-pw],OracleEquipScenario0[[#This Row],[level]])</calculatedColumnFormula>
    </tableColumn>
    <tableColumn id="4" xr3:uid="{1FF79368-A18D-444D-9F1C-7572892AF1AC}" name="chestpiece" dataDxfId="1276">
      <calculatedColumnFormula>COUNTIFS(Scenario0[winner1],"oracle",Scenario0[winner1-cp],OracleEquipScenario0[[#This Row],[level]])+COUNTIFS(Scenario0[winner2],"oracle",Scenario0[winner2-cp],OracleEquipScenario0[[#This Row],[level]])+COUNTIFS(Scenario0[loser1],"oracle",Scenario0[loser1-cp],OracleEquipScenario0[[#This Row],[level]])+COUNTIFS(Scenario0[loser2],"oracle",Scenario0[loser2-cp],OracleEquipScenario0[[#This Row],[level]])</calculatedColumnFormula>
    </tableColumn>
  </tableColumns>
  <tableStyleInfo name="TableStyleMedium2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D8F86392-A1F9-4794-A5CD-DB954F38345F}" name="OracleAbilities1Scenario1" displayName="OracleAbilities1Scenario1" ref="K23:O26" totalsRowShown="0">
  <autoFilter ref="K23:O26" xr:uid="{A0A97CA7-01BF-4D92-A7D1-F51028CD7758}"/>
  <tableColumns count="5">
    <tableColumn id="2" xr3:uid="{08F6DAE7-95C9-433A-8161-79B3B9452CA8}" name="ability"/>
    <tableColumn id="6" xr3:uid="{D857D46F-734E-41BD-9728-BE0E7AE22136}" name="takes" dataDxfId="1275">
      <calculatedColumnFormula>COUNTIF(Scenario1[winner1-ability1],OracleAbilities1Scenario1[[#This Row],[ability]])+COUNTIF(Scenario1[winner2-ability1],OracleAbilities1Scenario1[[#This Row],[ability]])+COUNTIF(Scenario1[loser1-ability1],OracleAbilities1Scenario1[[#This Row],[ability]])+COUNTIF(Scenario1[loser2-ability1],OracleAbilities1Scenario1[[#This Row],[ability]])</calculatedColumnFormula>
    </tableColumn>
    <tableColumn id="4" xr3:uid="{48DB970D-EC60-46F1-B89A-6CE118B182A5}" name="wins" dataDxfId="1274">
      <calculatedColumnFormula>COUNTIF(Scenario1[winner1-ability1],OracleAbilities1Scenario1[[#This Row],[ability]])+COUNTIF(Scenario1[winner2-ability1],OracleAbilities1Scenario1[[#This Row],[ability]])</calculatedColumnFormula>
    </tableColumn>
    <tableColumn id="5" xr3:uid="{E59B090D-3CF9-419A-A958-9B189D6B198D}" name="battles-take-rate" dataDxfId="1273">
      <calculatedColumnFormula>IF(SUM(OracleAbilities1Scenario1[[#This Row],[takes]]) &gt; 0,OracleAbilities1Scenario1[[#This Row],[takes]]/SUM(OracleAbilities1Scenario1[takes]),0)</calculatedColumnFormula>
    </tableColumn>
    <tableColumn id="7" xr3:uid="{D7F62600-AF72-4557-939D-18AF7B26A888}" name="take-win-rate" dataDxfId="1272">
      <calculatedColumnFormula>IF(OracleAbilities1Scenario1[[#This Row],[takes]]&gt;0,OracleAbilities1Scenario1[[#This Row],[wins]]/OracleAbilities1Scenario1[[#This Row],[takes]],0)</calculatedColumnFormula>
    </tableColumn>
  </tableColumns>
  <tableStyleInfo name="TableStyleMedium2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B1CE92CF-FC4A-4555-8FBE-ACE20D19534E}" name="OracleAbilities2Scenario1" displayName="OracleAbilities2Scenario1" ref="K28:O31" totalsRowShown="0" headerRowDxfId="1271" headerRowBorderDxfId="1270" tableBorderDxfId="1269" totalsRowBorderDxfId="1268">
  <autoFilter ref="K28:O31" xr:uid="{A29CF70A-0B84-46BB-A412-712C2F594795}"/>
  <tableColumns count="5">
    <tableColumn id="1" xr3:uid="{A78B7AE5-FFB9-4B14-80DD-02A5472ECE5D}" name="ability"/>
    <tableColumn id="2" xr3:uid="{D7A37668-570D-45EB-87B5-4855766CE3E7}" name="takes" dataDxfId="1267">
      <calculatedColumnFormula>COUNTIF(Scenario1[winner1-ability2],OracleAbilities2Scenario1[[#This Row],[ability]])+COUNTIF(Scenario1[winner2-ability2],OracleAbilities2Scenario1[[#This Row],[ability]])+COUNTIF(Scenario1[loser1-ability2],OracleAbilities2Scenario1[[#This Row],[ability]])+COUNTIF(Scenario1[loser2-ability2],OracleAbilities2Scenario1[[#This Row],[ability]])</calculatedColumnFormula>
    </tableColumn>
    <tableColumn id="3" xr3:uid="{0F87B65D-22B4-4801-982E-05C18BE5B063}" name="wins" dataDxfId="1266">
      <calculatedColumnFormula>COUNTIF(Scenario1[winner1-ability2],OracleAbilities2Scenario1[[#This Row],[ability]])+COUNTIF(Scenario1[winner2-ability2],OracleAbilities2Scenario1[[#This Row],[ability]])</calculatedColumnFormula>
    </tableColumn>
    <tableColumn id="4" xr3:uid="{20D07595-3EDA-40AD-844A-F78A299DE902}" name="battles-take-rate" dataDxfId="1265">
      <calculatedColumnFormula>IF(SUM(OracleAbilities2Scenario1[[#This Row],[takes]]) &gt; 0,OracleAbilities2Scenario1[[#This Row],[takes]]/SUM(OracleAbilities2Scenario1[takes]),0)</calculatedColumnFormula>
    </tableColumn>
    <tableColumn id="5" xr3:uid="{E17C0F32-5522-4300-B649-D8E1009A63CB}" name="take-win-rate" dataDxfId="1264">
      <calculatedColumnFormula>IF(OracleAbilities2Scenario1[[#This Row],[takes]]&gt;0,OracleAbilities2Scenario1[[#This Row],[wins]]/OracleAbilities2Scenario1[[#This Row],[takes]],0)</calculatedColumnFormula>
    </tableColumn>
  </tableColumns>
  <tableStyleInfo name="TableStyleMedium2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E4B47649-5210-46D2-94F4-19787B23FB1B}" name="OracleAbilities3Scenario1" displayName="OracleAbilities3Scenario1" ref="K33:O36" totalsRowShown="0" headerRowDxfId="1263" headerRowBorderDxfId="1262" tableBorderDxfId="1261" totalsRowBorderDxfId="1260">
  <autoFilter ref="K33:O36" xr:uid="{CBC18F4E-86CD-4BE3-9377-2B862ED3B826}"/>
  <tableColumns count="5">
    <tableColumn id="1" xr3:uid="{9049261B-DAED-4567-876B-282F6877DF38}" name="ability"/>
    <tableColumn id="2" xr3:uid="{5BD3EA02-8470-4293-BECF-F0B847B0D1ED}" name="takes" dataDxfId="1259">
      <calculatedColumnFormula>COUNTIF(Scenario1[winner1-ability3],OracleAbilities3Scenario1[[#This Row],[ability]])+COUNTIF(Scenario1[winner2-ability3],OracleAbilities3Scenario1[[#This Row],[ability]])+COUNTIF(Scenario1[loser1-ability3],OracleAbilities3Scenario1[[#This Row],[ability]])+COUNTIF(Scenario1[loser2-ability3],OracleAbilities3Scenario1[[#This Row],[ability]])</calculatedColumnFormula>
    </tableColumn>
    <tableColumn id="3" xr3:uid="{8657CFC1-6630-4D32-AAF4-48F0D675B782}" name="wins" dataDxfId="1258">
      <calculatedColumnFormula>COUNTIF(Scenario1[winner1-ability3],OracleAbilities3Scenario1[[#This Row],[ability]])+COUNTIF(Scenario1[winner2-ability3],OracleAbilities3Scenario1[[#This Row],[ability]])</calculatedColumnFormula>
    </tableColumn>
    <tableColumn id="4" xr3:uid="{C152963B-DCF3-4E07-8290-5DEF054C1B0E}" name="battles-take-rate" dataDxfId="1257">
      <calculatedColumnFormula>IF(SUM(OracleAbilities3Scenario1[[#This Row],[takes]]) &gt; 0,OracleAbilities3Scenario1[[#This Row],[takes]]/SUM(OracleAbilities3Scenario1[takes]),0)</calculatedColumnFormula>
    </tableColumn>
    <tableColumn id="5" xr3:uid="{9CE6E187-5234-48B9-8F7E-E30B25D46C3B}" name="take-win-rate" dataDxfId="1256">
      <calculatedColumnFormula>IF(OracleAbilities3Scenario1[[#This Row],[takes]]&gt;0,OracleAbilities3Scenario1[[#This Row],[wins]]/OracleAbilities3Scenario1[[#This Row],[takes]],0)</calculatedColumnFormula>
    </tableColumn>
  </tableColumns>
  <tableStyleInfo name="TableStyleMedium2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31C705AC-60F1-46AA-8FF0-740AD1F3AE75}" name="OracleAbilities4Scenario1" displayName="OracleAbilities4Scenario1" ref="K38:O41" totalsRowShown="0" headerRowDxfId="1255" headerRowBorderDxfId="1254" tableBorderDxfId="1253" totalsRowBorderDxfId="1252">
  <autoFilter ref="K38:O41" xr:uid="{A1F38E75-59DE-4DB4-B81C-C0322397F6F7}"/>
  <tableColumns count="5">
    <tableColumn id="1" xr3:uid="{CB833622-9500-452A-9643-EC635B82CE80}" name="ability" dataDxfId="1251"/>
    <tableColumn id="2" xr3:uid="{91B01C21-E0B8-45E1-8DF5-A7B9A623E34E}" name="takes" dataDxfId="1250">
      <calculatedColumnFormula>COUNTIF(Scenario1[winner1-ability4],OracleAbilities4Scenario1[[#This Row],[ability]])+COUNTIF(Scenario1[winner2-ability4],OracleAbilities4Scenario1[[#This Row],[ability]])+COUNTIF(Scenario1[loser1-ability4],OracleAbilities4Scenario1[[#This Row],[ability]])+COUNTIF(Scenario1[loser2-ability4],OracleAbilities4Scenario1[[#This Row],[ability]])</calculatedColumnFormula>
    </tableColumn>
    <tableColumn id="3" xr3:uid="{B0BE94FB-AA15-4399-BD5B-E164635DF85D}" name="wins" dataDxfId="1249">
      <calculatedColumnFormula>COUNTIF(Scenario1[winner1-ability4],OracleAbilities4Scenario1[[#This Row],[ability]])+COUNTIF(Scenario1[winner2-ability4],OracleAbilities4Scenario1[[#This Row],[ability]])</calculatedColumnFormula>
    </tableColumn>
    <tableColumn id="4" xr3:uid="{E25C6CBE-17EB-488D-B5A1-1EAD80737D19}" name="battles-take-rate" dataDxfId="1248">
      <calculatedColumnFormula>IF(SUM(OracleAbilities4Scenario1[[#This Row],[takes]]) &gt; 0,OracleAbilities4Scenario1[[#This Row],[takes]]/SUM(OracleAbilities4Scenario1[takes]),0)</calculatedColumnFormula>
    </tableColumn>
    <tableColumn id="5" xr3:uid="{0C948839-399C-489C-BCC6-ACFA45525DC6}" name="take-win-rate" dataDxfId="1247">
      <calculatedColumnFormula>IF(OracleAbilities4Scenario1[[#This Row],[takes]]&gt;0,OracleAbilities4Scenario1[[#This Row],[wins]]/OracleAbilities4Scenario1[[#This Row],[takes]],0)</calculatedColumnFormula>
    </tableColumn>
  </tableColumns>
  <tableStyleInfo name="TableStyleMedium2" showFirstColumn="0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407F6D17-AD86-4226-B9F6-A9D96C1389E8}" name="OracleEquipScenario1" displayName="OracleEquipScenario1" ref="Q23:S26" totalsRowShown="0">
  <autoFilter ref="Q23:S26" xr:uid="{18EECD25-0AE5-4756-B5E1-492D523A2929}"/>
  <tableColumns count="3">
    <tableColumn id="1" xr3:uid="{F036874C-1052-4908-9115-1996C5928DC4}" name="level"/>
    <tableColumn id="2" xr3:uid="{08583675-DFAA-433F-9D68-EA7CD63B39AD}" name="book" dataDxfId="1246">
      <calculatedColumnFormula>COUNTIFS(Scenario1[winner1],"oracle",Scenario1[winner1-pw],OracleEquipScenario1[[#This Row],[level]])+COUNTIFS(Scenario1[winner2],"oracle",Scenario1[winner2-pw],OracleEquipScenario1[[#This Row],[level]])+COUNTIFS(Scenario1[loser1],"oracle",Scenario1[loser1-pw],OracleEquipScenario1[[#This Row],[level]])+COUNTIFS(Scenario1[loser2],"oracle",Scenario1[loser2-pw],OracleEquipScenario1[[#This Row],[level]])</calculatedColumnFormula>
    </tableColumn>
    <tableColumn id="4" xr3:uid="{41C77BA3-9A0D-4E35-B263-3B733759DE5F}" name="chestpiece" dataDxfId="1245">
      <calculatedColumnFormula>COUNTIFS(Scenario1[winner1],"oracle",Scenario1[winner1-cp],OracleEquipScenario1[[#This Row],[level]])+COUNTIFS(Scenario1[winner2],"oracle",Scenario1[winner2-cp],OracleEquipScenario1[[#This Row],[level]])+COUNTIFS(Scenario1[loser1],"oracle",Scenario1[loser1-cp],OracleEquipScenario1[[#This Row],[level]])+COUNTIFS(Scenario1[loser2],"oracle",Scenario1[loser2-cp],OracleEquipScenario1[[#This Row],[level]])</calculatedColumnFormula>
    </tableColumn>
  </tableColumns>
  <tableStyleInfo name="TableStyleMedium2" showFirstColumn="0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8468313A-0305-42CB-AF18-F3C19DC01560}" name="OracleAbilities1Scenario2" displayName="OracleAbilities1Scenario2" ref="K44:O47" totalsRowShown="0">
  <autoFilter ref="K44:O47" xr:uid="{81D76695-EE53-4A07-9351-842AC55F2540}"/>
  <tableColumns count="5">
    <tableColumn id="2" xr3:uid="{10CD89E9-2221-4945-9091-CA48E9BE5A77}" name="ability"/>
    <tableColumn id="6" xr3:uid="{999DDAAB-ABFE-4E65-A78A-5F2D89CC546F}" name="takes" dataDxfId="1244">
      <calculatedColumnFormula>COUNTIF(Scenario2[winner1-ability1],OracleAbilities1Scenario2[[#This Row],[ability]])+COUNTIF(Scenario2[loser1-ability1],OracleAbilities1Scenario2[[#This Row],[ability]])</calculatedColumnFormula>
    </tableColumn>
    <tableColumn id="4" xr3:uid="{501A4C29-A352-4A5A-8C42-EF2204AD056F}" name="wins" dataDxfId="1243">
      <calculatedColumnFormula>COUNTIF(Scenario2[winner1-ability1],OracleAbilities1Scenario2[[#This Row],[ability]])</calculatedColumnFormula>
    </tableColumn>
    <tableColumn id="5" xr3:uid="{034FA980-30F5-4A65-930E-873C758C7280}" name="battles-take-rate" dataDxfId="1242">
      <calculatedColumnFormula>IF(SUM(OracleAbilities1Scenario2[[#This Row],[takes]]) &gt; 0,OracleAbilities1Scenario2[[#This Row],[takes]]/SUM(OracleAbilities1Scenario2[takes]),0)</calculatedColumnFormula>
    </tableColumn>
    <tableColumn id="7" xr3:uid="{3F484501-01C0-4C99-A823-D9B7147CE5DA}" name="take-win-rate" dataDxfId="1241">
      <calculatedColumnFormula>IF(OracleAbilities1Scenario2[[#This Row],[takes]]&gt;0,OracleAbilities1Scenario2[[#This Row],[wins]]/OracleAbilities1Scenario2[[#This Row],[takes]],0)</calculatedColumnFormula>
    </tableColumn>
  </tableColumns>
  <tableStyleInfo name="TableStyleMedium2" showFirstColumn="0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2C7F0E02-51BC-4E68-9AEA-86FD4DCE27FF}" name="OracleAbilities2Scenario2" displayName="OracleAbilities2Scenario2" ref="K49:O52" totalsRowShown="0" headerRowDxfId="1240" headerRowBorderDxfId="1239" tableBorderDxfId="1238" totalsRowBorderDxfId="1237">
  <autoFilter ref="K49:O52" xr:uid="{B5828340-8DA1-4B65-ACEB-BDDDED872E64}"/>
  <tableColumns count="5">
    <tableColumn id="1" xr3:uid="{5A2A9001-E7B2-4996-8CC5-B71FF0DDFD6F}" name="ability"/>
    <tableColumn id="2" xr3:uid="{7013886B-E995-4644-B179-D9FFD56BF212}" name="takes" dataDxfId="1236">
      <calculatedColumnFormula>COUNTIF(Scenario2[winner1-ability2],OracleAbilities2Scenario2[[#This Row],[ability]])+COUNTIF(Scenario2[loser1-ability2],OracleAbilities2Scenario2[[#This Row],[ability]])</calculatedColumnFormula>
    </tableColumn>
    <tableColumn id="3" xr3:uid="{0C203C56-606B-4CCD-943A-EEACAF329BE4}" name="wins" dataDxfId="1235">
      <calculatedColumnFormula>COUNTIF(Scenario2[winner1-ability2],OracleAbilities2Scenario2[[#This Row],[ability]])</calculatedColumnFormula>
    </tableColumn>
    <tableColumn id="4" xr3:uid="{447E5C6C-E9F9-4D65-9CC8-EFF3C7DE5206}" name="battles-take-rate" dataDxfId="1234">
      <calculatedColumnFormula>IF(SUM(OracleAbilities2Scenario2[[#This Row],[takes]]) &gt; 0,OracleAbilities2Scenario2[[#This Row],[takes]]/SUM(OracleAbilities2Scenario2[takes]),0)</calculatedColumnFormula>
    </tableColumn>
    <tableColumn id="5" xr3:uid="{DFA839D3-9BAB-4355-AC00-CCFE857754CB}" name="take-win-rate" dataDxfId="1233">
      <calculatedColumnFormula>IF(OracleAbilities2Scenario2[[#This Row],[takes]]&gt;0,OracleAbilities2Scenario2[[#This Row],[wins]]/OracleAbilities2Scenario2[[#This Row],[takes]],0)</calculatedColumnFormula>
    </tableColumn>
  </tableColumns>
  <tableStyleInfo name="TableStyleMedium2" showFirstColumn="0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E6686787-AAC7-4D48-BA44-A39FF3E107BC}" name="OracleAbilities3Scenario2" displayName="OracleAbilities3Scenario2" ref="K54:O57" totalsRowShown="0" headerRowDxfId="1232" headerRowBorderDxfId="1231" tableBorderDxfId="1230" totalsRowBorderDxfId="1229">
  <autoFilter ref="K54:O57" xr:uid="{34ED10E5-B169-4BBA-8F2C-73FF473D0922}"/>
  <tableColumns count="5">
    <tableColumn id="1" xr3:uid="{CF14DA0D-ED41-4280-BA7A-A0A04BAFCCB5}" name="ability"/>
    <tableColumn id="2" xr3:uid="{DB4EA515-9D95-42EF-AF4D-258F7DF5BAEC}" name="takes" dataDxfId="1228">
      <calculatedColumnFormula>COUNTIF(Scenario2[winner1-ability3],OracleAbilities3Scenario2[[#This Row],[ability]])+COUNTIF(Scenario2[loser1-ability3],OracleAbilities3Scenario2[[#This Row],[ability]])</calculatedColumnFormula>
    </tableColumn>
    <tableColumn id="3" xr3:uid="{F6942301-1197-4616-8EFC-220AE2114250}" name="wins" dataDxfId="1227">
      <calculatedColumnFormula>COUNTIF(Scenario2[winner1-ability3],OracleAbilities3Scenario2[[#This Row],[ability]])</calculatedColumnFormula>
    </tableColumn>
    <tableColumn id="4" xr3:uid="{14BEA7A5-F9D1-44CF-A38C-50CB90297594}" name="battles-take-rate" dataDxfId="1226">
      <calculatedColumnFormula>IF(SUM(OracleAbilities3Scenario2[[#This Row],[takes]]) &gt; 0,OracleAbilities3Scenario2[[#This Row],[takes]]/SUM(OracleAbilities3Scenario2[takes]),0)</calculatedColumnFormula>
    </tableColumn>
    <tableColumn id="5" xr3:uid="{A9B160AF-6992-400C-BE56-5A35445CF124}" name="take-win-rate" dataDxfId="1225">
      <calculatedColumnFormula>IF(OracleAbilities3Scenario2[[#This Row],[takes]]&gt;0,OracleAbilities3Scenario2[[#This Row],[wins]]/OracleAbilities3Scenario2[[#This Row],[takes]],0)</calculatedColumnFormula>
    </tableColumn>
  </tableColumns>
  <tableStyleInfo name="TableStyleMedium2" showFirstColumn="0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ACCB588F-69E3-4E4E-B115-3CADFD539AD6}" name="OracleAbilities4Scenario2" displayName="OracleAbilities4Scenario2" ref="K59:O62" totalsRowShown="0" headerRowDxfId="1224" headerRowBorderDxfId="1223" tableBorderDxfId="1222" totalsRowBorderDxfId="1221">
  <autoFilter ref="K59:O62" xr:uid="{DDB7F110-02A6-4F67-8266-251AF48CB7C0}"/>
  <tableColumns count="5">
    <tableColumn id="1" xr3:uid="{684380C7-16C1-449D-A8CD-E4785101BEE3}" name="ability" dataDxfId="1220"/>
    <tableColumn id="2" xr3:uid="{A5078570-2F9D-4A26-860A-7EA42522F276}" name="takes" dataDxfId="1219">
      <calculatedColumnFormula>COUNTIF(Scenario2[winner1-ability4],OracleAbilities4Scenario2[[#This Row],[ability]])+COUNTIF(Scenario2[loser1-ability4],OracleAbilities4Scenario2[[#This Row],[ability]])</calculatedColumnFormula>
    </tableColumn>
    <tableColumn id="3" xr3:uid="{C3852750-FE90-483F-A2C9-E01435FF61B7}" name="wins" dataDxfId="1218">
      <calculatedColumnFormula>COUNTIF(Scenario2[winner1-ability4],OracleAbilities4Scenario2[[#This Row],[ability]])</calculatedColumnFormula>
    </tableColumn>
    <tableColumn id="4" xr3:uid="{25CD52B3-8C70-4953-9C63-7606955949E3}" name="battles-take-rate" dataDxfId="1217">
      <calculatedColumnFormula>IF(SUM(OracleAbilities4Scenario2[[#This Row],[takes]]) &gt; 0,OracleAbilities4Scenario2[[#This Row],[takes]]/SUM(OracleAbilities4Scenario2[takes]),0)</calculatedColumnFormula>
    </tableColumn>
    <tableColumn id="5" xr3:uid="{A3BAC443-8290-4973-9EB5-04304471CE45}" name="take-win-rate" dataDxfId="1216">
      <calculatedColumnFormula>IF(OracleAbilities4Scenario2[[#This Row],[takes]]&gt;0,OracleAbilities4Scenario2[[#This Row],[wins]]/OracleAbilities4Scenario2[[#This Row],[takes]],0)</calculatedColumnFormula>
    </tableColumn>
  </tableColumns>
  <tableStyleInfo name="TableStyleMedium2" showFirstColumn="0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12017E85-DF12-4436-A115-68E81B6857BB}" name="OracleEquipScenario2" displayName="OracleEquipScenario2" ref="Q44:S47" totalsRowShown="0">
  <autoFilter ref="Q44:S47" xr:uid="{BDEC3E9D-FA56-4E08-A52D-2A8BEB87833A}"/>
  <tableColumns count="3">
    <tableColumn id="1" xr3:uid="{7C34C7AA-AE5B-49D6-8F52-1AE3571834CA}" name="level"/>
    <tableColumn id="2" xr3:uid="{953DDABE-14D0-4238-9EFD-21CF173EC28E}" name="book" dataDxfId="1215">
      <calculatedColumnFormula>COUNTIFS(Scenario2[winner1],"oracle",Scenario2[winner1-pw],OracleEquipScenario2[[#This Row],[level]])+COUNTIFS(Scenario2[loser1],"oracle",Scenario2[loser1-pw],OracleEquipScenario2[[#This Row],[level]])</calculatedColumnFormula>
    </tableColumn>
    <tableColumn id="4" xr3:uid="{BFC74FC3-08E9-4D9A-88F0-55DA84FA6AF3}" name="chestpiece" dataDxfId="1214">
      <calculatedColumnFormula>COUNTIFS(Scenario2[winner1],"oracle",Scenario2[winner1-cp],OracleEquipScenario2[[#This Row],[level]])+COUNTIFS(Scenario2[loser1],"oracle",Scenario2[loser1-cp],OracleEquipScenario2[[#This Row],[level]])</calculatedColumnFormula>
    </tableColumn>
  </tableColumns>
  <tableStyleInfo name="TableStyleMedium2" showFirstColumn="0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0199AC5-46BB-423A-83E9-7655AE166703}" name="UpgradeStatistics19202122" displayName="UpgradeStatistics19202122" ref="U1:V9" totalsRowShown="0">
  <autoFilter ref="U1:V9" xr:uid="{40199AC5-46BB-423A-83E9-7655AE166703}"/>
  <tableColumns count="2">
    <tableColumn id="1" xr3:uid="{EACF1B13-C76E-431E-A38A-7874B1661C8A}" name="upgrade"/>
    <tableColumn id="3" xr3:uid="{F470037C-DF9D-4ABB-8689-E33517E503FC}" name="rate" dataDxfId="1213"/>
  </tableColumns>
  <tableStyleInfo name="TableStyleMedium2" showFirstColumn="0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AF3D648-6810-4111-9B4E-984007A1506E}" name="OracleAbilities1Scenario3" displayName="OracleAbilities1Scenario3" ref="K65:O68" totalsRowShown="0">
  <autoFilter ref="K65:O68" xr:uid="{0AF3D648-6810-4111-9B4E-984007A1506E}"/>
  <tableColumns count="5">
    <tableColumn id="2" xr3:uid="{93755BBD-9662-4ABD-944E-B029A145F6A9}" name="ability"/>
    <tableColumn id="6" xr3:uid="{5BF98867-7A7E-462E-95CF-CA114E88DBE4}" name="takes" dataDxfId="1212">
      <calculatedColumnFormula>COUNTIF(Scenario3[winner1-ability1],OracleAbilities1Scenario3[[#This Row],[ability]])+COUNTIF(Scenario3[loser1-ability1],OracleAbilities1Scenario3[[#This Row],[ability]])+COUNTIF(Scenario3[loser2-ability1],OracleAbilities1Scenario3[[#This Row],[ability]])</calculatedColumnFormula>
    </tableColumn>
    <tableColumn id="4" xr3:uid="{2C325373-8C63-40EA-8FFB-8B7539E9B51E}" name="wins" dataDxfId="1211">
      <calculatedColumnFormula>COUNTIF(Scenario3[winner1-ability1],OracleAbilities1Scenario3[[#This Row],[ability]])</calculatedColumnFormula>
    </tableColumn>
    <tableColumn id="5" xr3:uid="{DE62042D-7982-4BF3-B071-8EDF692003FE}" name="battles-take-rate" dataDxfId="1210">
      <calculatedColumnFormula>IF(SUM(OracleAbilities1Scenario3[[#This Row],[takes]]) &gt; 0,OracleAbilities1Scenario3[[#This Row],[takes]]/SUM(OracleAbilities1Scenario3[takes]),0)</calculatedColumnFormula>
    </tableColumn>
    <tableColumn id="7" xr3:uid="{BE6053AA-27E0-41B0-B1E7-DB0311B0CF8F}" name="take-win-rate" dataDxfId="1209">
      <calculatedColumnFormula>IF(OracleAbilities1Scenario3[[#This Row],[takes]]&gt;0,OracleAbilities1Scenario3[[#This Row],[wins]]/OracleAbilities1Scenario3[[#This Row],[takes]],0)</calculatedColumnFormula>
    </tableColumn>
  </tableColumns>
  <tableStyleInfo name="TableStyleMedium2" showFirstColumn="0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4A616D38-B671-4431-9F63-309AB5715457}" name="OracleAbilities2Scenario3" displayName="OracleAbilities2Scenario3" ref="K70:O73" totalsRowShown="0" headerRowDxfId="1208" headerRowBorderDxfId="1207" tableBorderDxfId="1206" totalsRowBorderDxfId="1205">
  <autoFilter ref="K70:O73" xr:uid="{4A616D38-B671-4431-9F63-309AB5715457}"/>
  <tableColumns count="5">
    <tableColumn id="1" xr3:uid="{F294C62A-F002-4387-9BD7-7715C3DC0788}" name="ability"/>
    <tableColumn id="2" xr3:uid="{E14AF064-D97D-4620-B03E-249ECD48488D}" name="takes" dataDxfId="1204">
      <calculatedColumnFormula>COUNTIF(Scenario3[winner1-ability2],OracleAbilities2Scenario3[[#This Row],[ability]])+COUNTIF(Scenario3[loser1-ability2],OracleAbilities2Scenario3[[#This Row],[ability]])+COUNTIF(Scenario3[loser2-ability2],OracleAbilities2Scenario3[[#This Row],[ability]])</calculatedColumnFormula>
    </tableColumn>
    <tableColumn id="3" xr3:uid="{1D24BEEC-565B-4930-9C38-82D471464A86}" name="wins" dataDxfId="1203">
      <calculatedColumnFormula>COUNTIF(Scenario3[winner1-ability2],OracleAbilities2Scenario3[[#This Row],[ability]])</calculatedColumnFormula>
    </tableColumn>
    <tableColumn id="4" xr3:uid="{8DF31301-6566-4092-A843-4FFDD045A618}" name="battles-take-rate" dataDxfId="1202">
      <calculatedColumnFormula>IF(SUM(OracleAbilities2Scenario3[[#This Row],[takes]]) &gt; 0,OracleAbilities2Scenario3[[#This Row],[takes]]/SUM(OracleAbilities2Scenario3[takes]),0)</calculatedColumnFormula>
    </tableColumn>
    <tableColumn id="5" xr3:uid="{4B7BAE1D-CA93-4C07-888F-675D3DA020F1}" name="take-win-rate" dataDxfId="1201">
      <calculatedColumnFormula>IF(OracleAbilities2Scenario3[[#This Row],[takes]]&gt;0,OracleAbilities2Scenario3[[#This Row],[wins]]/OracleAbilities2Scenario3[[#This Row],[takes]],0)</calculatedColumnFormula>
    </tableColumn>
  </tableColumns>
  <tableStyleInfo name="TableStyleMedium2" showFirstColumn="0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31A87546-66AD-4779-8DF9-2EEE8A8685A2}" name="OracleAbilities3Scenario3" displayName="OracleAbilities3Scenario3" ref="K75:O78" totalsRowShown="0" headerRowDxfId="1200" headerRowBorderDxfId="1199" tableBorderDxfId="1198" totalsRowBorderDxfId="1197">
  <autoFilter ref="K75:O78" xr:uid="{31A87546-66AD-4779-8DF9-2EEE8A8685A2}"/>
  <tableColumns count="5">
    <tableColumn id="1" xr3:uid="{A870FD98-82C7-4227-A109-086D1DE0E51E}" name="ability"/>
    <tableColumn id="2" xr3:uid="{88363D75-38D6-4011-85C3-D67432030B5C}" name="takes" dataDxfId="1196">
      <calculatedColumnFormula>COUNTIF(Scenario3[winner1-ability3],OracleAbilities3Scenario3[[#This Row],[ability]])+COUNTIF(Scenario3[loser1-ability3],OracleAbilities3Scenario3[[#This Row],[ability]])+COUNTIF(Scenario3[loser2-ability3],OracleAbilities3Scenario3[[#This Row],[ability]])</calculatedColumnFormula>
    </tableColumn>
    <tableColumn id="3" xr3:uid="{F384ACDC-60D3-4DBE-B962-A572237710A7}" name="wins" dataDxfId="1195">
      <calculatedColumnFormula>COUNTIF(Scenario3[winner1-ability3],OracleAbilities3Scenario3[[#This Row],[ability]])</calculatedColumnFormula>
    </tableColumn>
    <tableColumn id="4" xr3:uid="{3DF4458E-C16E-4A8A-B345-E3B7F6485141}" name="battles-take-rate" dataDxfId="1194">
      <calculatedColumnFormula>IF(SUM(OracleAbilities3Scenario3[[#This Row],[takes]]) &gt; 0,OracleAbilities3Scenario3[[#This Row],[takes]]/SUM(OracleAbilities3Scenario3[takes]),0)</calculatedColumnFormula>
    </tableColumn>
    <tableColumn id="5" xr3:uid="{6E68CF0C-B4B3-405F-BA82-6CE68C81FF61}" name="take-win-rate" dataDxfId="1193">
      <calculatedColumnFormula>IF(OracleAbilities3Scenario3[[#This Row],[takes]]&gt;0,OracleAbilities3Scenario3[[#This Row],[wins]]/OracleAbilities3Scenario3[[#This Row],[takes]],0)</calculatedColumnFormula>
    </tableColumn>
  </tableColumns>
  <tableStyleInfo name="TableStyleMedium2" showFirstColumn="0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D79E2D8A-FC77-422A-AA03-F5F2585C088A}" name="OracleAbilities4Scenario3" displayName="OracleAbilities4Scenario3" ref="K80:O83" totalsRowShown="0" headerRowDxfId="1192" headerRowBorderDxfId="1191" tableBorderDxfId="1190" totalsRowBorderDxfId="1189">
  <autoFilter ref="K80:O83" xr:uid="{D79E2D8A-FC77-422A-AA03-F5F2585C088A}"/>
  <tableColumns count="5">
    <tableColumn id="1" xr3:uid="{DBD34D79-41EF-433F-AF97-F8A313ED3DF0}" name="ability" dataDxfId="1188"/>
    <tableColumn id="2" xr3:uid="{F2E59DF2-2278-41C3-97C8-B7A29C9CCB3B}" name="takes" dataDxfId="1187">
      <calculatedColumnFormula>COUNTIF(Scenario3[winner1-ability4],OracleAbilities4Scenario3[[#This Row],[ability]])+COUNTIF(Scenario3[loser1-ability4],OracleAbilities4Scenario3[[#This Row],[ability]])+COUNTIF(Scenario3[loser2-ability4],OracleAbilities4Scenario3[[#This Row],[ability]])</calculatedColumnFormula>
    </tableColumn>
    <tableColumn id="3" xr3:uid="{CA94F1B0-87F1-460B-825B-6AA23B408DBF}" name="wins" dataDxfId="1186">
      <calculatedColumnFormula>COUNTIF(Scenario3[winner1-ability4],OracleAbilities4Scenario3[[#This Row],[ability]])</calculatedColumnFormula>
    </tableColumn>
    <tableColumn id="4" xr3:uid="{91B8F5F4-FFA1-4668-B2FE-3D694C677333}" name="battles-take-rate" dataDxfId="1185">
      <calculatedColumnFormula>IF(SUM(OracleAbilities4Scenario3[[#This Row],[takes]]) &gt; 0,OracleAbilities4Scenario3[[#This Row],[takes]]/SUM(OracleAbilities4Scenario3[takes]),0)</calculatedColumnFormula>
    </tableColumn>
    <tableColumn id="5" xr3:uid="{96CA2656-6985-443A-9EC7-1B17585E59D3}" name="take-win-rate" dataDxfId="1184">
      <calculatedColumnFormula>IF(OracleAbilities4Scenario3[[#This Row],[takes]]&gt;0,OracleAbilities4Scenario3[[#This Row],[wins]]/OracleAbilities4Scenario3[[#This Row],[takes]],0)</calculatedColumnFormula>
    </tableColumn>
  </tableColumns>
  <tableStyleInfo name="TableStyleMedium2" showFirstColumn="0" showLastColumn="0" showRowStripes="1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C63970FC-6C87-49C6-BEF0-D3D7B35527DA}" name="OracleEquipScenario3" displayName="OracleEquipScenario3" ref="Q65:S68" totalsRowShown="0">
  <autoFilter ref="Q65:S68" xr:uid="{C63970FC-6C87-49C6-BEF0-D3D7B35527DA}"/>
  <tableColumns count="3">
    <tableColumn id="1" xr3:uid="{3C05E597-F8D8-43DC-A11D-8E2B2AE5400F}" name="level"/>
    <tableColumn id="2" xr3:uid="{CFA258CD-0A70-4B74-B82E-9007AFCE4517}" name="book" dataDxfId="1183">
      <calculatedColumnFormula>COUNTIFS(Scenario3[winner1],"oracle",Scenario3[winner1-pw],OracleEquipScenario3[[#This Row],[level]])+COUNTIFS(Scenario3[loser1],"oracle",Scenario3[loser1-pw],OracleEquipScenario3[[#This Row],[level]])+COUNTIFS(Scenario3[loser2],"oracle",Scenario3[loser2-pw],OracleEquipScenario3[[#This Row],[level]])</calculatedColumnFormula>
    </tableColumn>
    <tableColumn id="4" xr3:uid="{6FBAF149-445D-41CC-ACEF-6B33E76A84D4}" name="chestpiece" dataDxfId="1182">
      <calculatedColumnFormula>COUNTIFS(Scenario3[winner1],"oracle",Scenario3[winner1-cp],OracleEquipScenario3[[#This Row],[level]])+COUNTIFS(Scenario3[loser1],"oracle",Scenario3[loser1-cp],OracleEquipScenario3[[#This Row],[level]])+COUNTIFS(Scenario3[loser2],"oracle",Scenario3[loser2-cp],OracleEquipScenario3[[#This Row],[level]])</calculatedColumnFormula>
    </tableColumn>
  </tableColumns>
  <tableStyleInfo name="TableStyleMedium2" showFirstColumn="0" showLastColumn="0" showRowStripes="1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0" xr:uid="{5F6D20C8-C241-401F-BEB7-96A7C572F04E}" name="OracleAbilities1Scenario4" displayName="OracleAbilities1Scenario4" ref="K86:O89" totalsRowShown="0">
  <autoFilter ref="K86:O89" xr:uid="{5F6D20C8-C241-401F-BEB7-96A7C572F04E}"/>
  <tableColumns count="5">
    <tableColumn id="2" xr3:uid="{708C0A4C-4F82-4CDD-BC21-339F46502AE6}" name="ability"/>
    <tableColumn id="6" xr3:uid="{72B5F777-3A0C-46E9-A6D4-3BDA27B78BE6}" name="takes" dataDxfId="1181">
      <calculatedColumnFormula>COUNTIF(Scenario4[winner1-ability1],OracleAbilities1Scenario4[[#This Row],[ability]])+COUNTIF(Scenario4[loser1-ability1],OracleAbilities1Scenario4[[#This Row],[ability]])+COUNTIF(Scenario4[loser2-ability1],OracleAbilities1Scenario4[[#This Row],[ability]])+COUNTIF(Scenario4[loser3-ability1],OracleAbilities1Scenario4[[#This Row],[ability]])</calculatedColumnFormula>
    </tableColumn>
    <tableColumn id="4" xr3:uid="{B240DD15-C435-47EC-9DBE-7E367FF4A7BB}" name="wins" dataDxfId="1180">
      <calculatedColumnFormula>COUNTIF(Scenario4[winner1-ability1],OracleAbilities1Scenario4[[#This Row],[ability]])</calculatedColumnFormula>
    </tableColumn>
    <tableColumn id="5" xr3:uid="{20962A48-FDB1-4433-AD85-6B419B89A67F}" name="battles-take-rate" dataDxfId="1179">
      <calculatedColumnFormula>IF(SUM(OracleAbilities1Scenario4[[#This Row],[takes]]) &gt; 0,OracleAbilities1Scenario4[[#This Row],[takes]]/SUM(OracleAbilities1Scenario4[takes]),0)</calculatedColumnFormula>
    </tableColumn>
    <tableColumn id="7" xr3:uid="{12651168-E777-4E13-9648-DE3567659801}" name="take-win-rate" dataDxfId="1178">
      <calculatedColumnFormula>IF(OracleAbilities1Scenario4[[#This Row],[takes]]&gt;0,OracleAbilities1Scenario4[[#This Row],[wins]]/OracleAbilities1Scenario4[[#This Row],[takes]],0)</calculatedColumnFormula>
    </tableColumn>
  </tableColumns>
  <tableStyleInfo name="TableStyleMedium2" showFirstColumn="0" showLastColumn="0" showRowStripes="1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1" xr:uid="{9CBCA75D-40C9-4453-8D95-CA8BB6D60F0F}" name="OracleAbilities2Scenario4" displayName="OracleAbilities2Scenario4" ref="K91:O94" totalsRowShown="0" headerRowDxfId="1177" headerRowBorderDxfId="1176" tableBorderDxfId="1175" totalsRowBorderDxfId="1174">
  <autoFilter ref="K91:O94" xr:uid="{9CBCA75D-40C9-4453-8D95-CA8BB6D60F0F}"/>
  <tableColumns count="5">
    <tableColumn id="1" xr3:uid="{2129D5C0-01E3-46BB-BD9D-62611B0E0C73}" name="ability"/>
    <tableColumn id="2" xr3:uid="{A09FABEC-2E30-4806-A0B4-33B4B6BD05B8}" name="takes" dataDxfId="1173">
      <calculatedColumnFormula>COUNTIF(Scenario4[winner1-ability2],OracleAbilities2Scenario4[[#This Row],[ability]])+COUNTIF(Scenario4[loser1-ability2],OracleAbilities2Scenario4[[#This Row],[ability]])+COUNTIF(Scenario4[loser2-ability2],OracleAbilities2Scenario4[[#This Row],[ability]])+COUNTIF(Scenario4[loser3-ability2],OracleAbilities2Scenario4[[#This Row],[ability]])</calculatedColumnFormula>
    </tableColumn>
    <tableColumn id="3" xr3:uid="{3EADDD9D-251C-400C-B51F-DFBF49CF4B88}" name="wins" dataDxfId="1172">
      <calculatedColumnFormula>COUNTIF(Scenario4[winner1-ability2],OracleAbilities2Scenario4[[#This Row],[ability]])</calculatedColumnFormula>
    </tableColumn>
    <tableColumn id="4" xr3:uid="{E158F215-350E-4C9E-8771-BFA9C4D2CF70}" name="battles-take-rate" dataDxfId="1171">
      <calculatedColumnFormula>IF(SUM(OracleAbilities2Scenario4[[#This Row],[takes]]) &gt; 0,OracleAbilities2Scenario4[[#This Row],[takes]]/SUM(OracleAbilities2Scenario4[takes]),0)</calculatedColumnFormula>
    </tableColumn>
    <tableColumn id="5" xr3:uid="{4B6F1435-B929-41F8-9C58-B8E5DF72C55F}" name="take-win-rate" dataDxfId="1170">
      <calculatedColumnFormula>IF(OracleAbilities2Scenario4[[#This Row],[takes]]&gt;0,OracleAbilities2Scenario4[[#This Row],[wins]]/OracleAbilities2Scenario4[[#This Row],[takes]],0)</calculatedColumnFormula>
    </tableColumn>
  </tableColumns>
  <tableStyleInfo name="TableStyleMedium2" showFirstColumn="0" showLastColumn="0" showRowStripes="1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2" xr:uid="{613BF204-36A0-4483-A1A3-C4B283C74B69}" name="OracleAbilities3Scenario4" displayName="OracleAbilities3Scenario4" ref="K96:O99" totalsRowShown="0" headerRowDxfId="1169" headerRowBorderDxfId="1168" tableBorderDxfId="1167" totalsRowBorderDxfId="1166">
  <autoFilter ref="K96:O99" xr:uid="{613BF204-36A0-4483-A1A3-C4B283C74B69}"/>
  <tableColumns count="5">
    <tableColumn id="1" xr3:uid="{43E966FB-3186-4297-AE58-0F42678BEA4A}" name="ability"/>
    <tableColumn id="2" xr3:uid="{658BA9AE-E442-4DAE-A6FD-C40498930E1B}" name="takes" dataDxfId="1165">
      <calculatedColumnFormula>COUNTIF(Scenario4[winner1-ability3],OracleAbilities3Scenario4[[#This Row],[ability]])+COUNTIF(Scenario4[loser1-ability3],OracleAbilities3Scenario4[[#This Row],[ability]])+COUNTIF(Scenario4[loser2-ability3],OracleAbilities3Scenario4[[#This Row],[ability]])+COUNTIF(Scenario4[loser3-ability3],OracleAbilities3Scenario4[[#This Row],[ability]])</calculatedColumnFormula>
    </tableColumn>
    <tableColumn id="3" xr3:uid="{BE83A7E2-809B-4939-916F-6CB60941E44E}" name="wins" dataDxfId="1164">
      <calculatedColumnFormula>COUNTIF(Scenario4[winner1-ability3],OracleAbilities3Scenario4[[#This Row],[ability]])</calculatedColumnFormula>
    </tableColumn>
    <tableColumn id="4" xr3:uid="{545DD3BB-A8B7-4278-B9E0-8B99F4DA3A2D}" name="battles-take-rate" dataDxfId="1163">
      <calculatedColumnFormula>IF(SUM(OracleAbilities3Scenario4[[#This Row],[takes]]) &gt; 0,OracleAbilities3Scenario4[[#This Row],[takes]]/SUM(OracleAbilities3Scenario4[takes]),0)</calculatedColumnFormula>
    </tableColumn>
    <tableColumn id="5" xr3:uid="{57DC7B7A-7B24-4EA9-94BC-B1C95221DE37}" name="take-win-rate" dataDxfId="1162">
      <calculatedColumnFormula>IF(OracleAbilities3Scenario4[[#This Row],[takes]]&gt;0,OracleAbilities3Scenario4[[#This Row],[wins]]/OracleAbilities3Scenario4[[#This Row],[takes]],0)</calculatedColumnFormula>
    </tableColumn>
  </tableColumns>
  <tableStyleInfo name="TableStyleMedium2" showFirstColumn="0" showLastColumn="0" showRowStripes="1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3" xr:uid="{A90B60DF-6D5E-424F-AC92-0501EE8D54C9}" name="OracleAbilities4Scenario4" displayName="OracleAbilities4Scenario4" ref="K101:O104" totalsRowShown="0" headerRowDxfId="1161" headerRowBorderDxfId="1160" tableBorderDxfId="1159" totalsRowBorderDxfId="1158">
  <autoFilter ref="K101:O104" xr:uid="{A90B60DF-6D5E-424F-AC92-0501EE8D54C9}"/>
  <tableColumns count="5">
    <tableColumn id="1" xr3:uid="{2BCBEE41-2EFE-491D-9797-7EF335F79D9B}" name="ability" dataDxfId="1157"/>
    <tableColumn id="2" xr3:uid="{DF0F6ED7-41ED-40AF-884D-0FAA02427295}" name="takes" dataDxfId="1156">
      <calculatedColumnFormula>COUNTIF(Scenario4[winner1-ability4],OracleAbilities4Scenario4[[#This Row],[ability]])+COUNTIF(Scenario4[loser1-ability4],OracleAbilities4Scenario4[[#This Row],[ability]])+COUNTIF(Scenario4[loser2-ability4],OracleAbilities4Scenario4[[#This Row],[ability]])+COUNTIF(Scenario4[loser3-ability4],OracleAbilities4Scenario4[[#This Row],[ability]])</calculatedColumnFormula>
    </tableColumn>
    <tableColumn id="3" xr3:uid="{84DD486D-1D63-4D1B-B912-7F17B75F3BCB}" name="wins" dataDxfId="1155">
      <calculatedColumnFormula>COUNTIF(Scenario4[winner1-ability4],OracleAbilities4Scenario4[[#This Row],[ability]])</calculatedColumnFormula>
    </tableColumn>
    <tableColumn id="4" xr3:uid="{0241E110-A31B-4B51-AEEF-C37D5902AA27}" name="battles-take-rate" dataDxfId="1154">
      <calculatedColumnFormula>IF(SUM(OracleAbilities4Scenario4[[#This Row],[takes]]) &gt; 0,OracleAbilities4Scenario4[[#This Row],[takes]]/SUM(OracleAbilities4Scenario4[takes]),0)</calculatedColumnFormula>
    </tableColumn>
    <tableColumn id="5" xr3:uid="{F032DBEC-FCE5-4FBD-B176-C8897006C17C}" name="take-win-rate" dataDxfId="1153">
      <calculatedColumnFormula>IF(OracleAbilities4Scenario4[[#This Row],[takes]]&gt;0,OracleAbilities4Scenario4[[#This Row],[wins]]/OracleAbilities4Scenario4[[#This Row],[takes]],0)</calculatedColumnFormula>
    </tableColumn>
  </tableColumns>
  <tableStyleInfo name="TableStyleMedium2" showFirstColumn="0" showLastColumn="0" showRowStripes="1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4" xr:uid="{82C7F14F-256B-462E-A203-F7EFCA830C23}" name="OracleEquipScenario3245" displayName="OracleEquipScenario3245" ref="Q86:S89" totalsRowShown="0">
  <autoFilter ref="Q86:S89" xr:uid="{82C7F14F-256B-462E-A203-F7EFCA830C23}"/>
  <tableColumns count="3">
    <tableColumn id="1" xr3:uid="{4159A26F-1B9B-4C04-B9DC-F9F32B68F0EF}" name="level"/>
    <tableColumn id="2" xr3:uid="{577197E6-AEF2-4761-83C3-DA13AE8AC138}" name="book" dataDxfId="1152">
      <calculatedColumnFormula>COUNTIFS(Scenario4[winner1],"oracle",Scenario4[winner1-pw],OracleEquipScenario3245[[#This Row],[level]])+COUNTIFS(Scenario4[loser1],"oracle",Scenario4[loser1-pw],OracleEquipScenario3245[[#This Row],[level]])+COUNTIFS(Scenario4[loser2],"oracle",Scenario4[loser2-pw],OracleEquipScenario3245[[#This Row],[level]])+COUNTIFS(Scenario4[loser3],"oracle",Scenario4[loser3-pw],OracleEquipScenario3245[[#This Row],[level]])</calculatedColumnFormula>
    </tableColumn>
    <tableColumn id="4" xr3:uid="{324B61E4-CA6E-4D2E-8704-6773A5B72B58}" name="chestpiece" dataDxfId="1151">
      <calculatedColumnFormula>COUNTIFS(Scenario4[winner1],"oracle",Scenario4[winner1-cp],OracleEquipScenario3245[[#This Row],[level]])+COUNTIFS(Scenario4[loser1],"oracle",Scenario4[loser1-cp],OracleEquipScenario3245[[#This Row],[level]])+COUNTIFS(Scenario4[loser2],"oracle",Scenario4[loser2-cp],OracleEquipScenario3245[[#This Row],[level]])+COUNTIFS(Scenario4[loser3],"oracle",Scenario4[loser3-cp],OracleEquipScenario3245[[#This Row],[level]])</calculatedColumnFormula>
    </tableColumn>
  </tableColumns>
  <tableStyleInfo name="TableStyleMedium2" showFirstColumn="0" showLastColumn="0" showRowStripes="1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8" xr:uid="{382B6DCA-AA1C-49E2-8164-0DFF283A5277}" name="OracleAbilities1Scenario5" displayName="OracleAbilities1Scenario5" ref="K107:O110" totalsRowShown="0">
  <autoFilter ref="K107:O110" xr:uid="{382B6DCA-AA1C-49E2-8164-0DFF283A5277}"/>
  <tableColumns count="5">
    <tableColumn id="2" xr3:uid="{3086C691-41AD-4DFE-8F4A-3FA16DA18381}" name="ability"/>
    <tableColumn id="6" xr3:uid="{7CE4C157-E994-4768-B01E-931A38DF824D}" name="takes" dataDxfId="1150">
      <calculatedColumnFormula>COUNTIF(Scenario5[winner1-ability1],OracleAbilities1Scenario5[[#This Row],[ability]])+COUNTIF(Scenario5[winner2-ability1],OracleAbilities1Scenario5[[#This Row],[ability]])+COUNTIF(Scenario5[loser1-ability1],OracleAbilities1Scenario5[[#This Row],[ability]])+COUNTIF(Scenario5[loser2-ability1],OracleAbilities1Scenario5[[#This Row],[ability]])</calculatedColumnFormula>
    </tableColumn>
    <tableColumn id="4" xr3:uid="{AABC55EF-E073-47C8-AE07-213442B6E1B3}" name="wins" dataDxfId="1149">
      <calculatedColumnFormula>COUNTIF(Scenario5[winner1-ability1],OracleAbilities1Scenario5[[#This Row],[ability]])+COUNTIF(Scenario5[winner2-ability1],OracleAbilities1Scenario5[[#This Row],[ability]])</calculatedColumnFormula>
    </tableColumn>
    <tableColumn id="5" xr3:uid="{77F835AC-BC74-4F53-98B8-CFBB52FB5DF5}" name="battles-take-rate" dataDxfId="1148">
      <calculatedColumnFormula>IF(SUM(OracleAbilities1Scenario5[[#This Row],[takes]]) &gt; 0,OracleAbilities1Scenario5[[#This Row],[takes]]/SUM(OracleAbilities1Scenario5[takes]),0)</calculatedColumnFormula>
    </tableColumn>
    <tableColumn id="7" xr3:uid="{00ED36EE-C772-45C6-847F-D0205FB4DA80}" name="take-win-rate" dataDxfId="1147">
      <calculatedColumnFormula>IF(OracleAbilities1Scenario5[[#This Row],[takes]]&gt;0,OracleAbilities1Scenario5[[#This Row],[wins]]/OracleAbilities1Scenario5[[#This Row],[takes]],0)</calculatedColumnFormula>
    </tableColumn>
  </tableColumns>
  <tableStyleInfo name="TableStyleMedium2" showFirstColumn="0" showLastColumn="0" showRowStripes="1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9" xr:uid="{AFA59802-CE94-4098-9B1F-93689DD97FF2}" name="OracleAbilities2Scenario5" displayName="OracleAbilities2Scenario5" ref="K112:O115" totalsRowShown="0" headerRowDxfId="1146" headerRowBorderDxfId="1145" tableBorderDxfId="1144" totalsRowBorderDxfId="1143">
  <autoFilter ref="K112:O115" xr:uid="{AFA59802-CE94-4098-9B1F-93689DD97FF2}"/>
  <tableColumns count="5">
    <tableColumn id="1" xr3:uid="{6CCC3D60-ACFE-4D67-84F1-B1DA8D962A07}" name="ability"/>
    <tableColumn id="2" xr3:uid="{979C2E3D-6EB7-4FA1-BF96-F5D7A795F17E}" name="takes" dataDxfId="1142">
      <calculatedColumnFormula>COUNTIF(Scenario5[winner1-ability2],OracleAbilities2Scenario5[[#This Row],[ability]])+COUNTIF(Scenario5[winner2-ability2],OracleAbilities2Scenario5[[#This Row],[ability]])+COUNTIF(Scenario5[loser1-ability2],OracleAbilities2Scenario5[[#This Row],[ability]])+COUNTIF(Scenario5[loser2-ability2],OracleAbilities2Scenario5[[#This Row],[ability]])</calculatedColumnFormula>
    </tableColumn>
    <tableColumn id="3" xr3:uid="{D222C169-97C6-4197-914D-5FB6BF87172F}" name="wins" dataDxfId="1141">
      <calculatedColumnFormula>COUNTIF(Scenario5[winner1-ability2],OracleAbilities2Scenario5[[#This Row],[ability]])+COUNTIF(Scenario5[winner2-ability2],OracleAbilities2Scenario5[[#This Row],[ability]])</calculatedColumnFormula>
    </tableColumn>
    <tableColumn id="4" xr3:uid="{729EDE0D-9F83-4FEF-A831-E7C01991C3FF}" name="battles-take-rate" dataDxfId="1140">
      <calculatedColumnFormula>IF(SUM(OracleAbilities2Scenario5[[#This Row],[takes]]) &gt; 0,OracleAbilities2Scenario5[[#This Row],[takes]]/SUM(OracleAbilities2Scenario5[takes]),0)</calculatedColumnFormula>
    </tableColumn>
    <tableColumn id="5" xr3:uid="{1E255BA5-A6DE-445E-842E-6DB233C926DD}" name="take-win-rate" dataDxfId="1139">
      <calculatedColumnFormula>IF(OracleAbilities2Scenario5[[#This Row],[takes]]&gt;0,OracleAbilities2Scenario5[[#This Row],[wins]]/OracleAbilities2Scenario5[[#This Row],[takes]],0)</calculatedColumnFormula>
    </tableColumn>
  </tableColumns>
  <tableStyleInfo name="TableStyleMedium2" showFirstColumn="0" showLastColumn="0" showRowStripes="1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0" xr:uid="{3D662C75-234C-481E-8FAC-1B9BD71461FC}" name="OracleAbilities3Scenario5" displayName="OracleAbilities3Scenario5" ref="K117:O120" totalsRowShown="0" headerRowDxfId="1138" headerRowBorderDxfId="1137" tableBorderDxfId="1136" totalsRowBorderDxfId="1135">
  <autoFilter ref="K117:O120" xr:uid="{3D662C75-234C-481E-8FAC-1B9BD71461FC}"/>
  <tableColumns count="5">
    <tableColumn id="1" xr3:uid="{4291F6ED-6191-4140-882D-7E81ECC32D0C}" name="ability"/>
    <tableColumn id="2" xr3:uid="{E47283EB-45CA-4500-B9F5-9C4027135CBE}" name="takes" dataDxfId="1134">
      <calculatedColumnFormula>COUNTIF(Scenario5[winner1-ability3],OracleAbilities3Scenario5[[#This Row],[ability]])+COUNTIF(Scenario5[winner2-ability3],OracleAbilities3Scenario5[[#This Row],[ability]])+COUNTIF(Scenario5[loser1-ability3],OracleAbilities3Scenario5[[#This Row],[ability]])+COUNTIF(Scenario5[loser2-ability3],OracleAbilities3Scenario5[[#This Row],[ability]])</calculatedColumnFormula>
    </tableColumn>
    <tableColumn id="3" xr3:uid="{34AC17AE-3919-4636-9597-B0786C785A49}" name="wins" dataDxfId="1133">
      <calculatedColumnFormula>COUNTIF(Scenario5[winner1-ability3],OracleAbilities3Scenario5[[#This Row],[ability]])+COUNTIF(Scenario5[winner2-ability3],OracleAbilities3Scenario5[[#This Row],[ability]])</calculatedColumnFormula>
    </tableColumn>
    <tableColumn id="4" xr3:uid="{D25495EF-2152-4E19-B1FC-F75CC4333976}" name="battles-take-rate" dataDxfId="1132">
      <calculatedColumnFormula>IF(SUM(OracleAbilities3Scenario5[[#This Row],[takes]]) &gt; 0,OracleAbilities3Scenario5[[#This Row],[takes]]/SUM(OracleAbilities3Scenario5[takes]),0)</calculatedColumnFormula>
    </tableColumn>
    <tableColumn id="5" xr3:uid="{77B24E67-CFFB-48D5-B02A-9BCD9F3219F7}" name="take-win-rate" dataDxfId="1131">
      <calculatedColumnFormula>IF(OracleAbilities3Scenario5[[#This Row],[takes]]&gt;0,OracleAbilities3Scenario5[[#This Row],[wins]]/OracleAbilities3Scenario5[[#This Row],[takes]],0)</calculatedColumnFormula>
    </tableColumn>
  </tableColumns>
  <tableStyleInfo name="TableStyleMedium2" showFirstColumn="0" showLastColumn="0" showRowStripes="1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1" xr:uid="{E2E1629C-B0D9-466D-BD66-8E394B74E384}" name="OracleAbilities4Scenario5" displayName="OracleAbilities4Scenario5" ref="K122:O125" totalsRowShown="0" headerRowDxfId="1130" headerRowBorderDxfId="1129" tableBorderDxfId="1128" totalsRowBorderDxfId="1127">
  <autoFilter ref="K122:O125" xr:uid="{E2E1629C-B0D9-466D-BD66-8E394B74E384}"/>
  <tableColumns count="5">
    <tableColumn id="1" xr3:uid="{AA533A29-20C2-4A65-AC96-65CCA3457C7E}" name="ability" dataDxfId="1126"/>
    <tableColumn id="2" xr3:uid="{8EF487D6-4412-4F93-A267-6247F705D69A}" name="takes" dataDxfId="1125">
      <calculatedColumnFormula>COUNTIF(Scenario5[winner1-ability4],OracleAbilities4Scenario5[[#This Row],[ability]])+COUNTIF(Scenario5[winner2-ability4],OracleAbilities4Scenario5[[#This Row],[ability]])+COUNTIF(Scenario5[loser1-ability4],OracleAbilities4Scenario5[[#This Row],[ability]])+COUNTIF(Scenario5[loser2-ability4],OracleAbilities4Scenario5[[#This Row],[ability]])</calculatedColumnFormula>
    </tableColumn>
    <tableColumn id="3" xr3:uid="{E32A4EE1-63A5-4CB0-9FEC-8FCB72076D90}" name="wins" dataDxfId="1124">
      <calculatedColumnFormula>COUNTIF(Scenario5[winner1-ability4],OracleAbilities4Scenario5[[#This Row],[ability]])+COUNTIF(Scenario5[winner2-ability4],OracleAbilities4Scenario5[[#This Row],[ability]])</calculatedColumnFormula>
    </tableColumn>
    <tableColumn id="4" xr3:uid="{66544E1C-2D7E-475E-80A7-993B83D90C10}" name="battles-take-rate" dataDxfId="1123">
      <calculatedColumnFormula>IF(SUM(OracleAbilities4Scenario5[[#This Row],[takes]]) &gt; 0,OracleAbilities4Scenario5[[#This Row],[takes]]/SUM(OracleAbilities4Scenario5[takes]),0)</calculatedColumnFormula>
    </tableColumn>
    <tableColumn id="5" xr3:uid="{6886BA07-B2AF-4088-AA1A-A32897B04569}" name="take-win-rate" dataDxfId="1122">
      <calculatedColumnFormula>IF(OracleAbilities4Scenario5[[#This Row],[takes]]&gt;0,OracleAbilities4Scenario5[[#This Row],[wins]]/OracleAbilities4Scenario5[[#This Row],[takes]],0)</calculatedColumnFormula>
    </tableColumn>
  </tableColumns>
  <tableStyleInfo name="TableStyleMedium2" showFirstColumn="0" showLastColumn="0" showRowStripes="1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2" xr:uid="{D751726C-57BE-41B0-8D49-0619A405DA9E}" name="OracleEquipScenario5" displayName="OracleEquipScenario5" ref="Q107:S110" totalsRowShown="0">
  <autoFilter ref="Q107:S110" xr:uid="{D751726C-57BE-41B0-8D49-0619A405DA9E}"/>
  <tableColumns count="3">
    <tableColumn id="1" xr3:uid="{068261AA-4E3E-44C8-80A8-3890ED8830E6}" name="level"/>
    <tableColumn id="2" xr3:uid="{5B49B04F-4447-4006-821D-ACF271C54B3A}" name="book" dataDxfId="1121">
      <calculatedColumnFormula>COUNTIFS(Scenario5[winner1],"oracle",Scenario5[winner1-pw],OracleEquipScenario5[[#This Row],[level]])+COUNTIFS(Scenario5[winner2],"oracle",Scenario5[winner2-pw],OracleEquipScenario5[[#This Row],[level]])+COUNTIFS(Scenario5[loser1],"oracle",Scenario5[loser1-pw],OracleEquipScenario5[[#This Row],[level]])+COUNTIFS(Scenario5[loser2],"oracle",Scenario5[loser2-pw],OracleEquipScenario5[[#This Row],[level]])</calculatedColumnFormula>
    </tableColumn>
    <tableColumn id="4" xr3:uid="{4962AD01-941B-472F-A57C-5D27E0809FDD}" name="chestpiece" dataDxfId="1120">
      <calculatedColumnFormula>COUNTIFS(Scenario5[winner1],"oracle",Scenario5[winner1-cp],OracleEquipScenario5[[#This Row],[level]])+COUNTIFS(Scenario5[winner2],"oracle",Scenario5[winner2-cp],OracleEquipScenario5[[#This Row],[level]])+COUNTIFS(Scenario5[loser1],"oracle",Scenario5[loser1-cp],OracleEquipScenario5[[#This Row],[level]])+COUNTIFS(Scenario5[loser2],"oracle",Scenario5[loser2-cp],OracleEquipScenario5[[#This Row],[level]])</calculatedColumnFormula>
    </tableColumn>
  </tableColumns>
  <tableStyleInfo name="TableStyleMedium2" showFirstColumn="0" showLastColumn="0" showRowStripes="1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C577CC2C-6991-46D5-8C33-F3DDFEDBCAC7}" name="AvatarAbilities1" displayName="AvatarAbilities1" ref="A2:E5" totalsRowShown="0">
  <autoFilter ref="A2:E5" xr:uid="{DCA301F1-E0F8-4700-BEE5-2688AF43F23A}"/>
  <tableColumns count="5">
    <tableColumn id="2" xr3:uid="{C7A7C11A-82C5-408B-85BC-AE5B2EFDF17F}" name="ability"/>
    <tableColumn id="6" xr3:uid="{17F0BA8D-98AF-4409-931C-38D7A9985731}" name="takes" dataDxfId="1119">
      <calculatedColumnFormula>L3+L24+L45+L66+L87+L108</calculatedColumnFormula>
    </tableColumn>
    <tableColumn id="4" xr3:uid="{35DA6B5B-7FC1-492C-B2D0-6F511F16DAD4}" name="wins" dataDxfId="1118">
      <calculatedColumnFormula>M3+M24+M45+M66+M87+M108</calculatedColumnFormula>
    </tableColumn>
    <tableColumn id="5" xr3:uid="{FAF7873E-FAE0-4F3C-BAB5-7E4AC3926D8C}" name="battles-take-rate" dataDxfId="1117">
      <calculatedColumnFormula>IF(SUM(AvatarAbilities1[[#This Row],[takes]]) &gt; 0,AvatarAbilities1[[#This Row],[takes]]/SUM(AvatarAbilities1[takes]),0)</calculatedColumnFormula>
    </tableColumn>
    <tableColumn id="7" xr3:uid="{76FD7554-C371-4098-9E7B-77AA8CAAFD36}" name="take-win-rate" dataDxfId="1116">
      <calculatedColumnFormula>IF(AvatarAbilities1[[#This Row],[takes]]&gt;0,AvatarAbilities1[[#This Row],[wins]]/AvatarAbilities1[[#This Row],[takes]],0)</calculatedColumnFormula>
    </tableColumn>
  </tableColumns>
  <tableStyleInfo name="TableStyleMedium2" showFirstColumn="0" showLastColumn="0" showRowStripes="1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A98E8529-A828-44CC-BCCF-7611C687774C}" name="AvatarAbilities2" displayName="AvatarAbilities2" ref="A7:E10" totalsRowShown="0" headerRowDxfId="1115" headerRowBorderDxfId="1114" tableBorderDxfId="1113" totalsRowBorderDxfId="1112">
  <autoFilter ref="A7:E10" xr:uid="{8ADAEE31-4DDA-4DF2-9EAD-04808D53FFC1}"/>
  <tableColumns count="5">
    <tableColumn id="1" xr3:uid="{8607244A-CF3E-4FC8-8ED9-93CDC83CDD6A}" name="ability"/>
    <tableColumn id="2" xr3:uid="{BB4C0323-A714-40F3-8B5C-9FF7DF92C2FB}" name="takes" dataDxfId="1111">
      <calculatedColumnFormula>L8+L29+L50+L71+L92+L113</calculatedColumnFormula>
    </tableColumn>
    <tableColumn id="3" xr3:uid="{A06DED1F-7374-4755-8A38-527DEBEFD3C6}" name="wins" dataDxfId="1110">
      <calculatedColumnFormula>M8+M29+M50+M71+M92+M113</calculatedColumnFormula>
    </tableColumn>
    <tableColumn id="4" xr3:uid="{C56FD638-0548-4732-8F67-350D170E46E5}" name="battles-take-rate" dataDxfId="1109">
      <calculatedColumnFormula>IF(SUM(AvatarAbilities2[[#This Row],[takes]]) &gt; 0,AvatarAbilities2[[#This Row],[takes]]/SUM(AvatarAbilities2[takes]),0)</calculatedColumnFormula>
    </tableColumn>
    <tableColumn id="5" xr3:uid="{70CCE564-3424-4F67-A1CD-74B6F32BD9D3}" name="take-win-rate" dataDxfId="1108">
      <calculatedColumnFormula>IF(AvatarAbilities2[[#This Row],[takes]]&gt;0,AvatarAbilities2[[#This Row],[wins]]/AvatarAbilities2[[#This Row],[takes]],0)</calculatedColumnFormula>
    </tableColumn>
  </tableColumns>
  <tableStyleInfo name="TableStyleMedium2" showFirstColumn="0" showLastColumn="0" showRowStripes="1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17759D5E-4E16-4912-94E2-479524348370}" name="AvatarAbilities3" displayName="AvatarAbilities3" ref="A12:E15" totalsRowShown="0" headerRowDxfId="1107" headerRowBorderDxfId="1106" tableBorderDxfId="1105" totalsRowBorderDxfId="1104">
  <autoFilter ref="A12:E15" xr:uid="{1B0EA3CA-FA8E-4345-B52C-471D5C94AD38}"/>
  <tableColumns count="5">
    <tableColumn id="1" xr3:uid="{F3DC1787-87BB-48BD-9502-48D340195128}" name="ability"/>
    <tableColumn id="2" xr3:uid="{2B68E5E0-B7F8-47E6-8FFF-435D8FCB0348}" name="takes" dataDxfId="1103">
      <calculatedColumnFormula>L13+L34+L55+L76+L97+L118</calculatedColumnFormula>
    </tableColumn>
    <tableColumn id="3" xr3:uid="{150079D1-0272-4CFB-8282-44464105457B}" name="wins" dataDxfId="1102">
      <calculatedColumnFormula>M13+M34+M55+M76+M97+M118</calculatedColumnFormula>
    </tableColumn>
    <tableColumn id="4" xr3:uid="{65FEB6D5-A05E-4FC8-B85E-99DFC519570C}" name="battles-take-rate" dataDxfId="1101">
      <calculatedColumnFormula>IF(SUM(AvatarAbilities3[[#This Row],[takes]]) &gt; 0,AvatarAbilities3[[#This Row],[takes]]/SUM(AvatarAbilities3[takes]),0)</calculatedColumnFormula>
    </tableColumn>
    <tableColumn id="5" xr3:uid="{BFDDC20C-1793-48E8-8F5E-2D35DFF3D763}" name="take-win-rate" dataDxfId="1100">
      <calculatedColumnFormula>IF(AvatarAbilities3[[#This Row],[takes]]&gt;0,AvatarAbilities3[[#This Row],[wins]]/AvatarAbilities3[[#This Row],[takes]],0)</calculatedColumnFormula>
    </tableColumn>
  </tableColumns>
  <tableStyleInfo name="TableStyleMedium2" showFirstColumn="0" showLastColumn="0" showRowStripes="1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62916220-2B11-4EF0-BBF6-AAB24EBE7208}" name="AvatarAbilities4" displayName="AvatarAbilities4" ref="A17:E20" totalsRowShown="0" headerRowDxfId="1099" headerRowBorderDxfId="1098" tableBorderDxfId="1097" totalsRowBorderDxfId="1096">
  <autoFilter ref="A17:E20" xr:uid="{2AADA4A0-2F4A-4009-8ECF-0BECA693390C}"/>
  <tableColumns count="5">
    <tableColumn id="1" xr3:uid="{F38332B4-A633-4A53-A294-B990E53A9E9E}" name="ability" dataDxfId="1095"/>
    <tableColumn id="2" xr3:uid="{A659B804-FBC0-4B86-B0D0-259516FAF254}" name="takes" dataDxfId="1094">
      <calculatedColumnFormula>L18+L39+L60+L81+L102+L123</calculatedColumnFormula>
    </tableColumn>
    <tableColumn id="3" xr3:uid="{4DFB6D75-6E90-4DA5-BE74-537E8812340F}" name="wins" dataDxfId="1093">
      <calculatedColumnFormula>M18+M39+M60+M81+M102+M123</calculatedColumnFormula>
    </tableColumn>
    <tableColumn id="4" xr3:uid="{D1650154-5016-46B0-8BD5-16233AA11280}" name="battles-take-rate" dataDxfId="1092">
      <calculatedColumnFormula>IF(SUM(AvatarAbilities4[[#This Row],[takes]]) &gt; 0,AvatarAbilities4[[#This Row],[takes]]/SUM(AvatarAbilities4[takes]),0)</calculatedColumnFormula>
    </tableColumn>
    <tableColumn id="5" xr3:uid="{CE4F76AA-B6AF-4708-BBCF-2C74CB28DDA1}" name="take-win-rate" dataDxfId="1091">
      <calculatedColumnFormula>IF(AvatarAbilities4[[#This Row],[takes]]&gt;0,AvatarAbilities4[[#This Row],[wins]]/AvatarAbilities4[[#This Row],[takes]],0)</calculatedColumnFormula>
    </tableColumn>
  </tableColumns>
  <tableStyleInfo name="TableStyleMedium2" showFirstColumn="0" showLastColumn="0" showRowStripes="1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3761BD6F-E846-4F42-9C6C-677EBD4886FB}" name="AvatarEquip" displayName="AvatarEquip" ref="G2:I5" totalsRowShown="0">
  <autoFilter ref="G2:I5" xr:uid="{C15024E5-2A00-4F8B-BBEB-0FE7A036BC54}"/>
  <tableColumns count="3">
    <tableColumn id="1" xr3:uid="{0C7E77F1-D230-484C-A178-4FA8C9CCDC14}" name="level"/>
    <tableColumn id="2" xr3:uid="{3A76F927-E306-4C2D-A0F4-21FD7385D9BC}" name="bracers" dataDxfId="1090">
      <calculatedColumnFormula>R3+R24+R45+R66+R87+R108</calculatedColumnFormula>
    </tableColumn>
    <tableColumn id="4" xr3:uid="{5D997E40-F727-46C7-B765-00166A875EA3}" name="chestpiece" dataDxfId="1089">
      <calculatedColumnFormula>S3+S24+S45+S66+S87+S108</calculatedColumnFormula>
    </tableColumn>
  </tableColumns>
  <tableStyleInfo name="TableStyleMedium2" showFirstColumn="0" showLastColumn="0" showRowStripes="1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92C023B2-9F30-4F36-BEAC-E515BF869369}" name="AvatarAbilities1Scenario0" displayName="AvatarAbilities1Scenario0" ref="K2:O5" totalsRowShown="0">
  <autoFilter ref="K2:O5" xr:uid="{4CDFB74F-734F-4444-929B-80D3797B5492}"/>
  <tableColumns count="5">
    <tableColumn id="2" xr3:uid="{7D2468B2-C853-4472-B374-D488E1B2C72B}" name="ability"/>
    <tableColumn id="6" xr3:uid="{9CD49603-F6C4-4C79-930D-EB2D5493D44F}" name="takes" dataDxfId="1088">
      <calculatedColumnFormula>COUNTIF(Scenario0[winner1-ability1],AvatarAbilities1Scenario0[[#This Row],[ability]])+COUNTIF(Scenario0[winner2-ability1],AvatarAbilities1Scenario0[[#This Row],[ability]])+COUNTIF(Scenario0[loser1-ability1],AvatarAbilities1Scenario0[[#This Row],[ability]])+COUNTIF(Scenario0[loser2-ability1],AvatarAbilities1Scenario0[[#This Row],[ability]])</calculatedColumnFormula>
    </tableColumn>
    <tableColumn id="4" xr3:uid="{971800F4-B868-471F-AFAD-136479820F79}" name="wins" dataDxfId="1087">
      <calculatedColumnFormula>COUNTIF(Scenario0[winner1-ability1],AvatarAbilities1Scenario0[[#This Row],[ability]])+COUNTIF(Scenario0[winner2-ability1],AvatarAbilities1Scenario0[[#This Row],[ability]])</calculatedColumnFormula>
    </tableColumn>
    <tableColumn id="5" xr3:uid="{87DF9CBB-9909-4D8B-9140-B186FB0F9EFF}" name="battles-take-rate" dataDxfId="1086">
      <calculatedColumnFormula>IF(SUM(AvatarAbilities1Scenario0[[#This Row],[takes]]) &gt; 0,AvatarAbilities1Scenario0[[#This Row],[takes]]/SUM(AvatarAbilities1Scenario0[takes]),0)</calculatedColumnFormula>
    </tableColumn>
    <tableColumn id="7" xr3:uid="{A302B612-611E-4880-8310-1064CD9DC616}" name="take-win-rate" dataDxfId="1085">
      <calculatedColumnFormula>IF(AvatarAbilities1Scenario0[[#This Row],[takes]]&gt;0,AvatarAbilities1Scenario0[[#This Row],[wins]]/AvatarAbilities1Scenario0[[#This Row],[takes]],0)</calculatedColumnFormula>
    </tableColumn>
  </tableColumns>
  <tableStyleInfo name="TableStyleMedium2" showFirstColumn="0" showLastColumn="0" showRowStripes="1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B3C1EA9E-4344-4798-ACE6-1A48B301C6F6}" name="AvatarAbilities2Scenario0" displayName="AvatarAbilities2Scenario0" ref="K7:O10" totalsRowShown="0" headerRowDxfId="1084" headerRowBorderDxfId="1083" tableBorderDxfId="1082" totalsRowBorderDxfId="1081">
  <autoFilter ref="K7:O10" xr:uid="{07F4368A-34C9-4286-BBA2-89F699718525}"/>
  <tableColumns count="5">
    <tableColumn id="1" xr3:uid="{E152017B-EC19-4C2E-B7CD-C9E223453682}" name="ability"/>
    <tableColumn id="2" xr3:uid="{CE429298-EB73-4055-A428-51902CC5A7DF}" name="takes" dataDxfId="1080">
      <calculatedColumnFormula>COUNTIF(Scenario0[winner1-ability2],AvatarAbilities2Scenario0[[#This Row],[ability]])+COUNTIF(Scenario0[winner2-ability2],AvatarAbilities2Scenario0[[#This Row],[ability]])+COUNTIF(Scenario0[loser1-ability2],AvatarAbilities2Scenario0[[#This Row],[ability]])+COUNTIF(Scenario0[loser2-ability2],AvatarAbilities2Scenario0[[#This Row],[ability]])</calculatedColumnFormula>
    </tableColumn>
    <tableColumn id="3" xr3:uid="{D53F4691-E45E-4958-9F45-DA2B5729BC78}" name="wins" dataDxfId="1079">
      <calculatedColumnFormula>COUNTIF(Scenario0[winner1-ability2],AvatarAbilities2Scenario0[[#This Row],[ability]])+COUNTIF(Scenario0[winner2-ability2],AvatarAbilities2Scenario0[[#This Row],[ability]])</calculatedColumnFormula>
    </tableColumn>
    <tableColumn id="4" xr3:uid="{668A3E83-3886-46A3-8386-61C8CF7AC2C9}" name="battles-take-rate" dataDxfId="1078">
      <calculatedColumnFormula>IF(SUM(AvatarAbilities2Scenario0[[#This Row],[takes]]) &gt; 0,AvatarAbilities2Scenario0[[#This Row],[takes]]/SUM(AvatarAbilities2Scenario0[takes]),0)</calculatedColumnFormula>
    </tableColumn>
    <tableColumn id="5" xr3:uid="{8B15AAFF-F7B2-4C8A-B25D-5399BABC8D7E}" name="take-win-rate" dataDxfId="1077">
      <calculatedColumnFormula>IF(AvatarAbilities2Scenario0[[#This Row],[takes]]&gt;0,AvatarAbilities2Scenario0[[#This Row],[wins]]/AvatarAbilities2Scenario0[[#This Row],[takes]],0)</calculatedColumnFormula>
    </tableColumn>
  </tableColumns>
  <tableStyleInfo name="TableStyleMedium2" showFirstColumn="0" showLastColumn="0" showRowStripes="1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8039D535-EF93-41B5-A239-C56DE92BF84B}" name="AvatarAbilities3Scenario0" displayName="AvatarAbilities3Scenario0" ref="K12:O15" totalsRowShown="0" headerRowDxfId="1076" headerRowBorderDxfId="1075" tableBorderDxfId="1074" totalsRowBorderDxfId="1073">
  <autoFilter ref="K12:O15" xr:uid="{E8520742-705B-4A78-A5FD-1F57726A369B}"/>
  <tableColumns count="5">
    <tableColumn id="1" xr3:uid="{8F3A52AD-E802-4254-A67E-50B10AAB2F87}" name="ability"/>
    <tableColumn id="2" xr3:uid="{39133143-CAC3-4E9F-B9DE-CD44A845EBAA}" name="takes" dataDxfId="1072">
      <calculatedColumnFormula>COUNTIF(Scenario0[winner1-ability3],AvatarAbilities3Scenario0[[#This Row],[ability]])+COUNTIF(Scenario0[winner2-ability3],AvatarAbilities3Scenario0[[#This Row],[ability]])+COUNTIF(Scenario0[loser1-ability3],AvatarAbilities3Scenario0[[#This Row],[ability]])+COUNTIF(Scenario0[loser2-ability3],AvatarAbilities3Scenario0[[#This Row],[ability]])</calculatedColumnFormula>
    </tableColumn>
    <tableColumn id="3" xr3:uid="{4EA14492-F9DD-4349-B116-256AD925D654}" name="wins" dataDxfId="1071">
      <calculatedColumnFormula>COUNTIF(Scenario0[winner1-ability3],AvatarAbilities3Scenario0[[#This Row],[ability]])+COUNTIF(Scenario0[winner2-ability3],AvatarAbilities3Scenario0[[#This Row],[ability]])</calculatedColumnFormula>
    </tableColumn>
    <tableColumn id="4" xr3:uid="{9DA7C7D6-5ACC-4241-A553-30DE424CBB6F}" name="battles-take-rate" dataDxfId="1070">
      <calculatedColumnFormula>IF(SUM(AvatarAbilities3Scenario0[[#This Row],[takes]]) &gt; 0,AvatarAbilities3Scenario0[[#This Row],[takes]]/SUM(AvatarAbilities3Scenario0[takes]),0)</calculatedColumnFormula>
    </tableColumn>
    <tableColumn id="5" xr3:uid="{5ED61962-5BDA-4F2F-B271-0BC16D0B4975}" name="take-win-rate" dataDxfId="1069">
      <calculatedColumnFormula>IF(AvatarAbilities3Scenario0[[#This Row],[takes]]&gt;0,AvatarAbilities3Scenario0[[#This Row],[wins]]/AvatarAbilities3Scenario0[[#This Row],[takes]],0)</calculatedColumnFormula>
    </tableColumn>
  </tableColumns>
  <tableStyleInfo name="TableStyleMedium2" showFirstColumn="0" showLastColumn="0" showRowStripes="1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6BED17D7-87E1-40DA-9D40-A6AF319DA096}" name="AvatarAbilities4Scenario0" displayName="AvatarAbilities4Scenario0" ref="K17:O20" totalsRowShown="0" headerRowDxfId="1068" headerRowBorderDxfId="1067" tableBorderDxfId="1066" totalsRowBorderDxfId="1065">
  <autoFilter ref="K17:O20" xr:uid="{01E0B516-A92C-45D4-946B-0FCF2F31D98A}"/>
  <tableColumns count="5">
    <tableColumn id="1" xr3:uid="{B1ECB730-0F58-4ABC-942D-CAE55E41CA9A}" name="ability" dataDxfId="1064"/>
    <tableColumn id="2" xr3:uid="{508F1330-F650-4934-B53E-5CF30E50850F}" name="takes" dataDxfId="1063">
      <calculatedColumnFormula>COUNTIF(Scenario0[winner1-ability4],AvatarAbilities4Scenario0[[#This Row],[ability]])+COUNTIF(Scenario0[winner2-ability4],AvatarAbilities4Scenario0[[#This Row],[ability]])+COUNTIF(Scenario0[loser1-ability4],AvatarAbilities4Scenario0[[#This Row],[ability]])+COUNTIF(Scenario0[loser2-ability4],AvatarAbilities4Scenario0[[#This Row],[ability]])</calculatedColumnFormula>
    </tableColumn>
    <tableColumn id="3" xr3:uid="{D23396D0-2E24-44B3-BD15-2067D0299920}" name="wins" dataDxfId="1062">
      <calculatedColumnFormula>COUNTIF(Scenario0[winner1-ability4],AvatarAbilities4Scenario0[[#This Row],[ability]])+COUNTIF(Scenario0[winner2-ability4],AvatarAbilities4Scenario0[[#This Row],[ability]])</calculatedColumnFormula>
    </tableColumn>
    <tableColumn id="4" xr3:uid="{69A2CAFF-D4F1-440B-973C-AB5B2FF1AFFE}" name="battles-take-rate" dataDxfId="1061">
      <calculatedColumnFormula>IF(SUM(AvatarAbilities4Scenario0[[#This Row],[takes]]) &gt; 0,AvatarAbilities4Scenario0[[#This Row],[takes]]/SUM(AvatarAbilities4Scenario0[takes]),0)</calculatedColumnFormula>
    </tableColumn>
    <tableColumn id="5" xr3:uid="{2B9284F3-C06B-46DA-AE81-A20A94CCAC93}" name="take-win-rate" dataDxfId="1060">
      <calculatedColumnFormula>IF(AvatarAbilities4Scenario0[[#This Row],[takes]]&gt;0,AvatarAbilities4Scenario0[[#This Row],[wins]]/AvatarAbilities4Scenario0[[#This Row],[takes]],0)</calculatedColumnFormula>
    </tableColumn>
  </tableColumns>
  <tableStyleInfo name="TableStyleMedium2" showFirstColumn="0" showLastColumn="0" showRowStripes="1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407E7D9E-A2C0-4598-B9D9-2559AA113827}" name="AvatarEquipScenario0" displayName="AvatarEquipScenario0" ref="Q2:S5" totalsRowShown="0">
  <autoFilter ref="Q2:S5" xr:uid="{E84D91C4-DFF3-43B9-932F-3FEFFBEA9FF1}"/>
  <tableColumns count="3">
    <tableColumn id="1" xr3:uid="{76B81254-22E9-41C9-9A2E-02C1596148F6}" name="level"/>
    <tableColumn id="2" xr3:uid="{E6274D16-BC2D-49E9-8B07-0EFC05A79A3B}" name="bracers" dataDxfId="1059">
      <calculatedColumnFormula>COUNTIFS(Scenario0[winner1],"avatar",Scenario0[winner1-pw],AvatarEquipScenario0[[#This Row],[level]])+COUNTIFS(Scenario0[winner2],"avatar",Scenario0[winner2-pw],AvatarEquipScenario0[[#This Row],[level]])+COUNTIFS(Scenario0[loser1],"avatar",Scenario0[loser1-pw],AvatarEquipScenario0[[#This Row],[level]])+COUNTIFS(Scenario0[loser2],"avatar",Scenario0[loser2-pw],AvatarEquipScenario0[[#This Row],[level]])</calculatedColumnFormula>
    </tableColumn>
    <tableColumn id="4" xr3:uid="{74A562D6-BC03-4BC1-ABA8-58F3D430F7CB}" name="chestpiece" dataDxfId="1058">
      <calculatedColumnFormula>COUNTIFS(Scenario0[winner1],"avatar",Scenario0[winner1-cp],AvatarEquipScenario0[[#This Row],[level]])+COUNTIFS(Scenario0[winner2],"avatar",Scenario0[winner2-cp],AvatarEquipScenario0[[#This Row],[level]])+COUNTIFS(Scenario0[loser1],"avatar",Scenario0[loser1-cp],AvatarEquipScenario0[[#This Row],[level]])+COUNTIFS(Scenario0[loser2],"avatar",Scenario0[loser2-cp],AvatarEquipScenario0[[#This Row],[level]])</calculatedColumnFormula>
    </tableColumn>
  </tableColumns>
  <tableStyleInfo name="TableStyleMedium2" showFirstColumn="0" showLastColumn="0" showRowStripes="1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477C47BA-5C5A-4AE2-8612-554D3A9DC173}" name="AvatarAbilities1Scenario1" displayName="AvatarAbilities1Scenario1" ref="K23:O26" totalsRowShown="0">
  <autoFilter ref="K23:O26" xr:uid="{A0A97CA7-01BF-4D92-A7D1-F51028CD7758}"/>
  <tableColumns count="5">
    <tableColumn id="2" xr3:uid="{3F132347-3455-46C8-87F0-A446F074CA18}" name="ability"/>
    <tableColumn id="6" xr3:uid="{149C58B7-10BB-4471-92AA-C643FE82E3F6}" name="takes" dataDxfId="1057">
      <calculatedColumnFormula>COUNTIF(Scenario1[winner1-ability1],AvatarAbilities1Scenario1[[#This Row],[ability]])+COUNTIF(Scenario1[winner2-ability1],AvatarAbilities1Scenario1[[#This Row],[ability]])+COUNTIF(Scenario1[loser1-ability1],AvatarAbilities1Scenario1[[#This Row],[ability]])+COUNTIF(Scenario1[loser2-ability1],AvatarAbilities1Scenario1[[#This Row],[ability]])</calculatedColumnFormula>
    </tableColumn>
    <tableColumn id="4" xr3:uid="{A4CD1929-81B2-4BE0-9DEE-5530077D1AEA}" name="wins" dataDxfId="1056">
      <calculatedColumnFormula>COUNTIF(Scenario1[winner1-ability1],AvatarAbilities1Scenario1[[#This Row],[ability]])+COUNTIF(Scenario1[winner2-ability1],AvatarAbilities1Scenario1[[#This Row],[ability]])</calculatedColumnFormula>
    </tableColumn>
    <tableColumn id="5" xr3:uid="{BC8FACA7-844F-47A4-8E14-7F93F55B9E41}" name="battles-take-rate" dataDxfId="1055">
      <calculatedColumnFormula>IF(SUM(AvatarAbilities1Scenario1[[#This Row],[takes]]) &gt; 0,AvatarAbilities1Scenario1[[#This Row],[takes]]/SUM(AvatarAbilities1Scenario1[takes]),0)</calculatedColumnFormula>
    </tableColumn>
    <tableColumn id="7" xr3:uid="{4BC0F8DE-C1DE-4F97-AFFC-47125007BF98}" name="take-win-rate" dataDxfId="1054">
      <calculatedColumnFormula>IF(AvatarAbilities1Scenario1[[#This Row],[takes]]&gt;0,AvatarAbilities1Scenario1[[#This Row],[wins]]/AvatarAbilities1Scenario1[[#This Row],[takes]],0)</calculatedColumnFormula>
    </tableColumn>
  </tableColumns>
  <tableStyleInfo name="TableStyleMedium2" showFirstColumn="0" showLastColumn="0" showRowStripes="1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F052FF5D-13C4-4670-987A-5F5C851B8358}" name="AvatarAbilities2Scenario1" displayName="AvatarAbilities2Scenario1" ref="K28:O31" totalsRowShown="0" headerRowDxfId="1053" headerRowBorderDxfId="1052" tableBorderDxfId="1051" totalsRowBorderDxfId="1050">
  <autoFilter ref="K28:O31" xr:uid="{A29CF70A-0B84-46BB-A412-712C2F594795}"/>
  <tableColumns count="5">
    <tableColumn id="1" xr3:uid="{04644722-1491-44F3-9957-2E8802934B8A}" name="ability"/>
    <tableColumn id="2" xr3:uid="{E14CB6A0-319C-4B23-B0EC-3D7DDF30D02C}" name="takes" dataDxfId="1049">
      <calculatedColumnFormula>COUNTIF(Scenario1[winner1-ability2],AvatarAbilities2Scenario1[[#This Row],[ability]])+COUNTIF(Scenario1[winner2-ability2],AvatarAbilities2Scenario1[[#This Row],[ability]])+COUNTIF(Scenario1[loser1-ability2],AvatarAbilities2Scenario1[[#This Row],[ability]])+COUNTIF(Scenario1[loser2-ability2],AvatarAbilities2Scenario1[[#This Row],[ability]])</calculatedColumnFormula>
    </tableColumn>
    <tableColumn id="3" xr3:uid="{4417D05A-9844-4A9E-B342-5F3895323C39}" name="wins" dataDxfId="1048">
      <calculatedColumnFormula>COUNTIF(Scenario1[winner1-ability2],AvatarAbilities2Scenario1[[#This Row],[ability]])+COUNTIF(Scenario1[winner2-ability2],AvatarAbilities2Scenario1[[#This Row],[ability]])</calculatedColumnFormula>
    </tableColumn>
    <tableColumn id="4" xr3:uid="{A5F2CBBF-D1FC-4EA5-B790-5C96FE206219}" name="battles-take-rate" dataDxfId="1047">
      <calculatedColumnFormula>IF(SUM(AvatarAbilities2Scenario1[[#This Row],[takes]]) &gt; 0,AvatarAbilities2Scenario1[[#This Row],[takes]]/SUM(AvatarAbilities2Scenario1[takes]),0)</calculatedColumnFormula>
    </tableColumn>
    <tableColumn id="5" xr3:uid="{861276A0-F937-49BF-98FF-77564BE4F11F}" name="take-win-rate" dataDxfId="1046">
      <calculatedColumnFormula>IF(AvatarAbilities2Scenario1[[#This Row],[takes]]&gt;0,AvatarAbilities2Scenario1[[#This Row],[wins]]/AvatarAbilities2Scenario1[[#This Row],[takes]],0)</calculatedColumnFormula>
    </tableColumn>
  </tableColumns>
  <tableStyleInfo name="TableStyleMedium2" showFirstColumn="0" showLastColumn="0" showRowStripes="1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D0919BE2-2356-42E7-AD08-429DD81AD845}" name="AvatarAbilities3Scenario1" displayName="AvatarAbilities3Scenario1" ref="K33:O36" totalsRowShown="0" headerRowDxfId="1045" headerRowBorderDxfId="1044" tableBorderDxfId="1043" totalsRowBorderDxfId="1042">
  <autoFilter ref="K33:O36" xr:uid="{CBC18F4E-86CD-4BE3-9377-2B862ED3B826}"/>
  <tableColumns count="5">
    <tableColumn id="1" xr3:uid="{754F1FDA-7285-4BCE-A9AF-F814783D5DD9}" name="ability"/>
    <tableColumn id="2" xr3:uid="{89AF389B-E890-4AA1-9813-2F81A272D9EF}" name="takes" dataDxfId="1041">
      <calculatedColumnFormula>COUNTIF(Scenario1[winner1-ability3],AvatarAbilities3Scenario1[[#This Row],[ability]])+COUNTIF(Scenario1[winner2-ability3],AvatarAbilities3Scenario1[[#This Row],[ability]])+COUNTIF(Scenario1[loser1-ability3],AvatarAbilities3Scenario1[[#This Row],[ability]])+COUNTIF(Scenario1[loser2-ability3],AvatarAbilities3Scenario1[[#This Row],[ability]])</calculatedColumnFormula>
    </tableColumn>
    <tableColumn id="3" xr3:uid="{CB4A5231-5390-4FA1-A702-140014742B4F}" name="wins" dataDxfId="1040">
      <calculatedColumnFormula>COUNTIF(Scenario1[winner1-ability3],AvatarAbilities3Scenario1[[#This Row],[ability]])+COUNTIF(Scenario1[winner2-ability3],AvatarAbilities3Scenario1[[#This Row],[ability]])</calculatedColumnFormula>
    </tableColumn>
    <tableColumn id="4" xr3:uid="{5E34D1DA-7C93-4370-8384-2CC63E1AD4DB}" name="battles-take-rate" dataDxfId="1039">
      <calculatedColumnFormula>IF(SUM(AvatarAbilities3Scenario1[[#This Row],[takes]]) &gt; 0,AvatarAbilities3Scenario1[[#This Row],[takes]]/SUM(AvatarAbilities3Scenario1[takes]),0)</calculatedColumnFormula>
    </tableColumn>
    <tableColumn id="5" xr3:uid="{0308C1AB-1AB5-416D-B6F6-77F0EBECC1A2}" name="take-win-rate" dataDxfId="1038">
      <calculatedColumnFormula>IF(AvatarAbilities3Scenario1[[#This Row],[takes]]&gt;0,AvatarAbilities3Scenario1[[#This Row],[wins]]/AvatarAbilities3Scenario1[[#This Row],[takes]],0)</calculatedColumnFormula>
    </tableColumn>
  </tableColumns>
  <tableStyleInfo name="TableStyleMedium2" showFirstColumn="0" showLastColumn="0" showRowStripes="1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7DDB5A2C-6D3A-4C25-8BB9-CCA8E60CF39C}" name="AvatarAbilities4Scenario1" displayName="AvatarAbilities4Scenario1" ref="K38:O41" totalsRowShown="0" headerRowDxfId="1037" headerRowBorderDxfId="1036" tableBorderDxfId="1035" totalsRowBorderDxfId="1034">
  <autoFilter ref="K38:O41" xr:uid="{A1F38E75-59DE-4DB4-B81C-C0322397F6F7}"/>
  <tableColumns count="5">
    <tableColumn id="1" xr3:uid="{E95AEAE3-62BB-4DA7-B153-EB2086E73E57}" name="ability" dataDxfId="1033"/>
    <tableColumn id="2" xr3:uid="{2A9E73B8-CD6F-4011-BAC1-63B6A821F80F}" name="takes" dataDxfId="1032">
      <calculatedColumnFormula>COUNTIF(Scenario1[winner1-ability4],AvatarAbilities4Scenario1[[#This Row],[ability]])+COUNTIF(Scenario1[winner2-ability4],AvatarAbilities4Scenario1[[#This Row],[ability]])+COUNTIF(Scenario1[loser1-ability4],AvatarAbilities4Scenario1[[#This Row],[ability]])+COUNTIF(Scenario1[loser2-ability4],AvatarAbilities4Scenario1[[#This Row],[ability]])</calculatedColumnFormula>
    </tableColumn>
    <tableColumn id="3" xr3:uid="{AE3671B6-2989-441F-BD06-BF13F082A7FC}" name="wins" dataDxfId="1031">
      <calculatedColumnFormula>COUNTIF(Scenario1[winner1-ability4],AvatarAbilities4Scenario1[[#This Row],[ability]])+COUNTIF(Scenario1[winner2-ability4],AvatarAbilities4Scenario1[[#This Row],[ability]])</calculatedColumnFormula>
    </tableColumn>
    <tableColumn id="4" xr3:uid="{89D04A7C-241A-490C-A606-751AB08E113C}" name="battles-take-rate" dataDxfId="1030">
      <calculatedColumnFormula>IF(SUM(AvatarAbilities4Scenario1[[#This Row],[takes]]) &gt; 0,AvatarAbilities4Scenario1[[#This Row],[takes]]/SUM(AvatarAbilities4Scenario1[takes]),0)</calculatedColumnFormula>
    </tableColumn>
    <tableColumn id="5" xr3:uid="{0160D1CE-0A94-4163-B077-75EEEBAC27B0}" name="take-win-rate" dataDxfId="1029">
      <calculatedColumnFormula>IF(AvatarAbilities4Scenario1[[#This Row],[takes]]&gt;0,AvatarAbilities4Scenario1[[#This Row],[wins]]/AvatarAbilities4Scenario1[[#This Row],[takes]],0)</calculatedColumnFormula>
    </tableColumn>
  </tableColumns>
  <tableStyleInfo name="TableStyleMedium2" showFirstColumn="0" showLastColumn="0" showRowStripes="1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4030A523-5C68-442C-B8C2-66DFC7B7F40B}" name="AvatarEquipScenario1" displayName="AvatarEquipScenario1" ref="Q23:S26" totalsRowShown="0">
  <autoFilter ref="Q23:S26" xr:uid="{18EECD25-0AE5-4756-B5E1-492D523A2929}"/>
  <tableColumns count="3">
    <tableColumn id="1" xr3:uid="{892F4335-3E64-4329-A8F1-2B8DA27DF515}" name="level"/>
    <tableColumn id="2" xr3:uid="{ECB0A0ED-8604-4044-A5A7-AA3AFEA01004}" name="bracers" dataDxfId="1028">
      <calculatedColumnFormula>COUNTIFS(Scenario1[winner1],"avatar",Scenario1[winner1-pw],AvatarEquipScenario1[[#This Row],[level]])+COUNTIFS(Scenario1[winner2],"avatar",Scenario1[winner2-pw],AvatarEquipScenario1[[#This Row],[level]])+COUNTIFS(Scenario1[loser1],"avatar",Scenario1[loser1-pw],AvatarEquipScenario1[[#This Row],[level]])+COUNTIFS(Scenario1[loser2],"avatar",Scenario1[loser2-pw],AvatarEquipScenario1[[#This Row],[level]])</calculatedColumnFormula>
    </tableColumn>
    <tableColumn id="4" xr3:uid="{708D4740-5432-437F-8074-37EFF5AD210D}" name="chestpiece" dataDxfId="1027">
      <calculatedColumnFormula>COUNTIFS(Scenario1[winner1],"avatar",Scenario1[winner1-cp],AvatarEquipScenario1[[#This Row],[level]])+COUNTIFS(Scenario1[winner2],"avatar",Scenario1[winner2-cp],AvatarEquipScenario1[[#This Row],[level]])+COUNTIFS(Scenario1[loser1],"avatar",Scenario1[loser1-cp],AvatarEquipScenario1[[#This Row],[level]])+COUNTIFS(Scenario1[loser2],"avatar",Scenario1[loser2-cp],AvatarEquipScenario1[[#This Row],[level]])</calculatedColumnFormula>
    </tableColumn>
  </tableColumns>
  <tableStyleInfo name="TableStyleMedium2" showFirstColumn="0" showLastColumn="0" showRowStripes="1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B9B2BF33-8CBC-4745-8150-D2ECF339F8AC}" name="AvatarAbilities1Scenario2" displayName="AvatarAbilities1Scenario2" ref="K44:O47" totalsRowShown="0">
  <autoFilter ref="K44:O47" xr:uid="{81D76695-EE53-4A07-9351-842AC55F2540}"/>
  <tableColumns count="5">
    <tableColumn id="2" xr3:uid="{3DA88704-2971-4AB6-B1CE-5CFF090396CF}" name="ability"/>
    <tableColumn id="6" xr3:uid="{E672CFB4-776F-4D07-BA50-839D4A31C34F}" name="takes" dataDxfId="1026">
      <calculatedColumnFormula>COUNTIF(Scenario2[winner1-ability1],AvatarAbilities1Scenario2[[#This Row],[ability]])+COUNTIF(Scenario2[loser1-ability1],AvatarAbilities1Scenario2[[#This Row],[ability]])</calculatedColumnFormula>
    </tableColumn>
    <tableColumn id="4" xr3:uid="{C7B73B9B-4CC5-4B5B-A6D9-DAB8C8BDE217}" name="wins" dataDxfId="1025">
      <calculatedColumnFormula>COUNTIF(Scenario2[winner1-ability1],AvatarAbilities1Scenario2[[#This Row],[ability]])</calculatedColumnFormula>
    </tableColumn>
    <tableColumn id="5" xr3:uid="{1E61EB7F-DF68-4EB7-80E2-73B696E16EFA}" name="battles-take-rate" dataDxfId="1024">
      <calculatedColumnFormula>IF(SUM(AvatarAbilities1Scenario2[[#This Row],[takes]]) &gt; 0,AvatarAbilities1Scenario2[[#This Row],[takes]]/SUM(AvatarAbilities1Scenario2[takes]),0)</calculatedColumnFormula>
    </tableColumn>
    <tableColumn id="7" xr3:uid="{0699E0E9-A79E-4323-AF04-C1A2CAA4C37C}" name="take-win-rate" dataDxfId="1023">
      <calculatedColumnFormula>IF(AvatarAbilities1Scenario2[[#This Row],[takes]]&gt;0,AvatarAbilities1Scenario2[[#This Row],[wins]]/AvatarAbilities1Scenario2[[#This Row],[takes]],0)</calculatedColumnFormula>
    </tableColumn>
  </tableColumns>
  <tableStyleInfo name="TableStyleMedium2" showFirstColumn="0" showLastColumn="0" showRowStripes="1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DB548F23-BB00-40E3-95F8-04345DE6C998}" name="AvatarAbilities2Scenario2" displayName="AvatarAbilities2Scenario2" ref="K49:O52" totalsRowShown="0" headerRowDxfId="1022" headerRowBorderDxfId="1021" tableBorderDxfId="1020" totalsRowBorderDxfId="1019">
  <autoFilter ref="K49:O52" xr:uid="{B5828340-8DA1-4B65-ACEB-BDDDED872E64}"/>
  <tableColumns count="5">
    <tableColumn id="1" xr3:uid="{6508DED1-AB04-4CA3-92A6-5EAD32BBFBFC}" name="ability"/>
    <tableColumn id="2" xr3:uid="{37595910-B7AB-47FC-996E-7EF8FE0597CE}" name="takes" dataDxfId="1018">
      <calculatedColumnFormula>COUNTIF(Scenario2[winner1-ability2],AvatarAbilities2Scenario2[[#This Row],[ability]])+COUNTIF(Scenario2[loser1-ability2],AvatarAbilities2Scenario2[[#This Row],[ability]])</calculatedColumnFormula>
    </tableColumn>
    <tableColumn id="3" xr3:uid="{E4A6EFDD-399D-444F-8453-690FF0596C09}" name="wins" dataDxfId="1017">
      <calculatedColumnFormula>COUNTIF(Scenario2[winner1-ability2],AvatarAbilities2Scenario2[[#This Row],[ability]])</calculatedColumnFormula>
    </tableColumn>
    <tableColumn id="4" xr3:uid="{C9E6BEDE-6D55-465F-A23C-088B0E5A7769}" name="battles-take-rate" dataDxfId="1016">
      <calculatedColumnFormula>IF(SUM(AvatarAbilities2Scenario2[[#This Row],[takes]]) &gt; 0,AvatarAbilities2Scenario2[[#This Row],[takes]]/SUM(AvatarAbilities2Scenario2[takes]),0)</calculatedColumnFormula>
    </tableColumn>
    <tableColumn id="5" xr3:uid="{AAAC6CCB-269D-4B2F-A1B7-E3834E4DCB4F}" name="take-win-rate" dataDxfId="1015">
      <calculatedColumnFormula>IF(AvatarAbilities2Scenario2[[#This Row],[takes]]&gt;0,AvatarAbilities2Scenario2[[#This Row],[wins]]/AvatarAbilities2Scenario2[[#This Row],[takes]],0)</calculatedColumnFormula>
    </tableColumn>
  </tableColumns>
  <tableStyleInfo name="TableStyleMedium2" showFirstColumn="0" showLastColumn="0" showRowStripes="1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30D4B168-F7BD-44BC-8190-AE45AC87470E}" name="AvatarAbilities3Scenario2" displayName="AvatarAbilities3Scenario2" ref="K54:O57" totalsRowShown="0" headerRowDxfId="1014" headerRowBorderDxfId="1013" tableBorderDxfId="1012" totalsRowBorderDxfId="1011">
  <autoFilter ref="K54:O57" xr:uid="{34ED10E5-B169-4BBA-8F2C-73FF473D0922}"/>
  <tableColumns count="5">
    <tableColumn id="1" xr3:uid="{0053CFE6-6C69-4E98-87A3-1B8513FDDAA5}" name="ability"/>
    <tableColumn id="2" xr3:uid="{4D6C9DD9-C74D-4114-B2B6-FA0BE28209BF}" name="takes" dataDxfId="1010">
      <calculatedColumnFormula>COUNTIF(Scenario2[winner1-ability3],AvatarAbilities3Scenario2[[#This Row],[ability]])+COUNTIF(Scenario2[loser1-ability3],AvatarAbilities3Scenario2[[#This Row],[ability]])</calculatedColumnFormula>
    </tableColumn>
    <tableColumn id="3" xr3:uid="{7103F39C-2C96-4862-8E66-430EB3D98924}" name="wins" dataDxfId="1009">
      <calculatedColumnFormula>COUNTIF(Scenario2[winner1-ability3],AvatarAbilities3Scenario2[[#This Row],[ability]])</calculatedColumnFormula>
    </tableColumn>
    <tableColumn id="4" xr3:uid="{ADEFFFFC-593D-4983-81AB-62FCA7D838BE}" name="battles-take-rate" dataDxfId="1008">
      <calculatedColumnFormula>IF(SUM(AvatarAbilities3Scenario2[[#This Row],[takes]]) &gt; 0,AvatarAbilities3Scenario2[[#This Row],[takes]]/SUM(AvatarAbilities3Scenario2[takes]),0)</calculatedColumnFormula>
    </tableColumn>
    <tableColumn id="5" xr3:uid="{845C8153-9F86-4AFD-A94E-FCB21D9C53A9}" name="take-win-rate" dataDxfId="1007">
      <calculatedColumnFormula>IF(AvatarAbilities3Scenario2[[#This Row],[takes]]&gt;0,AvatarAbilities3Scenario2[[#This Row],[wins]]/AvatarAbilities3Scenario2[[#This Row],[takes]],0)</calculatedColumnFormula>
    </tableColumn>
  </tableColumns>
  <tableStyleInfo name="TableStyleMedium2" showFirstColumn="0" showLastColumn="0" showRowStripes="1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4D206275-ABB8-42A7-A6F8-F7327722AF1F}" name="AvatarAbilities4Scenario2" displayName="AvatarAbilities4Scenario2" ref="K59:O62" totalsRowShown="0" headerRowDxfId="1006" headerRowBorderDxfId="1005" tableBorderDxfId="1004" totalsRowBorderDxfId="1003">
  <autoFilter ref="K59:O62" xr:uid="{DDB7F110-02A6-4F67-8266-251AF48CB7C0}"/>
  <tableColumns count="5">
    <tableColumn id="1" xr3:uid="{41FFE711-9BC2-4C77-93E0-ED76EFB9F1D5}" name="ability" dataDxfId="1002"/>
    <tableColumn id="2" xr3:uid="{79EA1ED0-B935-47D2-A86B-D83C6704E80A}" name="takes" dataDxfId="1001">
      <calculatedColumnFormula>COUNTIF(Scenario2[winner1-ability4],AvatarAbilities4Scenario2[[#This Row],[ability]])+COUNTIF(Scenario2[loser1-ability4],AvatarAbilities4Scenario2[[#This Row],[ability]])</calculatedColumnFormula>
    </tableColumn>
    <tableColumn id="3" xr3:uid="{654B635B-D6C2-4C4E-9BF8-0748A15947F7}" name="wins" dataDxfId="1000">
      <calculatedColumnFormula>COUNTIF(Scenario2[winner1-ability4],AvatarAbilities4Scenario2[[#This Row],[ability]])</calculatedColumnFormula>
    </tableColumn>
    <tableColumn id="4" xr3:uid="{02651184-3B76-4AC5-89C2-D810EC158F1B}" name="battles-take-rate" dataDxfId="999">
      <calculatedColumnFormula>IF(SUM(AvatarAbilities4Scenario2[[#This Row],[takes]]) &gt; 0,AvatarAbilities4Scenario2[[#This Row],[takes]]/SUM(AvatarAbilities4Scenario2[takes]),0)</calculatedColumnFormula>
    </tableColumn>
    <tableColumn id="5" xr3:uid="{1CE806E7-31B6-48D1-AD80-65AF0FC8C25D}" name="take-win-rate" dataDxfId="998">
      <calculatedColumnFormula>IF(AvatarAbilities4Scenario2[[#This Row],[takes]]&gt;0,AvatarAbilities4Scenario2[[#This Row],[wins]]/AvatarAbilities4Scenario2[[#This Row],[takes]],0)</calculatedColumnFormula>
    </tableColumn>
  </tableColumns>
  <tableStyleInfo name="TableStyleMedium2" showFirstColumn="0" showLastColumn="0" showRowStripes="1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2ACE1295-3C10-456E-B0EF-58AFE8E28C3A}" name="AvatarEquipScenario2" displayName="AvatarEquipScenario2" ref="Q44:S47" totalsRowShown="0">
  <autoFilter ref="Q44:S47" xr:uid="{BDEC3E9D-FA56-4E08-A52D-2A8BEB87833A}"/>
  <tableColumns count="3">
    <tableColumn id="1" xr3:uid="{F5C76997-D1A1-492A-B33B-EA7E1B7B980F}" name="level"/>
    <tableColumn id="2" xr3:uid="{7D19FCBB-54B8-4795-AB2F-0F8B28982E82}" name="bracers" dataDxfId="997">
      <calculatedColumnFormula>COUNTIFS(Scenario2[winner1],"avatar",Scenario2[winner1-pw],AvatarEquipScenario2[[#This Row],[level]])+COUNTIFS(Scenario2[loser1],"avatar",Scenario2[loser1-pw],AvatarEquipScenario2[[#This Row],[level]])</calculatedColumnFormula>
    </tableColumn>
    <tableColumn id="4" xr3:uid="{F7E6E310-FA34-4F1A-86CA-099EBB3DC0C4}" name="chestpiece" dataDxfId="996">
      <calculatedColumnFormula>COUNTIFS(Scenario2[winner1],"avatar",Scenario2[winner1-cp],AvatarEquipScenario2[[#This Row],[level]])+COUNTIFS(Scenario2[loser1],"avatar",Scenario2[loser1-cp],AvatarEquipScenario2[[#This Row],[level]])</calculatedColumnFormula>
    </tableColumn>
  </tableColumns>
  <tableStyleInfo name="TableStyleMedium2" showFirstColumn="0" showLastColumn="0" showRowStripes="1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FB9AE89-0BEE-418C-B765-FBE2278BEC3F}" name="UpgradeStatistics1920212223" displayName="UpgradeStatistics1920212223" ref="U1:V9" totalsRowShown="0">
  <autoFilter ref="U1:V9" xr:uid="{9FB9AE89-0BEE-418C-B765-FBE2278BEC3F}"/>
  <tableColumns count="2">
    <tableColumn id="1" xr3:uid="{56F51191-0214-4F53-997A-89540FAB8CB2}" name="upgrade"/>
    <tableColumn id="3" xr3:uid="{ECF38DBC-5055-4BD1-BF7F-AC92B80FFDE2}" name="rate" dataDxfId="995"/>
  </tableColumns>
  <tableStyleInfo name="TableStyleMedium2" showFirstColumn="0" showLastColumn="0" showRowStripes="1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xr:uid="{9BC4F617-A113-40C2-9B7B-B2B66C3F77BE}" name="AvatarAbilities1Scenario3" displayName="AvatarAbilities1Scenario3" ref="K65:O68" totalsRowShown="0">
  <autoFilter ref="K65:O68" xr:uid="{9BC4F617-A113-40C2-9B7B-B2B66C3F77BE}"/>
  <tableColumns count="5">
    <tableColumn id="2" xr3:uid="{4607CD34-8C86-475C-8FEE-687D9CCA7D51}" name="ability"/>
    <tableColumn id="6" xr3:uid="{E995EF82-2524-45DF-89A6-0607B1F2516B}" name="takes" dataDxfId="994">
      <calculatedColumnFormula>COUNTIF(Scenario3[winner1-ability1],AvatarAbilities1Scenario3[[#This Row],[ability]])+COUNTIF(Scenario3[loser1-ability1],AvatarAbilities1Scenario3[[#This Row],[ability]])+COUNTIF(Scenario3[loser2-ability1],AvatarAbilities1Scenario3[[#This Row],[ability]])</calculatedColumnFormula>
    </tableColumn>
    <tableColumn id="4" xr3:uid="{B82CC628-35BC-4552-95E9-42DDDD2A77CC}" name="wins" dataDxfId="993">
      <calculatedColumnFormula>COUNTIF(Scenario3[winner1-ability1],AvatarAbilities1Scenario3[[#This Row],[ability]])</calculatedColumnFormula>
    </tableColumn>
    <tableColumn id="5" xr3:uid="{DCB58979-EA4F-4103-8C4A-C096D75756ED}" name="battles-take-rate" dataDxfId="992">
      <calculatedColumnFormula>IF(SUM(AvatarAbilities1Scenario3[[#This Row],[takes]]) &gt; 0,AvatarAbilities1Scenario3[[#This Row],[takes]]/SUM(AvatarAbilities1Scenario3[takes]),0)</calculatedColumnFormula>
    </tableColumn>
    <tableColumn id="7" xr3:uid="{9DDE7AD0-AF87-459B-A17D-3E483716F701}" name="take-win-rate" dataDxfId="991">
      <calculatedColumnFormula>IF(AvatarAbilities1Scenario3[[#This Row],[takes]]&gt;0,AvatarAbilities1Scenario3[[#This Row],[wins]]/AvatarAbilities1Scenario3[[#This Row],[takes]],0)</calculatedColumnFormula>
    </tableColumn>
  </tableColumns>
  <tableStyleInfo name="TableStyleMedium2" showFirstColumn="0" showLastColumn="0" showRowStripes="1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xr:uid="{88EB6CC3-E14E-4104-8DAF-BBFFAEC98B5E}" name="AvatarAbilities2Scenario3" displayName="AvatarAbilities2Scenario3" ref="K70:O73" totalsRowShown="0" headerRowDxfId="990" headerRowBorderDxfId="989" tableBorderDxfId="988" totalsRowBorderDxfId="987">
  <autoFilter ref="K70:O73" xr:uid="{88EB6CC3-E14E-4104-8DAF-BBFFAEC98B5E}"/>
  <tableColumns count="5">
    <tableColumn id="1" xr3:uid="{37991DCD-D702-4F17-BEA7-541E7481D7F5}" name="ability"/>
    <tableColumn id="2" xr3:uid="{8B46F7E7-575A-4AAB-8BFB-FEC627D73A4C}" name="takes" dataDxfId="986">
      <calculatedColumnFormula>COUNTIF(Scenario3[winner1-ability2],AvatarAbilities2Scenario3[[#This Row],[ability]])+COUNTIF(Scenario3[loser1-ability2],AvatarAbilities2Scenario3[[#This Row],[ability]])+COUNTIF(Scenario3[loser2-ability2],AvatarAbilities2Scenario3[[#This Row],[ability]])</calculatedColumnFormula>
    </tableColumn>
    <tableColumn id="3" xr3:uid="{46CF5916-FCB7-40C2-AF95-BD08D9F964E1}" name="wins" dataDxfId="985">
      <calculatedColumnFormula>COUNTIF(Scenario3[winner1-ability2],AvatarAbilities2Scenario3[[#This Row],[ability]])</calculatedColumnFormula>
    </tableColumn>
    <tableColumn id="4" xr3:uid="{70DDA6D0-1C36-48E6-8E20-D94EDE0BDFEA}" name="battles-take-rate" dataDxfId="984">
      <calculatedColumnFormula>IF(SUM(AvatarAbilities2Scenario3[[#This Row],[takes]]) &gt; 0,AvatarAbilities2Scenario3[[#This Row],[takes]]/SUM(AvatarAbilities2Scenario3[takes]),0)</calculatedColumnFormula>
    </tableColumn>
    <tableColumn id="5" xr3:uid="{A0CF6815-4BD7-45A1-A3DA-254A54D15BC5}" name="take-win-rate" dataDxfId="983">
      <calculatedColumnFormula>IF(AvatarAbilities2Scenario3[[#This Row],[takes]]&gt;0,AvatarAbilities2Scenario3[[#This Row],[wins]]/AvatarAbilities2Scenario3[[#This Row],[takes]],0)</calculatedColumnFormula>
    </tableColumn>
  </tableColumns>
  <tableStyleInfo name="TableStyleMedium2" showFirstColumn="0" showLastColumn="0" showRowStripes="1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xr:uid="{D2F7ECD8-E09F-4C65-AFEB-56CF80017CE7}" name="AvatarAbilities3Scenario3" displayName="AvatarAbilities3Scenario3" ref="K75:O78" totalsRowShown="0" headerRowDxfId="982" headerRowBorderDxfId="981" tableBorderDxfId="980" totalsRowBorderDxfId="979">
  <autoFilter ref="K75:O78" xr:uid="{D2F7ECD8-E09F-4C65-AFEB-56CF80017CE7}"/>
  <tableColumns count="5">
    <tableColumn id="1" xr3:uid="{B73ED89F-81B1-4CB5-8A97-94F6020CBD9A}" name="ability"/>
    <tableColumn id="2" xr3:uid="{307668FA-8C80-411C-A0CA-0F55090C460F}" name="takes" dataDxfId="978">
      <calculatedColumnFormula>COUNTIF(Scenario3[winner1-ability3],AvatarAbilities3Scenario3[[#This Row],[ability]])+COUNTIF(Scenario3[loser1-ability3],AvatarAbilities3Scenario3[[#This Row],[ability]])+COUNTIF(Scenario3[loser2-ability3],AvatarAbilities3Scenario3[[#This Row],[ability]])</calculatedColumnFormula>
    </tableColumn>
    <tableColumn id="3" xr3:uid="{0D210F81-B675-47AE-B3A9-09F673AA35E9}" name="wins" dataDxfId="977">
      <calculatedColumnFormula>COUNTIF(Scenario3[winner1-ability3],AvatarAbilities3Scenario3[[#This Row],[ability]])</calculatedColumnFormula>
    </tableColumn>
    <tableColumn id="4" xr3:uid="{C06BD8DF-C441-459D-85EE-FD64A2043DD6}" name="battles-take-rate" dataDxfId="976">
      <calculatedColumnFormula>IF(SUM(AvatarAbilities3Scenario3[[#This Row],[takes]]) &gt; 0,AvatarAbilities3Scenario3[[#This Row],[takes]]/SUM(AvatarAbilities3Scenario3[takes]),0)</calculatedColumnFormula>
    </tableColumn>
    <tableColumn id="5" xr3:uid="{C6EB60EC-253C-4011-A792-1C4A2C628F54}" name="take-win-rate" dataDxfId="975">
      <calculatedColumnFormula>IF(AvatarAbilities3Scenario3[[#This Row],[takes]]&gt;0,AvatarAbilities3Scenario3[[#This Row],[wins]]/AvatarAbilities3Scenario3[[#This Row],[takes]],0)</calculatedColumnFormula>
    </tableColumn>
  </tableColumns>
  <tableStyleInfo name="TableStyleMedium2" showFirstColumn="0" showLastColumn="0" showRowStripes="1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xr:uid="{6EEA34E6-E459-456B-91DD-043B51317E20}" name="AvatarAbilities4Scenario3" displayName="AvatarAbilities4Scenario3" ref="K80:O83" totalsRowShown="0" headerRowDxfId="974" headerRowBorderDxfId="973" tableBorderDxfId="972" totalsRowBorderDxfId="971">
  <autoFilter ref="K80:O83" xr:uid="{6EEA34E6-E459-456B-91DD-043B51317E20}"/>
  <tableColumns count="5">
    <tableColumn id="1" xr3:uid="{8A349459-D27C-4E5A-A944-0E74AA4FA7B4}" name="ability" dataDxfId="970"/>
    <tableColumn id="2" xr3:uid="{D6DB89E1-6F3B-4EA4-ADC1-184D6ABA99BE}" name="takes" dataDxfId="969">
      <calculatedColumnFormula>COUNTIF(Scenario3[winner1-ability4],AvatarAbilities4Scenario3[[#This Row],[ability]])+COUNTIF(Scenario3[loser1-ability4],AvatarAbilities4Scenario3[[#This Row],[ability]])+COUNTIF(Scenario3[loser2-ability4],AvatarAbilities4Scenario3[[#This Row],[ability]])</calculatedColumnFormula>
    </tableColumn>
    <tableColumn id="3" xr3:uid="{A36E4D67-03CE-461A-82EB-1B31A142B1C6}" name="wins" dataDxfId="968">
      <calculatedColumnFormula>COUNTIF(Scenario3[winner1-ability4],AvatarAbilities4Scenario3[[#This Row],[ability]])</calculatedColumnFormula>
    </tableColumn>
    <tableColumn id="4" xr3:uid="{8AF2EF2E-5801-460B-AD63-71BB7539AA5F}" name="battles-take-rate" dataDxfId="967">
      <calculatedColumnFormula>IF(SUM(AvatarAbilities4Scenario3[[#This Row],[takes]]) &gt; 0,AvatarAbilities4Scenario3[[#This Row],[takes]]/SUM(AvatarAbilities4Scenario3[takes]),0)</calculatedColumnFormula>
    </tableColumn>
    <tableColumn id="5" xr3:uid="{33D2DECC-3F00-49BE-8D4D-21792A211C61}" name="take-win-rate" dataDxfId="966">
      <calculatedColumnFormula>IF(AvatarAbilities4Scenario3[[#This Row],[takes]]&gt;0,AvatarAbilities4Scenario3[[#This Row],[wins]]/AvatarAbilities4Scenario3[[#This Row],[takes]],0)</calculatedColumnFormula>
    </tableColumn>
  </tableColumns>
  <tableStyleInfo name="TableStyleMedium2" showFirstColumn="0" showLastColumn="0" showRowStripes="1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xr:uid="{93987A15-570C-4BD2-85ED-EC8CD2A80610}" name="AvatarEquipScenario3" displayName="AvatarEquipScenario3" ref="Q65:S68" totalsRowShown="0">
  <autoFilter ref="Q65:S68" xr:uid="{93987A15-570C-4BD2-85ED-EC8CD2A80610}"/>
  <tableColumns count="3">
    <tableColumn id="1" xr3:uid="{5952B969-6599-4617-850C-98E238B6E7C7}" name="level"/>
    <tableColumn id="2" xr3:uid="{173D32B2-C090-43F2-88B8-07C2D1906A61}" name="bracers" dataDxfId="965">
      <calculatedColumnFormula>COUNTIFS(Scenario3[winner1],"avatar",Scenario3[winner1-pw],AvatarEquipScenario3[[#This Row],[level]])+COUNTIFS(Scenario3[loser1],"avatar",Scenario3[loser1-pw],AvatarEquipScenario3[[#This Row],[level]])+COUNTIFS(Scenario3[loser2],"avatar",Scenario3[loser2-pw],AvatarEquipScenario3[[#This Row],[level]])</calculatedColumnFormula>
    </tableColumn>
    <tableColumn id="4" xr3:uid="{9ED04356-05E8-450B-808F-1BB9886BAD33}" name="chestpiece" dataDxfId="964">
      <calculatedColumnFormula>COUNTIFS(Scenario3[winner1],"avatar",Scenario3[winner1-cp],AvatarEquipScenario3[[#This Row],[level]])+COUNTIFS(Scenario3[loser1],"avatar",Scenario3[loser1-cp],AvatarEquipScenario3[[#This Row],[level]])+COUNTIFS(Scenario3[loser2],"avatar",Scenario3[loser2-cp],AvatarEquipScenario3[[#This Row],[level]])</calculatedColumnFormula>
    </tableColumn>
  </tableColumns>
  <tableStyleInfo name="TableStyleMedium2" showFirstColumn="0" showLastColumn="0" showRowStripes="1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5" xr:uid="{2508CC53-C4E1-4544-9D78-79365585401D}" name="AvatarAbilities1Scenario4" displayName="AvatarAbilities1Scenario4" ref="K86:O89" totalsRowShown="0">
  <autoFilter ref="K86:O89" xr:uid="{2508CC53-C4E1-4544-9D78-79365585401D}"/>
  <tableColumns count="5">
    <tableColumn id="2" xr3:uid="{75E3B495-ACBF-4CF7-8C94-1CA75CCD2CD9}" name="ability"/>
    <tableColumn id="6" xr3:uid="{D288448B-7076-4713-B99A-1E44DA01A067}" name="takes" dataDxfId="963">
      <calculatedColumnFormula>COUNTIF(Scenario4[winner1-ability1],AvatarAbilities1Scenario4[[#This Row],[ability]])+COUNTIF(Scenario4[loser1-ability1],AvatarAbilities1Scenario4[[#This Row],[ability]])+COUNTIF(Scenario4[loser2-ability1],AvatarAbilities1Scenario4[[#This Row],[ability]])+COUNTIF(Scenario4[loser3-ability1],AvatarAbilities1Scenario4[[#This Row],[ability]])</calculatedColumnFormula>
    </tableColumn>
    <tableColumn id="4" xr3:uid="{507867D3-7A2A-46D4-B329-57A51790DF62}" name="wins" dataDxfId="962">
      <calculatedColumnFormula>COUNTIF(Scenario4[winner1-ability1],AvatarAbilities1Scenario4[[#This Row],[ability]])</calculatedColumnFormula>
    </tableColumn>
    <tableColumn id="5" xr3:uid="{846FA7C9-7442-4196-AC20-39FB98DAF0BC}" name="battles-take-rate" dataDxfId="961">
      <calculatedColumnFormula>IF(SUM(AvatarAbilities1Scenario4[[#This Row],[takes]]) &gt; 0,AvatarAbilities1Scenario4[[#This Row],[takes]]/SUM(AvatarAbilities1Scenario4[takes]),0)</calculatedColumnFormula>
    </tableColumn>
    <tableColumn id="7" xr3:uid="{13E47A62-3E1B-42E6-AEB5-1DD944FD1E96}" name="take-win-rate" dataDxfId="960">
      <calculatedColumnFormula>IF(AvatarAbilities1Scenario4[[#This Row],[takes]]&gt;0,AvatarAbilities1Scenario4[[#This Row],[wins]]/AvatarAbilities1Scenario4[[#This Row],[takes]],0)</calculatedColumnFormula>
    </tableColumn>
  </tableColumns>
  <tableStyleInfo name="TableStyleMedium2" showFirstColumn="0" showLastColumn="0" showRowStripes="1" showColumnStripes="0"/>
</table>
</file>

<file path=xl/tables/table1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6" xr:uid="{A9A94AE0-68D1-4BAD-A714-63D246F1246C}" name="AvatarAbilities2Scenario4" displayName="AvatarAbilities2Scenario4" ref="K91:O94" totalsRowShown="0" headerRowDxfId="959" headerRowBorderDxfId="958" tableBorderDxfId="957" totalsRowBorderDxfId="956">
  <autoFilter ref="K91:O94" xr:uid="{A9A94AE0-68D1-4BAD-A714-63D246F1246C}"/>
  <tableColumns count="5">
    <tableColumn id="1" xr3:uid="{FA15635C-F019-45D1-BE61-C231DF122D36}" name="ability"/>
    <tableColumn id="2" xr3:uid="{AFD6842D-6B37-499E-B413-67678ED23225}" name="takes" dataDxfId="955">
      <calculatedColumnFormula>COUNTIF(Scenario4[winner1-ability2],AvatarAbilities2Scenario4[[#This Row],[ability]])+COUNTIF(Scenario4[loser1-ability2],AvatarAbilities2Scenario4[[#This Row],[ability]])+COUNTIF(Scenario4[loser2-ability2],AvatarAbilities2Scenario4[[#This Row],[ability]])+COUNTIF(Scenario4[loser3-ability2],AvatarAbilities2Scenario4[[#This Row],[ability]])</calculatedColumnFormula>
    </tableColumn>
    <tableColumn id="3" xr3:uid="{FF6F2D0E-CED5-45C1-9019-38A425ECB655}" name="wins" dataDxfId="954">
      <calculatedColumnFormula>COUNTIF(Scenario4[winner1-ability2],AvatarAbilities2Scenario4[[#This Row],[ability]])</calculatedColumnFormula>
    </tableColumn>
    <tableColumn id="4" xr3:uid="{F137D81F-3073-4FAD-9B08-809B82677FC3}" name="battles-take-rate" dataDxfId="953">
      <calculatedColumnFormula>IF(SUM(AvatarAbilities2Scenario4[[#This Row],[takes]]) &gt; 0,AvatarAbilities2Scenario4[[#This Row],[takes]]/SUM(AvatarAbilities2Scenario4[takes]),0)</calculatedColumnFormula>
    </tableColumn>
    <tableColumn id="5" xr3:uid="{9F7A3906-45C7-4121-B139-4746A853A8C8}" name="take-win-rate" dataDxfId="952">
      <calculatedColumnFormula>IF(AvatarAbilities2Scenario4[[#This Row],[takes]]&gt;0,AvatarAbilities2Scenario4[[#This Row],[wins]]/AvatarAbilities2Scenario4[[#This Row],[takes]],0)</calculatedColumnFormula>
    </tableColumn>
  </tableColumns>
  <tableStyleInfo name="TableStyleMedium2" showFirstColumn="0" showLastColumn="0" showRowStripes="1" showColumnStripes="0"/>
</table>
</file>

<file path=xl/tables/table1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7" xr:uid="{39227E52-4671-4F62-BDCF-99752797E962}" name="AvatarAbilities3Scenario4" displayName="AvatarAbilities3Scenario4" ref="K96:O99" totalsRowShown="0" headerRowDxfId="951" headerRowBorderDxfId="950" tableBorderDxfId="949" totalsRowBorderDxfId="948">
  <autoFilter ref="K96:O99" xr:uid="{39227E52-4671-4F62-BDCF-99752797E962}"/>
  <tableColumns count="5">
    <tableColumn id="1" xr3:uid="{E5B60711-BB15-4F5F-9663-B64AFA9AAC2D}" name="ability"/>
    <tableColumn id="2" xr3:uid="{C1F47940-63D6-4CE2-9EE8-2CEA66276365}" name="takes" dataDxfId="947">
      <calculatedColumnFormula>COUNTIF(Scenario4[winner1-ability3],AvatarAbilities3Scenario4[[#This Row],[ability]])+COUNTIF(Scenario4[loser1-ability3],AvatarAbilities3Scenario4[[#This Row],[ability]])+COUNTIF(Scenario4[loser2-ability3],AvatarAbilities3Scenario4[[#This Row],[ability]])+COUNTIF(Scenario4[loser3-ability3],AvatarAbilities3Scenario4[[#This Row],[ability]])</calculatedColumnFormula>
    </tableColumn>
    <tableColumn id="3" xr3:uid="{8095CFD4-1503-42F7-91BF-ECC923EBC771}" name="wins" dataDxfId="946">
      <calculatedColumnFormula>COUNTIF(Scenario4[winner1-ability3],AvatarAbilities3Scenario4[[#This Row],[ability]])</calculatedColumnFormula>
    </tableColumn>
    <tableColumn id="4" xr3:uid="{135BEB7A-915D-48E6-B091-0340F09F4D94}" name="battles-take-rate" dataDxfId="945">
      <calculatedColumnFormula>IF(SUM(AvatarAbilities3Scenario4[[#This Row],[takes]]) &gt; 0,AvatarAbilities3Scenario4[[#This Row],[takes]]/SUM(AvatarAbilities3Scenario4[takes]),0)</calculatedColumnFormula>
    </tableColumn>
    <tableColumn id="5" xr3:uid="{24D6CA47-FC58-4899-845C-77606B6BADEA}" name="take-win-rate" dataDxfId="944">
      <calculatedColumnFormula>IF(AvatarAbilities3Scenario4[[#This Row],[takes]]&gt;0,AvatarAbilities3Scenario4[[#This Row],[wins]]/AvatarAbilities3Scenario4[[#This Row],[takes]],0)</calculatedColumnFormula>
    </tableColumn>
  </tableColumns>
  <tableStyleInfo name="TableStyleMedium2" showFirstColumn="0" showLastColumn="0" showRowStripes="1" showColumnStripes="0"/>
</table>
</file>

<file path=xl/tables/table1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8" xr:uid="{B70B30A2-D94A-4C2F-A92C-F84D834CB3E7}" name="AvatarAbilities4Scenario4" displayName="AvatarAbilities4Scenario4" ref="K101:O104" totalsRowShown="0" headerRowDxfId="943" headerRowBorderDxfId="942" tableBorderDxfId="941" totalsRowBorderDxfId="940">
  <autoFilter ref="K101:O104" xr:uid="{B70B30A2-D94A-4C2F-A92C-F84D834CB3E7}"/>
  <tableColumns count="5">
    <tableColumn id="1" xr3:uid="{002E9049-8F7A-4096-964E-F4939A456F53}" name="ability" dataDxfId="939"/>
    <tableColumn id="2" xr3:uid="{8EB8EF4A-38F7-42BA-A433-E84AC27F3BE5}" name="takes" dataDxfId="938">
      <calculatedColumnFormula>COUNTIF(Scenario4[winner1-ability4],AvatarAbilities4Scenario4[[#This Row],[ability]])+COUNTIF(Scenario4[loser1-ability4],AvatarAbilities4Scenario4[[#This Row],[ability]])+COUNTIF(Scenario4[loser2-ability4],AvatarAbilities4Scenario4[[#This Row],[ability]])+COUNTIF(Scenario4[loser3-ability4],AvatarAbilities4Scenario4[[#This Row],[ability]])</calculatedColumnFormula>
    </tableColumn>
    <tableColumn id="3" xr3:uid="{AEF154FB-6289-4277-B42E-E88DB8E4C06D}" name="wins" dataDxfId="937">
      <calculatedColumnFormula>COUNTIF(Scenario4[winner1-ability4],AvatarAbilities4Scenario4[[#This Row],[ability]])</calculatedColumnFormula>
    </tableColumn>
    <tableColumn id="4" xr3:uid="{65133FD4-CB3E-451F-9B0A-15A3A8F6140F}" name="battles-take-rate" dataDxfId="936">
      <calculatedColumnFormula>IF(SUM(AvatarAbilities4Scenario4[[#This Row],[takes]]) &gt; 0,AvatarAbilities4Scenario4[[#This Row],[takes]]/SUM(AvatarAbilities4Scenario4[takes]),0)</calculatedColumnFormula>
    </tableColumn>
    <tableColumn id="5" xr3:uid="{5DC2977A-9AB2-4436-A758-6B07D4AFE08F}" name="take-win-rate" dataDxfId="935">
      <calculatedColumnFormula>IF(AvatarAbilities4Scenario4[[#This Row],[takes]]&gt;0,AvatarAbilities4Scenario4[[#This Row],[wins]]/AvatarAbilities4Scenario4[[#This Row],[takes]],0)</calculatedColumnFormula>
    </tableColumn>
  </tableColumns>
  <tableStyleInfo name="TableStyleMedium2" showFirstColumn="0" showLastColumn="0" showRowStripes="1" showColumnStripes="0"/>
</table>
</file>

<file path=xl/tables/table1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9" xr:uid="{15F5C7F4-AA60-47ED-812C-FB19746FF869}" name="AvatarEquipScenario4" displayName="AvatarEquipScenario4" ref="Q86:S89" totalsRowShown="0">
  <autoFilter ref="Q86:S89" xr:uid="{15F5C7F4-AA60-47ED-812C-FB19746FF869}"/>
  <tableColumns count="3">
    <tableColumn id="1" xr3:uid="{E97D7436-10EA-457F-8F22-375B2B6D1790}" name="level"/>
    <tableColumn id="2" xr3:uid="{0B99BD24-DDD8-4495-9A61-EEF712E71BD8}" name="bracers" dataDxfId="934">
      <calculatedColumnFormula>COUNTIFS(Scenario4[winner1],"avatar",Scenario4[winner1-pw],AvatarEquipScenario4[[#This Row],[level]])+COUNTIFS(Scenario4[loser1],"avatar",Scenario4[loser1-pw],AvatarEquipScenario4[[#This Row],[level]])+COUNTIFS(Scenario4[loser2],"avatar",Scenario4[loser2-pw],AvatarEquipScenario4[[#This Row],[level]])+COUNTIFS(Scenario4[loser3],"avatar",Scenario4[loser3-pw],AvatarEquipScenario4[[#This Row],[level]])</calculatedColumnFormula>
    </tableColumn>
    <tableColumn id="4" xr3:uid="{043668DC-6AB2-403D-996C-936321BEEBC1}" name="chestpiece" dataDxfId="933">
      <calculatedColumnFormula>COUNTIFS(Scenario4[winner1],"avatar",Scenario4[winner1-cp],AvatarEquipScenario4[[#This Row],[level]])+COUNTIFS(Scenario4[loser1],"avatar",Scenario4[loser1-cp],AvatarEquipScenario4[[#This Row],[level]])+COUNTIFS(Scenario4[loser2],"avatar",Scenario4[loser2-cp],AvatarEquipScenario4[[#This Row],[level]])+COUNTIFS(Scenario4[loser3],"avatar",Scenario4[loser3-cp],AvatarEquipScenario4[[#This Row],[level]])</calculatedColumnFormula>
    </tableColumn>
  </tableColumns>
  <tableStyleInfo name="TableStyleMedium2" showFirstColumn="0" showLastColumn="0" showRowStripes="1" showColumnStripes="0"/>
</table>
</file>

<file path=xl/tables/table1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3" xr:uid="{FD328AEA-05A2-4EDF-8CF5-FD335FCD54BF}" name="AvatarAbilities1Scenario5" displayName="AvatarAbilities1Scenario5" ref="K107:O110" totalsRowShown="0">
  <autoFilter ref="K107:O110" xr:uid="{FD328AEA-05A2-4EDF-8CF5-FD335FCD54BF}"/>
  <tableColumns count="5">
    <tableColumn id="2" xr3:uid="{851EC250-6AAB-4238-A084-98EF7FE0AD3C}" name="ability"/>
    <tableColumn id="6" xr3:uid="{C35023F4-1CA0-4B9B-A13F-1D3A51011321}" name="takes" dataDxfId="932">
      <calculatedColumnFormula>COUNTIF(Scenario5[winner1-ability1],AvatarAbilities1Scenario5[[#This Row],[ability]])+COUNTIF(Scenario5[winner2-ability1],AvatarAbilities1Scenario5[[#This Row],[ability]])+COUNTIF(Scenario5[loser1-ability1],AvatarAbilities1Scenario5[[#This Row],[ability]])+COUNTIF(Scenario5[loser2-ability1],AvatarAbilities1Scenario5[[#This Row],[ability]])</calculatedColumnFormula>
    </tableColumn>
    <tableColumn id="4" xr3:uid="{724AB5DE-100B-4BF2-BBF9-08275849918D}" name="wins" dataDxfId="931">
      <calculatedColumnFormula>COUNTIF(Scenario5[winner1-ability1],AvatarAbilities1Scenario5[[#This Row],[ability]])+COUNTIF(Scenario5[winner2-ability1],AvatarAbilities1Scenario5[[#This Row],[ability]])</calculatedColumnFormula>
    </tableColumn>
    <tableColumn id="5" xr3:uid="{60EECE99-E6A5-4BB5-9B60-32ABD159D3BC}" name="battles-take-rate" dataDxfId="930">
      <calculatedColumnFormula>IF(SUM(AvatarAbilities1Scenario5[[#This Row],[takes]]) &gt; 0,AvatarAbilities1Scenario5[[#This Row],[takes]]/SUM(AvatarAbilities1Scenario5[takes]),0)</calculatedColumnFormula>
    </tableColumn>
    <tableColumn id="7" xr3:uid="{2C8CC4B8-C7F0-4500-87DF-5692B2B5BB02}" name="take-win-rate" dataDxfId="929">
      <calculatedColumnFormula>IF(AvatarAbilities1Scenario5[[#This Row],[takes]]&gt;0,AvatarAbilities1Scenario5[[#This Row],[wins]]/AvatarAbilities1Scenario5[[#This Row],[takes]],0)</calculatedColumnFormula>
    </tableColumn>
  </tableColumns>
  <tableStyleInfo name="TableStyleMedium2" showFirstColumn="0" showLastColumn="0" showRowStripes="1" showColumnStripes="0"/>
</table>
</file>

<file path=xl/tables/table1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4" xr:uid="{CBBDEBBB-90D8-4E5D-9AE0-1A74C21DEEF4}" name="AvatarAbilities2Scenario5" displayName="AvatarAbilities2Scenario5" ref="K112:O115" totalsRowShown="0" headerRowDxfId="928" headerRowBorderDxfId="927" tableBorderDxfId="926" totalsRowBorderDxfId="925">
  <autoFilter ref="K112:O115" xr:uid="{CBBDEBBB-90D8-4E5D-9AE0-1A74C21DEEF4}"/>
  <tableColumns count="5">
    <tableColumn id="1" xr3:uid="{CF9A300F-1869-49D6-A1AB-CC05F039C199}" name="ability"/>
    <tableColumn id="2" xr3:uid="{C13D1E19-BA69-4BE9-8CA5-73271E57DC52}" name="takes" dataDxfId="924">
      <calculatedColumnFormula>COUNTIF(Scenario5[winner1-ability2],AvatarAbilities2Scenario5[[#This Row],[ability]])+COUNTIF(Scenario5[winner2-ability2],AvatarAbilities2Scenario5[[#This Row],[ability]])+COUNTIF(Scenario5[loser1-ability2],AvatarAbilities2Scenario5[[#This Row],[ability]])+COUNTIF(Scenario5[loser2-ability2],AvatarAbilities2Scenario5[[#This Row],[ability]])</calculatedColumnFormula>
    </tableColumn>
    <tableColumn id="3" xr3:uid="{F49F1857-A72C-4663-88BA-64CB25C8BEE2}" name="wins" dataDxfId="923">
      <calculatedColumnFormula>COUNTIF(Scenario5[winner1-ability2],AvatarAbilities2Scenario5[[#This Row],[ability]])+COUNTIF(Scenario5[winner2-ability2],AvatarAbilities2Scenario5[[#This Row],[ability]])</calculatedColumnFormula>
    </tableColumn>
    <tableColumn id="4" xr3:uid="{6F2A5CDA-8633-4456-A2A2-B5B64D7F45DD}" name="battles-take-rate" dataDxfId="922">
      <calculatedColumnFormula>IF(SUM(AvatarAbilities2Scenario5[[#This Row],[takes]]) &gt; 0,AvatarAbilities2Scenario5[[#This Row],[takes]]/SUM(AvatarAbilities2Scenario5[takes]),0)</calculatedColumnFormula>
    </tableColumn>
    <tableColumn id="5" xr3:uid="{753E52A7-8E66-4667-9FAE-58723DFB3FF0}" name="take-win-rate" dataDxfId="921">
      <calculatedColumnFormula>IF(AvatarAbilities2Scenario5[[#This Row],[takes]]&gt;0,AvatarAbilities2Scenario5[[#This Row],[wins]]/AvatarAbilities2Scenario5[[#This Row],[takes]],0)</calculatedColumnFormula>
    </tableColumn>
  </tableColumns>
  <tableStyleInfo name="TableStyleMedium2" showFirstColumn="0" showLastColumn="0" showRowStripes="1" showColumnStripes="0"/>
</table>
</file>

<file path=xl/tables/table1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5" xr:uid="{BC0276C8-E11A-4882-9AD9-E5F6051EAAC9}" name="AvatarAbilities3Scenario5" displayName="AvatarAbilities3Scenario5" ref="K117:O120" totalsRowShown="0" headerRowDxfId="920" headerRowBorderDxfId="919" tableBorderDxfId="918" totalsRowBorderDxfId="917">
  <autoFilter ref="K117:O120" xr:uid="{BC0276C8-E11A-4882-9AD9-E5F6051EAAC9}"/>
  <tableColumns count="5">
    <tableColumn id="1" xr3:uid="{3152ADDB-EA65-4543-84DF-B1FBA2051429}" name="ability"/>
    <tableColumn id="2" xr3:uid="{6B84DE1C-4B40-418F-819D-A76290DCC098}" name="takes" dataDxfId="916">
      <calculatedColumnFormula>COUNTIF(Scenario5[winner1-ability3],AvatarAbilities3Scenario5[[#This Row],[ability]])+COUNTIF(Scenario5[winner2-ability3],AvatarAbilities3Scenario5[[#This Row],[ability]])+COUNTIF(Scenario5[loser1-ability3],AvatarAbilities3Scenario5[[#This Row],[ability]])+COUNTIF(Scenario5[loser2-ability3],AvatarAbilities3Scenario5[[#This Row],[ability]])</calculatedColumnFormula>
    </tableColumn>
    <tableColumn id="3" xr3:uid="{54EB35D0-D6D8-4050-987B-640131794313}" name="wins" dataDxfId="915">
      <calculatedColumnFormula>COUNTIF(Scenario5[winner1-ability3],AvatarAbilities3Scenario5[[#This Row],[ability]])+COUNTIF(Scenario5[winner2-ability3],AvatarAbilities3Scenario5[[#This Row],[ability]])</calculatedColumnFormula>
    </tableColumn>
    <tableColumn id="4" xr3:uid="{50FBC524-41B6-48B1-91B1-92ACC21AC477}" name="battles-take-rate" dataDxfId="914">
      <calculatedColumnFormula>IF(SUM(AvatarAbilities3Scenario5[[#This Row],[takes]]) &gt; 0,AvatarAbilities3Scenario5[[#This Row],[takes]]/SUM(AvatarAbilities3Scenario5[takes]),0)</calculatedColumnFormula>
    </tableColumn>
    <tableColumn id="5" xr3:uid="{D2419E36-6DD6-418C-B583-C32EA9339A19}" name="take-win-rate" dataDxfId="913">
      <calculatedColumnFormula>IF(AvatarAbilities3Scenario5[[#This Row],[takes]]&gt;0,AvatarAbilities3Scenario5[[#This Row],[wins]]/AvatarAbilities3Scenario5[[#This Row],[takes]],0)</calculatedColumnFormula>
    </tableColumn>
  </tableColumns>
  <tableStyleInfo name="TableStyleMedium2" showFirstColumn="0" showLastColumn="0" showRowStripes="1" showColumnStripes="0"/>
</table>
</file>

<file path=xl/tables/table1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6" xr:uid="{E059746D-E675-4EF0-88F4-8791605FEEED}" name="AvatarAbilities4Scenario5" displayName="AvatarAbilities4Scenario5" ref="K122:O125" totalsRowShown="0" headerRowDxfId="912" headerRowBorderDxfId="911" tableBorderDxfId="910" totalsRowBorderDxfId="909">
  <autoFilter ref="K122:O125" xr:uid="{E059746D-E675-4EF0-88F4-8791605FEEED}"/>
  <tableColumns count="5">
    <tableColumn id="1" xr3:uid="{20267F99-9DF2-489F-A0FB-268A63BB5519}" name="ability" dataDxfId="908"/>
    <tableColumn id="2" xr3:uid="{ED1C9F8E-8284-4586-BDDB-F607F38E81E8}" name="takes" dataDxfId="907">
      <calculatedColumnFormula>COUNTIF(Scenario5[winner1-ability4],AvatarAbilities4Scenario5[[#This Row],[ability]])+COUNTIF(Scenario5[winner2-ability4],AvatarAbilities4Scenario5[[#This Row],[ability]])+COUNTIF(Scenario5[loser1-ability4],AvatarAbilities4Scenario5[[#This Row],[ability]])+COUNTIF(Scenario5[loser2-ability4],AvatarAbilities4Scenario5[[#This Row],[ability]])</calculatedColumnFormula>
    </tableColumn>
    <tableColumn id="3" xr3:uid="{AE7B4946-7098-4FBF-B131-F3A974E87301}" name="wins" dataDxfId="906">
      <calculatedColumnFormula>COUNTIF(Scenario5[winner1-ability4],AvatarAbilities4Scenario5[[#This Row],[ability]])+COUNTIF(Scenario5[winner2-ability4],AvatarAbilities4Scenario5[[#This Row],[ability]])</calculatedColumnFormula>
    </tableColumn>
    <tableColumn id="4" xr3:uid="{C7CCC661-4091-430B-B65F-B26F3EA3BD87}" name="battles-take-rate" dataDxfId="905">
      <calculatedColumnFormula>IF(SUM(AvatarAbilities4Scenario5[[#This Row],[takes]]) &gt; 0,AvatarAbilities4Scenario5[[#This Row],[takes]]/SUM(AvatarAbilities4Scenario5[takes]),0)</calculatedColumnFormula>
    </tableColumn>
    <tableColumn id="5" xr3:uid="{B00A15C0-76BF-4F98-A2DC-A10707EFA8C4}" name="take-win-rate" dataDxfId="904">
      <calculatedColumnFormula>IF(AvatarAbilities4Scenario5[[#This Row],[takes]]&gt;0,AvatarAbilities4Scenario5[[#This Row],[wins]]/AvatarAbilities4Scenario5[[#This Row],[takes]],0)</calculatedColumnFormula>
    </tableColumn>
  </tableColumns>
  <tableStyleInfo name="TableStyleMedium2" showFirstColumn="0" showLastColumn="0" showRowStripes="1" showColumnStripes="0"/>
</table>
</file>

<file path=xl/tables/table1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7" xr:uid="{463807DC-0694-45EB-88CD-6604807E78B6}" name="AvatarEquipScenario5" displayName="AvatarEquipScenario5" ref="Q107:S110" totalsRowShown="0">
  <autoFilter ref="Q107:S110" xr:uid="{463807DC-0694-45EB-88CD-6604807E78B6}"/>
  <tableColumns count="3">
    <tableColumn id="1" xr3:uid="{A66811CF-40FE-4883-A62B-5DF76C24AB50}" name="level"/>
    <tableColumn id="2" xr3:uid="{E5979893-C68C-4FD1-B6E1-EDD30513A00B}" name="bracers" dataDxfId="903">
      <calculatedColumnFormula>COUNTIFS(Scenario5[winner1],"avatar",Scenario5[winner1-pw],AvatarEquipScenario5[[#This Row],[level]])+COUNTIFS(Scenario5[winner2],"avatar",Scenario5[winner2-pw],AvatarEquipScenario5[[#This Row],[level]])+COUNTIFS(Scenario5[loser1],"avatar",Scenario5[loser1-pw],AvatarEquipScenario5[[#This Row],[level]])+COUNTIFS(Scenario5[loser2],"avatar",Scenario5[loser2-pw],AvatarEquipScenario5[[#This Row],[level]])</calculatedColumnFormula>
    </tableColumn>
    <tableColumn id="4" xr3:uid="{57B02848-8814-42DB-91F6-C9F6AA7D6BEC}" name="chestpiece" dataDxfId="902">
      <calculatedColumnFormula>COUNTIFS(Scenario5[winner1],"avatar",Scenario5[winner1-cp],AvatarEquipScenario5[[#This Row],[level]])+COUNTIFS(Scenario5[winner2],"avatar",Scenario5[winner2-cp],AvatarEquipScenario5[[#This Row],[level]])+COUNTIFS(Scenario5[loser1],"avatar",Scenario5[loser1-cp],AvatarEquipScenario5[[#This Row],[level]])+COUNTIFS(Scenario5[loser2],"avatar",Scenario5[loser2-cp],AvatarEquipScenario5[[#This Row],[level]])</calculatedColumnFormula>
    </tableColumn>
  </tableColumns>
  <tableStyleInfo name="TableStyleMedium2" showFirstColumn="0" showLastColumn="0" showRowStripes="1" showColumnStripes="0"/>
</table>
</file>

<file path=xl/tables/table2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4E4B830E-F936-4559-B5B1-E032893198DF}" name="ShadowAbilities1" displayName="ShadowAbilities1" ref="A2:E5" totalsRowShown="0">
  <autoFilter ref="A2:E5" xr:uid="{DCA301F1-E0F8-4700-BEE5-2688AF43F23A}"/>
  <tableColumns count="5">
    <tableColumn id="2" xr3:uid="{CAEDA25C-C1A9-40B1-83C4-26F7727CA3C0}" name="ability"/>
    <tableColumn id="6" xr3:uid="{0F700663-A7D9-427F-AC3A-01879C8D8423}" name="takes" dataDxfId="901">
      <calculatedColumnFormula>L3+L24+L45+L66+L87+L108</calculatedColumnFormula>
    </tableColumn>
    <tableColumn id="4" xr3:uid="{E7594F03-C9FD-4ADD-810F-A5D3A80A11D0}" name="wins" dataDxfId="900">
      <calculatedColumnFormula>M3+M24+M45+M66+M87+M108</calculatedColumnFormula>
    </tableColumn>
    <tableColumn id="5" xr3:uid="{02A46B5D-C22D-499B-A57A-EDE540A8C147}" name="battles-take-rate" dataDxfId="899">
      <calculatedColumnFormula>IF(SUM(ShadowAbilities1[[#This Row],[takes]]) &gt; 0,ShadowAbilities1[[#This Row],[takes]]/SUM(ShadowAbilities1[takes]),0)</calculatedColumnFormula>
    </tableColumn>
    <tableColumn id="7" xr3:uid="{B6291078-4F9B-434F-9224-FE972AD369EB}" name="take-win-rate" dataDxfId="898">
      <calculatedColumnFormula>IF(ShadowAbilities1[[#This Row],[takes]]&gt;0,ShadowAbilities1[[#This Row],[wins]]/ShadowAbilities1[[#This Row],[takes]],0)</calculatedColumnFormula>
    </tableColumn>
  </tableColumns>
  <tableStyleInfo name="TableStyleMedium2" showFirstColumn="0" showLastColumn="0" showRowStripes="1" showColumnStripes="0"/>
</table>
</file>

<file path=xl/tables/table2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F77541C4-DEF5-413C-9B0D-E8FA77B38432}" name="ShadowAbilities2" displayName="ShadowAbilities2" ref="A7:E10" totalsRowShown="0" headerRowDxfId="897" headerRowBorderDxfId="896" tableBorderDxfId="895" totalsRowBorderDxfId="894">
  <autoFilter ref="A7:E10" xr:uid="{8ADAEE31-4DDA-4DF2-9EAD-04808D53FFC1}"/>
  <tableColumns count="5">
    <tableColumn id="1" xr3:uid="{6B5E3AC3-81B5-4343-970F-13E572195192}" name="ability"/>
    <tableColumn id="2" xr3:uid="{3C45E92A-CAB4-4885-8BDF-8DCBCE6BE7E4}" name="takes" dataDxfId="893">
      <calculatedColumnFormula>L8+L29+L50+L71+L92+L113</calculatedColumnFormula>
    </tableColumn>
    <tableColumn id="3" xr3:uid="{F5082C29-A973-4FDC-8C6D-DAB230FD220B}" name="wins" dataDxfId="892">
      <calculatedColumnFormula>M8+M29+M50+M71+M92+M113</calculatedColumnFormula>
    </tableColumn>
    <tableColumn id="4" xr3:uid="{955AA51C-C441-4923-93B4-21A375FB8EAB}" name="battles-take-rate" dataDxfId="891">
      <calculatedColumnFormula>IF(SUM(ShadowAbilities2[[#This Row],[takes]]) &gt; 0,ShadowAbilities2[[#This Row],[takes]]/SUM(ShadowAbilities2[takes]),0)</calculatedColumnFormula>
    </tableColumn>
    <tableColumn id="5" xr3:uid="{D995E179-259B-4157-8794-24D1A9EE1071}" name="take-win-rate" dataDxfId="890">
      <calculatedColumnFormula>IF(ShadowAbilities2[[#This Row],[takes]]&gt;0,ShadowAbilities2[[#This Row],[wins]]/ShadowAbilities2[[#This Row],[takes]],0)</calculatedColumnFormula>
    </tableColumn>
  </tableColumns>
  <tableStyleInfo name="TableStyleMedium2" showFirstColumn="0" showLastColumn="0" showRowStripes="1" showColumnStripes="0"/>
</table>
</file>

<file path=xl/tables/table2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EF896B66-6BC6-4347-8E5F-7C020CB75D2A}" name="ShadowAbilities3" displayName="ShadowAbilities3" ref="A12:E15" totalsRowShown="0" headerRowDxfId="889" headerRowBorderDxfId="888" tableBorderDxfId="887" totalsRowBorderDxfId="886">
  <autoFilter ref="A12:E15" xr:uid="{1B0EA3CA-FA8E-4345-B52C-471D5C94AD38}"/>
  <tableColumns count="5">
    <tableColumn id="1" xr3:uid="{EC3CA277-9F9C-4111-B109-CD35934392AD}" name="ability"/>
    <tableColumn id="2" xr3:uid="{2861288D-B84B-4465-8EA5-F9EAD5D6AFB4}" name="takes" dataDxfId="885">
      <calculatedColumnFormula>L13+L34+L55+L76+L97+L118</calculatedColumnFormula>
    </tableColumn>
    <tableColumn id="3" xr3:uid="{69A0AA59-1954-41A9-9184-3D9DCEC82306}" name="wins" dataDxfId="884">
      <calculatedColumnFormula>M13+M34+M55+M76+M97+M118</calculatedColumnFormula>
    </tableColumn>
    <tableColumn id="4" xr3:uid="{D2E0470C-3533-4EB8-BCB1-093B0305CFE5}" name="battles-take-rate" dataDxfId="883">
      <calculatedColumnFormula>IF(SUM(ShadowAbilities3[[#This Row],[takes]]) &gt; 0,ShadowAbilities3[[#This Row],[takes]]/SUM(ShadowAbilities3[takes]),0)</calculatedColumnFormula>
    </tableColumn>
    <tableColumn id="5" xr3:uid="{D7AB188B-474A-443A-AE35-E210B55BB829}" name="take-win-rate" dataDxfId="882">
      <calculatedColumnFormula>IF(ShadowAbilities3[[#This Row],[takes]]&gt;0,ShadowAbilities3[[#This Row],[wins]]/ShadowAbilities3[[#This Row],[takes]],0)</calculatedColumnFormula>
    </tableColumn>
  </tableColumns>
  <tableStyleInfo name="TableStyleMedium2" showFirstColumn="0" showLastColumn="0" showRowStripes="1" showColumnStripes="0"/>
</table>
</file>

<file path=xl/tables/table2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60C43B3B-F3AC-412A-9F64-5DA50E83D898}" name="ShadowAbilities4" displayName="ShadowAbilities4" ref="A17:E20" totalsRowShown="0" headerRowDxfId="881" headerRowBorderDxfId="880" tableBorderDxfId="879" totalsRowBorderDxfId="878">
  <autoFilter ref="A17:E20" xr:uid="{2AADA4A0-2F4A-4009-8ECF-0BECA693390C}"/>
  <tableColumns count="5">
    <tableColumn id="1" xr3:uid="{508E3F3C-793A-4D3F-8FE4-5033189433FA}" name="ability" dataDxfId="877"/>
    <tableColumn id="2" xr3:uid="{26190FBD-0D5B-4F70-AB7C-38105BD3682B}" name="takes" dataDxfId="876">
      <calculatedColumnFormula>L18+L39+L60+L81+L102+L123</calculatedColumnFormula>
    </tableColumn>
    <tableColumn id="3" xr3:uid="{6304B665-DF35-4910-8085-1B0F98C1C08E}" name="wins" dataDxfId="875">
      <calculatedColumnFormula>M18+M39+M60+M81+M102+M123</calculatedColumnFormula>
    </tableColumn>
    <tableColumn id="4" xr3:uid="{CE4233CF-2026-408F-A9F5-172CFF825DD4}" name="battles-take-rate" dataDxfId="874">
      <calculatedColumnFormula>IF(SUM(ShadowAbilities4[[#This Row],[takes]]) &gt; 0,ShadowAbilities4[[#This Row],[takes]]/SUM(ShadowAbilities4[takes]),0)</calculatedColumnFormula>
    </tableColumn>
    <tableColumn id="5" xr3:uid="{CE593245-D425-440D-A81B-8502700E936A}" name="take-win-rate" dataDxfId="873">
      <calculatedColumnFormula>IF(ShadowAbilities4[[#This Row],[takes]]&gt;0,ShadowAbilities4[[#This Row],[wins]]/ShadowAbilities4[[#This Row],[takes]],0)</calculatedColumnFormula>
    </tableColumn>
  </tableColumns>
  <tableStyleInfo name="TableStyleMedium2" showFirstColumn="0" showLastColumn="0" showRowStripes="1" showColumnStripes="0"/>
</table>
</file>

<file path=xl/tables/table2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0B8A9BA0-2FE0-4ACB-99AD-D08CDE7A441E}" name="ShadowEquip" displayName="ShadowEquip" ref="G2:I5" totalsRowShown="0">
  <autoFilter ref="G2:I5" xr:uid="{C15024E5-2A00-4F8B-BBEB-0FE7A036BC54}"/>
  <tableColumns count="3">
    <tableColumn id="1" xr3:uid="{A36EE635-F1BB-4734-8221-35CCF2A9AB46}" name="level"/>
    <tableColumn id="2" xr3:uid="{241299E0-7D56-42BA-8343-F613331227E1}" name="bow" dataDxfId="872">
      <calculatedColumnFormula>R3+R24+R45+R66+R87+R108</calculatedColumnFormula>
    </tableColumn>
    <tableColumn id="4" xr3:uid="{066CD957-712B-40B8-9181-60B4B646F9D5}" name="chestpiece" dataDxfId="871">
      <calculatedColumnFormula>S3+S24+S45+S66+S87+S108</calculatedColumnFormula>
    </tableColumn>
  </tableColumns>
  <tableStyleInfo name="TableStyleMedium2" showFirstColumn="0" showLastColumn="0" showRowStripes="1" showColumnStripes="0"/>
</table>
</file>

<file path=xl/tables/table2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D464FA53-821F-4E00-8794-31278255C7F5}" name="ShadowAbilities1Scenario0" displayName="ShadowAbilities1Scenario0" ref="K2:O5" totalsRowShown="0">
  <autoFilter ref="K2:O5" xr:uid="{4CDFB74F-734F-4444-929B-80D3797B5492}"/>
  <tableColumns count="5">
    <tableColumn id="2" xr3:uid="{9227A8EF-2604-42EE-B9D3-F7036D561A7B}" name="ability"/>
    <tableColumn id="6" xr3:uid="{BD5D58C3-AB1D-40AA-8974-AF7DED4D9797}" name="takes" dataDxfId="870">
      <calculatedColumnFormula>COUNTIF(Scenario0[winner1-ability1],ShadowAbilities1Scenario0[[#This Row],[ability]])+COUNTIF(Scenario0[winner2-ability1],ShadowAbilities1Scenario0[[#This Row],[ability]])+COUNTIF(Scenario0[loser1-ability1],ShadowAbilities1Scenario0[[#This Row],[ability]])+COUNTIF(Scenario0[loser2-ability1],ShadowAbilities1Scenario0[[#This Row],[ability]])</calculatedColumnFormula>
    </tableColumn>
    <tableColumn id="4" xr3:uid="{FAE3DD51-03AD-496E-9811-091108D9CFE2}" name="wins" dataDxfId="869">
      <calculatedColumnFormula>COUNTIF(Scenario0[winner1-ability1],ShadowAbilities1Scenario0[[#This Row],[ability]])+COUNTIF(Scenario0[winner2-ability1],ShadowAbilities1Scenario0[[#This Row],[ability]])</calculatedColumnFormula>
    </tableColumn>
    <tableColumn id="5" xr3:uid="{1718AA16-FFB5-4851-908D-689B4F3B6A08}" name="battles-take-rate" dataDxfId="868">
      <calculatedColumnFormula>IF(SUM(ShadowAbilities1Scenario0[[#This Row],[takes]]) &gt; 0,ShadowAbilities1Scenario0[[#This Row],[takes]]/SUM(ShadowAbilities1Scenario0[takes]),0)</calculatedColumnFormula>
    </tableColumn>
    <tableColumn id="7" xr3:uid="{B7D201C5-5929-431C-9D78-787F8AF9C29E}" name="take-win-rate" dataDxfId="867">
      <calculatedColumnFormula>IF(ShadowAbilities1Scenario0[[#This Row],[takes]]&gt;0,ShadowAbilities1Scenario0[[#This Row],[wins]]/ShadowAbilities1Scenario0[[#This Row],[takes]],0)</calculatedColumnFormula>
    </tableColumn>
  </tableColumns>
  <tableStyleInfo name="TableStyleMedium2" showFirstColumn="0" showLastColumn="0" showRowStripes="1" showColumnStripes="0"/>
</table>
</file>

<file path=xl/tables/table2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7C32D957-1261-426D-BB2E-FC03E249E4F7}" name="ShadowAbilities2Scenario0" displayName="ShadowAbilities2Scenario0" ref="K7:O10" totalsRowShown="0" headerRowDxfId="866" headerRowBorderDxfId="865" tableBorderDxfId="864" totalsRowBorderDxfId="863">
  <autoFilter ref="K7:O10" xr:uid="{07F4368A-34C9-4286-BBA2-89F699718525}"/>
  <tableColumns count="5">
    <tableColumn id="1" xr3:uid="{B3DF3A41-9FD2-4433-BFB9-D128EAFCC109}" name="ability"/>
    <tableColumn id="2" xr3:uid="{A0FE9104-BE7E-4E97-8339-EDAF87583638}" name="takes" dataDxfId="862">
      <calculatedColumnFormula>COUNTIF(Scenario0[winner1-ability2],ShadowAbilities2Scenario0[[#This Row],[ability]])+COUNTIF(Scenario0[winner2-ability2],ShadowAbilities2Scenario0[[#This Row],[ability]])+COUNTIF(Scenario0[loser1-ability2],ShadowAbilities2Scenario0[[#This Row],[ability]])+COUNTIF(Scenario0[loser2-ability2],ShadowAbilities2Scenario0[[#This Row],[ability]])</calculatedColumnFormula>
    </tableColumn>
    <tableColumn id="3" xr3:uid="{2239B055-55A9-4836-9E4A-4D1C81BD8D64}" name="wins" dataDxfId="861">
      <calculatedColumnFormula>COUNTIF(Scenario0[winner1-ability2],ShadowAbilities2Scenario0[[#This Row],[ability]])+COUNTIF(Scenario0[winner2-ability2],ShadowAbilities2Scenario0[[#This Row],[ability]])</calculatedColumnFormula>
    </tableColumn>
    <tableColumn id="4" xr3:uid="{8AC5B85B-0A9F-473F-BDA6-7A69CD2D7148}" name="battles-take-rate" dataDxfId="860">
      <calculatedColumnFormula>IF(SUM(ShadowAbilities2Scenario0[[#This Row],[takes]]) &gt; 0,ShadowAbilities2Scenario0[[#This Row],[takes]]/SUM(ShadowAbilities2Scenario0[takes]),0)</calculatedColumnFormula>
    </tableColumn>
    <tableColumn id="5" xr3:uid="{DF2043AC-885D-4D3B-8F80-5B1271E2EE94}" name="take-win-rate" dataDxfId="859">
      <calculatedColumnFormula>IF(ShadowAbilities2Scenario0[[#This Row],[takes]]&gt;0,ShadowAbilities2Scenario0[[#This Row],[wins]]/ShadowAbilities2Scenario0[[#This Row],[takes]],0)</calculatedColumnFormula>
    </tableColumn>
  </tableColumns>
  <tableStyleInfo name="TableStyleMedium2" showFirstColumn="0" showLastColumn="0" showRowStripes="1" showColumnStripes="0"/>
</table>
</file>

<file path=xl/tables/table2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D94E2A3B-00CF-4FA1-B706-D3F473F2E5B7}" name="ShadowAbilities3Scenario0" displayName="ShadowAbilities3Scenario0" ref="K12:O15" totalsRowShown="0" headerRowDxfId="858" headerRowBorderDxfId="857" tableBorderDxfId="856" totalsRowBorderDxfId="855">
  <autoFilter ref="K12:O15" xr:uid="{E8520742-705B-4A78-A5FD-1F57726A369B}"/>
  <tableColumns count="5">
    <tableColumn id="1" xr3:uid="{6F761ADC-987C-407F-852B-29C9D5DCC6A4}" name="ability"/>
    <tableColumn id="2" xr3:uid="{27176077-8217-4D8D-B7C6-C5249A8A9269}" name="takes" dataDxfId="854">
      <calculatedColumnFormula>COUNTIF(Scenario0[winner1-ability3],ShadowAbilities3Scenario0[[#This Row],[ability]])+COUNTIF(Scenario0[winner2-ability3],ShadowAbilities3Scenario0[[#This Row],[ability]])+COUNTIF(Scenario0[loser1-ability3],ShadowAbilities3Scenario0[[#This Row],[ability]])+COUNTIF(Scenario0[loser2-ability3],ShadowAbilities3Scenario0[[#This Row],[ability]])</calculatedColumnFormula>
    </tableColumn>
    <tableColumn id="3" xr3:uid="{1123C3C5-1F3F-409E-9B39-017E49C04B91}" name="wins" dataDxfId="853">
      <calculatedColumnFormula>COUNTIF(Scenario0[winner1-ability3],ShadowAbilities3Scenario0[[#This Row],[ability]])+COUNTIF(Scenario0[winner2-ability3],ShadowAbilities3Scenario0[[#This Row],[ability]])</calculatedColumnFormula>
    </tableColumn>
    <tableColumn id="4" xr3:uid="{56CC86D7-08DE-499C-9C9C-169FF2FC0F52}" name="battles-take-rate" dataDxfId="852">
      <calculatedColumnFormula>IF(SUM(ShadowAbilities3Scenario0[[#This Row],[takes]]) &gt; 0,ShadowAbilities3Scenario0[[#This Row],[takes]]/SUM(ShadowAbilities3Scenario0[takes]),0)</calculatedColumnFormula>
    </tableColumn>
    <tableColumn id="5" xr3:uid="{065129C6-CB96-484B-A1C2-D1024E6EAC2B}" name="take-win-rate" dataDxfId="851">
      <calculatedColumnFormula>IF(ShadowAbilities3Scenario0[[#This Row],[takes]]&gt;0,ShadowAbilities3Scenario0[[#This Row],[wins]]/ShadowAbilities3Scenario0[[#This Row],[takes]],0)</calculatedColumnFormula>
    </tableColumn>
  </tableColumns>
  <tableStyleInfo name="TableStyleMedium2" showFirstColumn="0" showLastColumn="0" showRowStripes="1" showColumnStripes="0"/>
</table>
</file>

<file path=xl/tables/table2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1F3EC6B7-9D90-4E77-9344-7ECF91B34C9B}" name="ShadowAbilities4Scenario0" displayName="ShadowAbilities4Scenario0" ref="K17:O20" totalsRowShown="0" headerRowDxfId="850" headerRowBorderDxfId="849" tableBorderDxfId="848" totalsRowBorderDxfId="847">
  <autoFilter ref="K17:O20" xr:uid="{01E0B516-A92C-45D4-946B-0FCF2F31D98A}"/>
  <tableColumns count="5">
    <tableColumn id="1" xr3:uid="{7A69B0E2-20CF-43A3-920A-9AE63CA4EDD6}" name="ability" dataDxfId="846"/>
    <tableColumn id="2" xr3:uid="{A0E31296-499C-405F-BCF6-B2EAB56FDACC}" name="takes" dataDxfId="845">
      <calculatedColumnFormula>COUNTIF(Scenario0[winner1-ability4],ShadowAbilities4Scenario0[[#This Row],[ability]])+COUNTIF(Scenario0[winner2-ability4],ShadowAbilities4Scenario0[[#This Row],[ability]])+COUNTIF(Scenario0[loser1-ability4],ShadowAbilities4Scenario0[[#This Row],[ability]])+COUNTIF(Scenario0[loser2-ability4],ShadowAbilities4Scenario0[[#This Row],[ability]])</calculatedColumnFormula>
    </tableColumn>
    <tableColumn id="3" xr3:uid="{494E54F2-F814-496A-A58D-8842058A1A25}" name="wins" dataDxfId="844">
      <calculatedColumnFormula>COUNTIF(Scenario0[winner1-ability4],ShadowAbilities4Scenario0[[#This Row],[ability]])+COUNTIF(Scenario0[winner2-ability4],ShadowAbilities4Scenario0[[#This Row],[ability]])</calculatedColumnFormula>
    </tableColumn>
    <tableColumn id="4" xr3:uid="{3DA6486E-2DDF-47F6-93E0-B2F5FA67C0D2}" name="battles-take-rate" dataDxfId="843">
      <calculatedColumnFormula>IF(SUM(ShadowAbilities4Scenario0[[#This Row],[takes]]) &gt; 0,ShadowAbilities4Scenario0[[#This Row],[takes]]/SUM(ShadowAbilities4Scenario0[takes]),0)</calculatedColumnFormula>
    </tableColumn>
    <tableColumn id="5" xr3:uid="{E661EC93-1340-4563-B960-7B6F1A9C9122}" name="take-win-rate" dataDxfId="842">
      <calculatedColumnFormula>IF(ShadowAbilities4Scenario0[[#This Row],[takes]]&gt;0,ShadowAbilities4Scenario0[[#This Row],[wins]]/ShadowAbilities4Scenario0[[#This Row],[takes]],0)</calculatedColumnFormula>
    </tableColumn>
  </tableColumns>
  <tableStyleInfo name="TableStyleMedium2" showFirstColumn="0" showLastColumn="0" showRowStripes="1" showColumnStripes="0"/>
</table>
</file>

<file path=xl/tables/table2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9FF1CF35-A352-45E7-8AEA-BCC94D110B95}" name="ShadowEquipScenario0" displayName="ShadowEquipScenario0" ref="Q2:S5" totalsRowShown="0">
  <autoFilter ref="Q2:S5" xr:uid="{E84D91C4-DFF3-43B9-932F-3FEFFBEA9FF1}"/>
  <tableColumns count="3">
    <tableColumn id="1" xr3:uid="{2A73AF38-B7BA-495B-B480-CEBCC44580DF}" name="level"/>
    <tableColumn id="2" xr3:uid="{D219C869-99F3-4DA9-B5EC-B0C496A1F2FB}" name="bow" dataDxfId="841">
      <calculatedColumnFormula>COUNTIFS(Scenario0[winner1],"shadow",Scenario0[winner1-pw],ShadowEquipScenario0[[#This Row],[level]])+COUNTIFS(Scenario0[winner2],"shadow",Scenario0[winner2-pw],ShadowEquipScenario0[[#This Row],[level]])+COUNTIFS(Scenario0[loser1],"shadow",Scenario0[loser1-pw],ShadowEquipScenario0[[#This Row],[level]])+COUNTIFS(Scenario0[loser2],"shadow",Scenario0[loser2-pw],ShadowEquipScenario0[[#This Row],[level]])</calculatedColumnFormula>
    </tableColumn>
    <tableColumn id="4" xr3:uid="{F158CF70-D794-4DAC-B593-ADB8DD7E8E54}" name="chestpiece" dataDxfId="840">
      <calculatedColumnFormula>COUNTIFS(Scenario0[winner1],"shadow",Scenario0[winner1-cp],ShadowEquipScenario0[[#This Row],[level]])+COUNTIFS(Scenario0[winner2],"shadow",Scenario0[winner2-cp],ShadowEquipScenario0[[#This Row],[level]])+COUNTIFS(Scenario0[loser1],"shadow",Scenario0[loser1-cp],ShadowEquipScenario0[[#This Row],[level]])+COUNTIFS(Scenario0[loser2],"shadow",Scenario0[loser2-cp],ShadowEquipScenario0[[#This Row],[level]])</calculatedColumnFormula>
    </tableColumn>
  </tableColumns>
  <tableStyleInfo name="TableStyleMedium2" showFirstColumn="0" showLastColumn="0" showRowStripes="1" showColumnStripes="0"/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xr:uid="{F9ED96BB-47D7-416B-A8C3-C70BA80F1027}" name="ShadowAbilities1Scenario1" displayName="ShadowAbilities1Scenario1" ref="K23:O26" totalsRowShown="0">
  <autoFilter ref="K23:O26" xr:uid="{A0A97CA7-01BF-4D92-A7D1-F51028CD7758}"/>
  <tableColumns count="5">
    <tableColumn id="2" xr3:uid="{008DE325-A586-489D-A2DB-59EF3BAA2B7C}" name="ability"/>
    <tableColumn id="6" xr3:uid="{FE9CC10D-A58A-4550-B8A0-B2C3AC7FA742}" name="takes" dataDxfId="839">
      <calculatedColumnFormula>COUNTIF(Scenario1[winner1-ability1],ShadowAbilities1Scenario1[[#This Row],[ability]])+COUNTIF(Scenario1[winner2-ability1],ShadowAbilities1Scenario1[[#This Row],[ability]])+COUNTIF(Scenario1[loser1-ability1],ShadowAbilities1Scenario1[[#This Row],[ability]])+COUNTIF(Scenario1[loser2-ability1],ShadowAbilities1Scenario1[[#This Row],[ability]])</calculatedColumnFormula>
    </tableColumn>
    <tableColumn id="4" xr3:uid="{D0CFE807-5100-45DB-B48C-2740E7D2C3D9}" name="wins" dataDxfId="838">
      <calculatedColumnFormula>COUNTIF(Scenario1[winner1-ability1],ShadowAbilities1Scenario1[[#This Row],[ability]])+COUNTIF(Scenario1[winner2-ability1],ShadowAbilities1Scenario1[[#This Row],[ability]])</calculatedColumnFormula>
    </tableColumn>
    <tableColumn id="5" xr3:uid="{9376B1A3-0436-432B-BDBF-F36E426E380F}" name="battles-take-rate" dataDxfId="837">
      <calculatedColumnFormula>IF(SUM(ShadowAbilities1Scenario1[[#This Row],[takes]]) &gt; 0,ShadowAbilities1Scenario1[[#This Row],[takes]]/SUM(ShadowAbilities1Scenario1[takes]),0)</calculatedColumnFormula>
    </tableColumn>
    <tableColumn id="7" xr3:uid="{3E54B8AB-27F8-473D-876A-9DBE1A9425EA}" name="take-win-rate" dataDxfId="836">
      <calculatedColumnFormula>IF(ShadowAbilities1Scenario1[[#This Row],[takes]]&gt;0,ShadowAbilities1Scenario1[[#This Row],[wins]]/ShadowAbilities1Scenario1[[#This Row],[takes]],0)</calculatedColumnFormula>
    </tableColumn>
  </tableColumns>
  <tableStyleInfo name="TableStyleMedium2" showFirstColumn="0" showLastColumn="0" showRowStripes="1" showColumnStripes="0"/>
</table>
</file>

<file path=xl/tables/table2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xr:uid="{7CB56C41-9B70-4C14-A2D4-CEDCA4BB920D}" name="ShadowAbilities2Scenario1" displayName="ShadowAbilities2Scenario1" ref="K28:O31" totalsRowShown="0" headerRowDxfId="835" headerRowBorderDxfId="834" tableBorderDxfId="833" totalsRowBorderDxfId="832">
  <autoFilter ref="K28:O31" xr:uid="{A29CF70A-0B84-46BB-A412-712C2F594795}"/>
  <tableColumns count="5">
    <tableColumn id="1" xr3:uid="{FE94DC15-4790-41F4-BC69-BF326D2E026F}" name="ability"/>
    <tableColumn id="2" xr3:uid="{7708381C-1CD9-4BA3-B60C-4290D89277B5}" name="takes" dataDxfId="831">
      <calculatedColumnFormula>COUNTIF(Scenario1[winner1-ability2],ShadowAbilities2Scenario1[[#This Row],[ability]])+COUNTIF(Scenario1[winner2-ability2],ShadowAbilities2Scenario1[[#This Row],[ability]])+COUNTIF(Scenario1[loser1-ability2],ShadowAbilities2Scenario1[[#This Row],[ability]])+COUNTIF(Scenario1[loser2-ability2],ShadowAbilities2Scenario1[[#This Row],[ability]])</calculatedColumnFormula>
    </tableColumn>
    <tableColumn id="3" xr3:uid="{AD5D9A42-709C-46B0-89AD-C2D2E53CD046}" name="wins" dataDxfId="830">
      <calculatedColumnFormula>COUNTIF(Scenario1[winner1-ability2],ShadowAbilities2Scenario1[[#This Row],[ability]])+COUNTIF(Scenario1[winner2-ability2],ShadowAbilities2Scenario1[[#This Row],[ability]])</calculatedColumnFormula>
    </tableColumn>
    <tableColumn id="4" xr3:uid="{3558D6B4-65EE-4DBA-B309-AFA9DEA4466A}" name="battles-take-rate" dataDxfId="829">
      <calculatedColumnFormula>IF(SUM(ShadowAbilities2Scenario1[[#This Row],[takes]]) &gt; 0,ShadowAbilities2Scenario1[[#This Row],[takes]]/SUM(ShadowAbilities2Scenario1[takes]),0)</calculatedColumnFormula>
    </tableColumn>
    <tableColumn id="5" xr3:uid="{8A56ADB3-78DF-4EA7-AE3D-3DCEC9E62F47}" name="take-win-rate" dataDxfId="828">
      <calculatedColumnFormula>IF(ShadowAbilities2Scenario1[[#This Row],[takes]]&gt;0,ShadowAbilities2Scenario1[[#This Row],[wins]]/ShadowAbilities2Scenario1[[#This Row],[takes]],0)</calculatedColumnFormula>
    </tableColumn>
  </tableColumns>
  <tableStyleInfo name="TableStyleMedium2" showFirstColumn="0" showLastColumn="0" showRowStripes="1" showColumnStripes="0"/>
</table>
</file>

<file path=xl/tables/table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xr:uid="{8F93C5FE-3490-4C27-8EC3-67DADDC89D38}" name="ShadowAbilities3Scenario1" displayName="ShadowAbilities3Scenario1" ref="K33:O36" totalsRowShown="0" headerRowDxfId="827" headerRowBorderDxfId="826" tableBorderDxfId="825" totalsRowBorderDxfId="824">
  <autoFilter ref="K33:O36" xr:uid="{CBC18F4E-86CD-4BE3-9377-2B862ED3B826}"/>
  <tableColumns count="5">
    <tableColumn id="1" xr3:uid="{46B1700A-E166-4555-85F4-D30DBCCF684B}" name="ability"/>
    <tableColumn id="2" xr3:uid="{4965850A-1D55-4AB0-B418-78A56DC02458}" name="takes" dataDxfId="823">
      <calculatedColumnFormula>COUNTIF(Scenario1[winner1-ability3],ShadowAbilities3Scenario1[[#This Row],[ability]])+COUNTIF(Scenario1[winner2-ability3],ShadowAbilities3Scenario1[[#This Row],[ability]])+COUNTIF(Scenario1[loser1-ability3],ShadowAbilities3Scenario1[[#This Row],[ability]])+COUNTIF(Scenario1[loser2-ability3],ShadowAbilities3Scenario1[[#This Row],[ability]])</calculatedColumnFormula>
    </tableColumn>
    <tableColumn id="3" xr3:uid="{35A0E5BD-7FF0-41F0-8216-6C500009F439}" name="wins" dataDxfId="822">
      <calculatedColumnFormula>COUNTIF(Scenario1[winner1-ability3],ShadowAbilities3Scenario1[[#This Row],[ability]])+COUNTIF(Scenario1[winner2-ability3],ShadowAbilities3Scenario1[[#This Row],[ability]])</calculatedColumnFormula>
    </tableColumn>
    <tableColumn id="4" xr3:uid="{1A537A8D-DE5C-40C1-8C0F-5AD01EFB611F}" name="battles-take-rate" dataDxfId="821">
      <calculatedColumnFormula>IF(SUM(ShadowAbilities3Scenario1[[#This Row],[takes]]) &gt; 0,ShadowAbilities3Scenario1[[#This Row],[takes]]/SUM(ShadowAbilities3Scenario1[takes]),0)</calculatedColumnFormula>
    </tableColumn>
    <tableColumn id="5" xr3:uid="{B007A33C-1672-4F1D-A617-F64057A5D033}" name="take-win-rate" dataDxfId="820">
      <calculatedColumnFormula>IF(ShadowAbilities3Scenario1[[#This Row],[takes]]&gt;0,ShadowAbilities3Scenario1[[#This Row],[wins]]/ShadowAbilities3Scenario1[[#This Row],[takes]],0)</calculatedColumnFormula>
    </tableColumn>
  </tableColumns>
  <tableStyleInfo name="TableStyleMedium2" showFirstColumn="0" showLastColumn="0" showRowStripes="1" showColumnStripes="0"/>
</table>
</file>

<file path=xl/tables/table2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xr:uid="{F74B7300-937D-4C51-B097-F12AF43569C3}" name="ShadowAbilities4Scenario1" displayName="ShadowAbilities4Scenario1" ref="K38:O41" totalsRowShown="0" headerRowDxfId="819" headerRowBorderDxfId="818" tableBorderDxfId="817" totalsRowBorderDxfId="816">
  <autoFilter ref="K38:O41" xr:uid="{A1F38E75-59DE-4DB4-B81C-C0322397F6F7}"/>
  <tableColumns count="5">
    <tableColumn id="1" xr3:uid="{B95A8C1F-E83A-4A7B-ACAE-F997D171F354}" name="ability" dataDxfId="815"/>
    <tableColumn id="2" xr3:uid="{B5A87322-37A1-488C-B6C2-23B9D65EEB08}" name="takes" dataDxfId="814">
      <calculatedColumnFormula>COUNTIF(Scenario1[winner1-ability4],ShadowAbilities4Scenario1[[#This Row],[ability]])+COUNTIF(Scenario1[winner2-ability4],ShadowAbilities4Scenario1[[#This Row],[ability]])+COUNTIF(Scenario1[loser1-ability4],ShadowAbilities4Scenario1[[#This Row],[ability]])+COUNTIF(Scenario1[loser2-ability4],ShadowAbilities4Scenario1[[#This Row],[ability]])</calculatedColumnFormula>
    </tableColumn>
    <tableColumn id="3" xr3:uid="{0FFFDCC5-C182-47DA-9E8F-B1DA233CC01A}" name="wins" dataDxfId="813">
      <calculatedColumnFormula>COUNTIF(Scenario1[winner1-ability4],ShadowAbilities4Scenario1[[#This Row],[ability]])+COUNTIF(Scenario1[winner2-ability4],ShadowAbilities4Scenario1[[#This Row],[ability]])</calculatedColumnFormula>
    </tableColumn>
    <tableColumn id="4" xr3:uid="{7FA6BF5E-27A7-4FD2-90DE-A6BE13644EA8}" name="battles-take-rate" dataDxfId="812">
      <calculatedColumnFormula>IF(SUM(ShadowAbilities4Scenario1[[#This Row],[takes]]) &gt; 0,ShadowAbilities4Scenario1[[#This Row],[takes]]/SUM(ShadowAbilities4Scenario1[takes]),0)</calculatedColumnFormula>
    </tableColumn>
    <tableColumn id="5" xr3:uid="{74028A3C-F581-4E0F-B14A-B02F84C99095}" name="take-win-rate" dataDxfId="811">
      <calculatedColumnFormula>IF(ShadowAbilities4Scenario1[[#This Row],[takes]]&gt;0,ShadowAbilities4Scenario1[[#This Row],[wins]]/ShadowAbilities4Scenario1[[#This Row],[takes]],0)</calculatedColumnFormula>
    </tableColumn>
  </tableColumns>
  <tableStyleInfo name="TableStyleMedium2" showFirstColumn="0" showLastColumn="0" showRowStripes="1" showColumnStripes="0"/>
</table>
</file>

<file path=xl/tables/table2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xr:uid="{5BFC3DE1-C338-4853-B366-0028F8423C03}" name="ShadowEquipScenario1" displayName="ShadowEquipScenario1" ref="Q23:S26" totalsRowShown="0">
  <autoFilter ref="Q23:S26" xr:uid="{18EECD25-0AE5-4756-B5E1-492D523A2929}"/>
  <tableColumns count="3">
    <tableColumn id="1" xr3:uid="{2A77700A-7044-45F3-988F-3EC818532322}" name="level"/>
    <tableColumn id="2" xr3:uid="{E4D31566-F0D1-4730-8608-5F563805FA29}" name="bow" dataDxfId="810">
      <calculatedColumnFormula>COUNTIFS(Scenario1[winner1],"shadow",Scenario1[winner1-pw],ShadowEquipScenario1[[#This Row],[level]])+COUNTIFS(Scenario1[winner2],"shadow",Scenario1[winner2-pw],ShadowEquipScenario1[[#This Row],[level]])+COUNTIFS(Scenario1[loser1],"shadow",Scenario1[loser1-pw],ShadowEquipScenario1[[#This Row],[level]])+COUNTIFS(Scenario1[loser2],"shadow",Scenario1[loser2-pw],ShadowEquipScenario1[[#This Row],[level]])</calculatedColumnFormula>
    </tableColumn>
    <tableColumn id="4" xr3:uid="{73CA964D-C78A-4377-BFE0-17B46479DCD1}" name="chestpiece" dataDxfId="809">
      <calculatedColumnFormula>COUNTIFS(Scenario1[winner1],"shadow",Scenario1[winner1-cp],ShadowEquipScenario1[[#This Row],[level]])+COUNTIFS(Scenario1[winner2],"shadow",Scenario1[winner2-cp],ShadowEquipScenario1[[#This Row],[level]])+COUNTIFS(Scenario1[loser1],"shadow",Scenario1[loser1-cp],ShadowEquipScenario1[[#This Row],[level]])+COUNTIFS(Scenario1[loser2],"shadow",Scenario1[loser2-cp],ShadowEquipScenario1[[#This Row],[level]])</calculatedColumnFormula>
    </tableColumn>
  </tableColumns>
  <tableStyleInfo name="TableStyleMedium2" showFirstColumn="0" showLastColumn="0" showRowStripes="1" showColumnStripes="0"/>
</table>
</file>

<file path=xl/tables/table2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xr:uid="{DD22B9EC-CCE6-4461-80DF-880367BBBCBD}" name="ShadowAbilities1Scenario2" displayName="ShadowAbilities1Scenario2" ref="K44:O47" totalsRowShown="0">
  <autoFilter ref="K44:O47" xr:uid="{81D76695-EE53-4A07-9351-842AC55F2540}"/>
  <tableColumns count="5">
    <tableColumn id="2" xr3:uid="{4629BE3F-DAA4-4934-A0EE-1371B2FE1BDB}" name="ability"/>
    <tableColumn id="6" xr3:uid="{EB33759E-56B1-477E-BC3C-6832E6F20FAC}" name="takes" dataDxfId="808">
      <calculatedColumnFormula>COUNTIF(Scenario2[winner1-ability1],ShadowAbilities1Scenario2[[#This Row],[ability]])+COUNTIF(Scenario2[loser1-ability1],ShadowAbilities1Scenario2[[#This Row],[ability]])</calculatedColumnFormula>
    </tableColumn>
    <tableColumn id="4" xr3:uid="{FE738003-AC04-4A76-9B67-5638D109637C}" name="wins" dataDxfId="807">
      <calculatedColumnFormula>COUNTIF(Scenario2[winner1-ability1],ShadowAbilities1Scenario2[[#This Row],[ability]])</calculatedColumnFormula>
    </tableColumn>
    <tableColumn id="5" xr3:uid="{AE0DC280-6579-4B86-B8B4-CDC9AF90EDBE}" name="battles-take-rate" dataDxfId="806">
      <calculatedColumnFormula>IF(SUM(ShadowAbilities1Scenario2[[#This Row],[takes]]) &gt; 0,ShadowAbilities1Scenario2[[#This Row],[takes]]/SUM(ShadowAbilities1Scenario2[takes]),0)</calculatedColumnFormula>
    </tableColumn>
    <tableColumn id="7" xr3:uid="{A5D22C9E-BE77-4635-B2CB-3DB13AFE1B20}" name="take-win-rate" dataDxfId="805">
      <calculatedColumnFormula>IF(ShadowAbilities1Scenario2[[#This Row],[takes]]&gt;0,ShadowAbilities1Scenario2[[#This Row],[wins]]/ShadowAbilities1Scenario2[[#This Row],[takes]],0)</calculatedColumnFormula>
    </tableColumn>
  </tableColumns>
  <tableStyleInfo name="TableStyleMedium2" showFirstColumn="0" showLastColumn="0" showRowStripes="1" showColumnStripes="0"/>
</table>
</file>

<file path=xl/tables/table2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xr:uid="{A0D3D6DA-0647-413D-BED0-D5E7C75A4319}" name="ShadowAbilities2Scenario2" displayName="ShadowAbilities2Scenario2" ref="K49:O52" totalsRowShown="0" headerRowDxfId="804" headerRowBorderDxfId="803" tableBorderDxfId="802" totalsRowBorderDxfId="801">
  <autoFilter ref="K49:O52" xr:uid="{B5828340-8DA1-4B65-ACEB-BDDDED872E64}"/>
  <tableColumns count="5">
    <tableColumn id="1" xr3:uid="{5F69D259-6B87-468D-A7C6-6DC954F308AB}" name="ability"/>
    <tableColumn id="2" xr3:uid="{97AC012A-579E-455B-AC0A-07E4FE22C416}" name="takes" dataDxfId="800">
      <calculatedColumnFormula>COUNTIF(Scenario2[winner1-ability2],ShadowAbilities2Scenario2[[#This Row],[ability]])+COUNTIF(Scenario2[loser1-ability2],ShadowAbilities2Scenario2[[#This Row],[ability]])</calculatedColumnFormula>
    </tableColumn>
    <tableColumn id="3" xr3:uid="{5B8199CD-AE06-4F14-A5CD-40B606AD87E3}" name="wins" dataDxfId="799">
      <calculatedColumnFormula>COUNTIF(Scenario2[winner1-ability2],ShadowAbilities2Scenario2[[#This Row],[ability]])</calculatedColumnFormula>
    </tableColumn>
    <tableColumn id="4" xr3:uid="{348088A2-AD3A-435D-AAD6-1030EDC81266}" name="battles-take-rate" dataDxfId="798">
      <calculatedColumnFormula>IF(SUM(ShadowAbilities2Scenario2[[#This Row],[takes]]) &gt; 0,ShadowAbilities2Scenario2[[#This Row],[takes]]/SUM(ShadowAbilities2Scenario2[takes]),0)</calculatedColumnFormula>
    </tableColumn>
    <tableColumn id="5" xr3:uid="{235B4BB0-D6BF-4BB6-8832-B715BDD3BE87}" name="take-win-rate" dataDxfId="797">
      <calculatedColumnFormula>IF(ShadowAbilities2Scenario2[[#This Row],[takes]]&gt;0,ShadowAbilities2Scenario2[[#This Row],[wins]]/ShadowAbilities2Scenario2[[#This Row],[takes]],0)</calculatedColumnFormula>
    </tableColumn>
  </tableColumns>
  <tableStyleInfo name="TableStyleMedium2" showFirstColumn="0" showLastColumn="0" showRowStripes="1" showColumnStripes="0"/>
</table>
</file>

<file path=xl/tables/table2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xr:uid="{104D66A0-47FD-45C0-91D3-ACDEDE0FF10A}" name="ShadowAbilities3Scenario2" displayName="ShadowAbilities3Scenario2" ref="K54:O57" totalsRowShown="0" headerRowDxfId="796" headerRowBorderDxfId="795" tableBorderDxfId="794" totalsRowBorderDxfId="793">
  <autoFilter ref="K54:O57" xr:uid="{34ED10E5-B169-4BBA-8F2C-73FF473D0922}"/>
  <tableColumns count="5">
    <tableColumn id="1" xr3:uid="{6301EBDF-1BC0-4914-97D3-CEE665476939}" name="ability"/>
    <tableColumn id="2" xr3:uid="{20DE5D3D-0E8C-4DBD-AE46-C2AD6DEAE9F6}" name="takes" dataDxfId="792">
      <calculatedColumnFormula>COUNTIF(Scenario2[winner1-ability3],ShadowAbilities3Scenario2[[#This Row],[ability]])+COUNTIF(Scenario2[loser1-ability3],ShadowAbilities3Scenario2[[#This Row],[ability]])</calculatedColumnFormula>
    </tableColumn>
    <tableColumn id="3" xr3:uid="{7DA47513-028B-499E-81F6-E4D5DC0BFAC4}" name="wins" dataDxfId="791">
      <calculatedColumnFormula>COUNTIF(Scenario2[winner1-ability3],ShadowAbilities3Scenario2[[#This Row],[ability]])</calculatedColumnFormula>
    </tableColumn>
    <tableColumn id="4" xr3:uid="{B6BC679A-540A-46F8-8039-4C37B6F8FAD6}" name="battles-take-rate" dataDxfId="790">
      <calculatedColumnFormula>IF(SUM(ShadowAbilities3Scenario2[[#This Row],[takes]]) &gt; 0,ShadowAbilities3Scenario2[[#This Row],[takes]]/SUM(ShadowAbilities3Scenario2[takes]),0)</calculatedColumnFormula>
    </tableColumn>
    <tableColumn id="5" xr3:uid="{7B45EB82-9FF3-4705-BEFD-984E25A3228B}" name="take-win-rate" dataDxfId="789">
      <calculatedColumnFormula>IF(ShadowAbilities3Scenario2[[#This Row],[takes]]&gt;0,ShadowAbilities3Scenario2[[#This Row],[wins]]/ShadowAbilities3Scenario2[[#This Row],[takes]],0)</calculatedColumnFormula>
    </tableColumn>
  </tableColumns>
  <tableStyleInfo name="TableStyleMedium2" showFirstColumn="0" showLastColumn="0" showRowStripes="1" showColumnStripes="0"/>
</table>
</file>

<file path=xl/tables/table2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xr:uid="{48FB5608-00F7-4F5C-8567-E0861503FA44}" name="ShadowAbilities4Scenario2" displayName="ShadowAbilities4Scenario2" ref="K59:O62" totalsRowShown="0" headerRowDxfId="788" headerRowBorderDxfId="787" tableBorderDxfId="786" totalsRowBorderDxfId="785">
  <autoFilter ref="K59:O62" xr:uid="{DDB7F110-02A6-4F67-8266-251AF48CB7C0}"/>
  <tableColumns count="5">
    <tableColumn id="1" xr3:uid="{808C7394-83C0-4054-AFB9-9F9E1965E6DC}" name="ability" dataDxfId="784"/>
    <tableColumn id="2" xr3:uid="{A8117EB0-F8AE-4362-841F-EBC31BDC80E7}" name="takes" dataDxfId="783">
      <calculatedColumnFormula>COUNTIF(Scenario2[winner1-ability4],ShadowAbilities4Scenario2[[#This Row],[ability]])+COUNTIF(Scenario2[loser1-ability4],ShadowAbilities4Scenario2[[#This Row],[ability]])</calculatedColumnFormula>
    </tableColumn>
    <tableColumn id="3" xr3:uid="{790E022C-04A3-40D9-BE58-56578068C815}" name="wins" dataDxfId="782">
      <calculatedColumnFormula>COUNTIF(Scenario2[winner1-ability4],ShadowAbilities4Scenario2[[#This Row],[ability]])</calculatedColumnFormula>
    </tableColumn>
    <tableColumn id="4" xr3:uid="{D18D0446-17DA-4367-8791-04B929BF7C7E}" name="battles-take-rate" dataDxfId="781">
      <calculatedColumnFormula>IF(SUM(ShadowAbilities4Scenario2[[#This Row],[takes]]) &gt; 0,ShadowAbilities4Scenario2[[#This Row],[takes]]/SUM(ShadowAbilities4Scenario2[takes]),0)</calculatedColumnFormula>
    </tableColumn>
    <tableColumn id="5" xr3:uid="{254D8BB9-A8B2-4F99-A354-FFD4FD65ECA3}" name="take-win-rate" dataDxfId="780">
      <calculatedColumnFormula>IF(ShadowAbilities4Scenario2[[#This Row],[takes]]&gt;0,ShadowAbilities4Scenario2[[#This Row],[wins]]/ShadowAbilities4Scenario2[[#This Row],[takes]],0)</calculatedColumnFormula>
    </tableColumn>
  </tableColumns>
  <tableStyleInfo name="TableStyleMedium2" showFirstColumn="0" showLastColumn="0" showRowStripes="1" showColumnStripes="0"/>
</table>
</file>

<file path=xl/tables/table2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xr:uid="{633BF414-8950-4650-8211-DDD7B5F9EA66}" name="ShadowEquipScenario2" displayName="ShadowEquipScenario2" ref="Q44:S47" totalsRowShown="0">
  <autoFilter ref="Q44:S47" xr:uid="{BDEC3E9D-FA56-4E08-A52D-2A8BEB87833A}"/>
  <tableColumns count="3">
    <tableColumn id="1" xr3:uid="{8C52FA7B-F153-4326-9A25-982398926169}" name="level"/>
    <tableColumn id="2" xr3:uid="{7F46205B-214A-4E4D-8E55-9600054E4654}" name="bow" dataDxfId="779">
      <calculatedColumnFormula>COUNTIFS(Scenario2[winner1],"shadow",Scenario2[winner1-pw],ShadowEquipScenario2[[#This Row],[level]])+COUNTIFS(Scenario2[loser1],"shadow",Scenario2[loser1-pw],ShadowEquipScenario2[[#This Row],[level]])</calculatedColumnFormula>
    </tableColumn>
    <tableColumn id="4" xr3:uid="{F299A8D6-B21B-4204-A41A-57E9F5411651}" name="chestpiece" dataDxfId="778">
      <calculatedColumnFormula>COUNTIFS(Scenario2[winner1],"shadow",Scenario2[winner1-cp],ShadowEquipScenario2[[#This Row],[level]])+COUNTIFS(Scenario2[loser1],"shadow",Scenario2[loser1-cp],ShadowEquipScenario2[[#This Row],[level]])</calculatedColumnFormula>
    </tableColumn>
  </tableColumns>
  <tableStyleInfo name="TableStyleMedium2" showFirstColumn="0" showLastColumn="0" showRowStripes="1" showColumnStripes="0"/>
</table>
</file>

<file path=xl/tables/table2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7341B3D-EDB5-4CB6-A0BD-FE86D48746B6}" name="UpgradeStatistics192021222324" displayName="UpgradeStatistics192021222324" ref="U1:V9" totalsRowShown="0">
  <autoFilter ref="U1:V9" xr:uid="{47341B3D-EDB5-4CB6-A0BD-FE86D48746B6}"/>
  <tableColumns count="2">
    <tableColumn id="1" xr3:uid="{0F3EF709-E7A9-4D6F-9139-36B840F6E0F0}" name="upgrade"/>
    <tableColumn id="3" xr3:uid="{D11948F6-51BC-4969-B867-CDE71ADF7ECB}" name="rate" dataDxfId="777"/>
  </tableColumns>
  <tableStyleInfo name="TableStyleMedium2" showFirstColumn="0" showLastColumn="0" showRowStripes="1" showColumnStripes="0"/>
</table>
</file>

<file path=xl/tables/table2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ABBA0D88-EFF9-4299-B4C0-7244A47B1598}" name="ShadowAbilities1Scenario3" displayName="ShadowAbilities1Scenario3" ref="K65:O68" totalsRowShown="0">
  <autoFilter ref="K65:O68" xr:uid="{ABBA0D88-EFF9-4299-B4C0-7244A47B1598}"/>
  <tableColumns count="5">
    <tableColumn id="2" xr3:uid="{5B3EC8E7-6FE6-408E-A5CF-F9C3A1117ED5}" name="ability"/>
    <tableColumn id="6" xr3:uid="{FA56D196-8DBA-436B-B820-2F36FBFE1DC1}" name="takes" dataDxfId="776">
      <calculatedColumnFormula>COUNTIF(Scenario3[winner1-ability1],ShadowAbilities1Scenario3[[#This Row],[ability]])+COUNTIF(Scenario3[loser1-ability1],ShadowAbilities1Scenario3[[#This Row],[ability]])+COUNTIF(Scenario3[loser2-ability1],ShadowAbilities1Scenario3[[#This Row],[ability]])</calculatedColumnFormula>
    </tableColumn>
    <tableColumn id="4" xr3:uid="{98D01748-538E-4B79-98BB-5084234EBFCF}" name="wins" dataDxfId="775">
      <calculatedColumnFormula>COUNTIF(Scenario3[winner1-ability1],ShadowAbilities1Scenario3[[#This Row],[ability]])</calculatedColumnFormula>
    </tableColumn>
    <tableColumn id="5" xr3:uid="{CF3E5CA9-0667-4428-A210-89117623418E}" name="battles-take-rate" dataDxfId="774">
      <calculatedColumnFormula>IF(SUM(ShadowAbilities1Scenario3[[#This Row],[takes]]) &gt; 0,ShadowAbilities1Scenario3[[#This Row],[takes]]/SUM(ShadowAbilities1Scenario3[takes]),0)</calculatedColumnFormula>
    </tableColumn>
    <tableColumn id="7" xr3:uid="{D25081CB-BDA3-4B97-B3CD-E69A54460DB0}" name="take-win-rate" dataDxfId="773">
      <calculatedColumnFormula>IF(ShadowAbilities1Scenario3[[#This Row],[takes]]&gt;0,ShadowAbilities1Scenario3[[#This Row],[wins]]/ShadowAbilities1Scenario3[[#This Row],[takes]],0)</calculatedColumnFormula>
    </tableColumn>
  </tableColumns>
  <tableStyleInfo name="TableStyleMedium2" showFirstColumn="0" showLastColumn="0" showRowStripes="1" showColumnStripes="0"/>
</table>
</file>

<file path=xl/tables/table2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61A842B9-E051-48BC-B146-2C54859A18A1}" name="ShadowAbilities2Scenario3" displayName="ShadowAbilities2Scenario3" ref="K70:O73" totalsRowShown="0" headerRowDxfId="772" headerRowBorderDxfId="771" tableBorderDxfId="770" totalsRowBorderDxfId="769">
  <autoFilter ref="K70:O73" xr:uid="{61A842B9-E051-48BC-B146-2C54859A18A1}"/>
  <tableColumns count="5">
    <tableColumn id="1" xr3:uid="{FC438562-0CC9-4B11-830A-C920F8CB4BA6}" name="ability"/>
    <tableColumn id="2" xr3:uid="{EDCBDCE4-6E3F-4C3D-A182-224E882A3B08}" name="takes" dataDxfId="768">
      <calculatedColumnFormula>COUNTIF(Scenario3[winner1-ability2],ShadowAbilities2Scenario3[[#This Row],[ability]])+COUNTIF(Scenario3[loser1-ability2],ShadowAbilities2Scenario3[[#This Row],[ability]])+COUNTIF(Scenario3[loser2-ability2],ShadowAbilities2Scenario3[[#This Row],[ability]])</calculatedColumnFormula>
    </tableColumn>
    <tableColumn id="3" xr3:uid="{1F86078D-048B-444D-A7A8-9AEEC0A6814C}" name="wins" dataDxfId="767">
      <calculatedColumnFormula>COUNTIF(Scenario3[winner1-ability2],ShadowAbilities2Scenario3[[#This Row],[ability]])</calculatedColumnFormula>
    </tableColumn>
    <tableColumn id="4" xr3:uid="{F55503FB-455E-4E35-B348-DB7A213DC482}" name="battles-take-rate" dataDxfId="766">
      <calculatedColumnFormula>IF(SUM(ShadowAbilities2Scenario3[[#This Row],[takes]]) &gt; 0,ShadowAbilities2Scenario3[[#This Row],[takes]]/SUM(ShadowAbilities2Scenario3[takes]),0)</calculatedColumnFormula>
    </tableColumn>
    <tableColumn id="5" xr3:uid="{08110912-F578-4249-95FD-202C8CBC45FA}" name="take-win-rate" dataDxfId="765">
      <calculatedColumnFormula>IF(ShadowAbilities2Scenario3[[#This Row],[takes]]&gt;0,ShadowAbilities2Scenario3[[#This Row],[wins]]/ShadowAbilities2Scenario3[[#This Row],[takes]],0)</calculatedColumnFormula>
    </tableColumn>
  </tableColumns>
  <tableStyleInfo name="TableStyleMedium2" showFirstColumn="0" showLastColumn="0" showRowStripes="1" showColumnStripes="0"/>
</table>
</file>

<file path=xl/tables/table2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xr:uid="{550A6479-5308-4962-AFA9-B91C4059FC88}" name="ShadowAbilities3Scenario3" displayName="ShadowAbilities3Scenario3" ref="K75:O78" totalsRowShown="0" headerRowDxfId="764" headerRowBorderDxfId="763" tableBorderDxfId="762" totalsRowBorderDxfId="761">
  <autoFilter ref="K75:O78" xr:uid="{550A6479-5308-4962-AFA9-B91C4059FC88}"/>
  <tableColumns count="5">
    <tableColumn id="1" xr3:uid="{62C6DAB4-3DEC-4135-973E-03D6C6AFC2E8}" name="ability"/>
    <tableColumn id="2" xr3:uid="{87CCFE13-7307-40E3-B5A1-CBB486F71362}" name="takes" dataDxfId="760">
      <calculatedColumnFormula>COUNTIF(Scenario3[winner1-ability3],ShadowAbilities3Scenario3[[#This Row],[ability]])+COUNTIF(Scenario3[loser1-ability3],ShadowAbilities3Scenario3[[#This Row],[ability]])+COUNTIF(Scenario3[loser2-ability3],ShadowAbilities3Scenario3[[#This Row],[ability]])</calculatedColumnFormula>
    </tableColumn>
    <tableColumn id="3" xr3:uid="{5AB48A51-2E74-4B83-9E47-2EB35C813B52}" name="wins" dataDxfId="759">
      <calculatedColumnFormula>COUNTIF(Scenario3[winner1-ability3],ShadowAbilities3Scenario3[[#This Row],[ability]])</calculatedColumnFormula>
    </tableColumn>
    <tableColumn id="4" xr3:uid="{FE627B80-B071-44ED-96E3-2D22A6BFBE3E}" name="battles-take-rate" dataDxfId="758">
      <calculatedColumnFormula>IF(SUM(ShadowAbilities3Scenario3[[#This Row],[takes]]) &gt; 0,ShadowAbilities3Scenario3[[#This Row],[takes]]/SUM(ShadowAbilities3Scenario3[takes]),0)</calculatedColumnFormula>
    </tableColumn>
    <tableColumn id="5" xr3:uid="{DEC56C79-E3BC-4F29-8683-76262800559C}" name="take-win-rate" dataDxfId="757">
      <calculatedColumnFormula>IF(ShadowAbilities3Scenario3[[#This Row],[takes]]&gt;0,ShadowAbilities3Scenario3[[#This Row],[wins]]/ShadowAbilities3Scenario3[[#This Row],[takes]],0)</calculatedColumnFormula>
    </tableColumn>
  </tableColumns>
  <tableStyleInfo name="TableStyleMedium2" showFirstColumn="0" showLastColumn="0" showRowStripes="1" showColumnStripes="0"/>
</table>
</file>

<file path=xl/tables/table2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xr:uid="{89998BA8-FF2B-4F78-B422-0769B096DA12}" name="ShadowAbilities4Scenario3" displayName="ShadowAbilities4Scenario3" ref="K80:O83" totalsRowShown="0" headerRowDxfId="756" headerRowBorderDxfId="755" tableBorderDxfId="754" totalsRowBorderDxfId="753">
  <autoFilter ref="K80:O83" xr:uid="{89998BA8-FF2B-4F78-B422-0769B096DA12}"/>
  <tableColumns count="5">
    <tableColumn id="1" xr3:uid="{9E2ED936-C92E-4DB6-8A8D-6A5D54890827}" name="ability" dataDxfId="752"/>
    <tableColumn id="2" xr3:uid="{30C20F36-9263-41F1-934F-C7B737783080}" name="takes" dataDxfId="751">
      <calculatedColumnFormula>COUNTIF(Scenario3[winner1-ability4],ShadowAbilities4Scenario3[[#This Row],[ability]])+COUNTIF(Scenario3[loser1-ability4],ShadowAbilities4Scenario3[[#This Row],[ability]])+COUNTIF(Scenario3[loser2-ability4],ShadowAbilities4Scenario3[[#This Row],[ability]])</calculatedColumnFormula>
    </tableColumn>
    <tableColumn id="3" xr3:uid="{761632CA-5559-4582-A65E-64D24F1D06EC}" name="wins" dataDxfId="750">
      <calculatedColumnFormula>COUNTIF(Scenario3[winner1-ability4],ShadowAbilities4Scenario3[[#This Row],[ability]])</calculatedColumnFormula>
    </tableColumn>
    <tableColumn id="4" xr3:uid="{C78891C3-5CB5-4131-9173-2B27B1A4D302}" name="battles-take-rate" dataDxfId="749">
      <calculatedColumnFormula>IF(SUM(ShadowAbilities4Scenario3[[#This Row],[takes]]) &gt; 0,ShadowAbilities4Scenario3[[#This Row],[takes]]/SUM(ShadowAbilities4Scenario3[takes]),0)</calculatedColumnFormula>
    </tableColumn>
    <tableColumn id="5" xr3:uid="{4C8D0B12-142E-4263-A4F1-0FAE05320F2B}" name="take-win-rate" dataDxfId="748">
      <calculatedColumnFormula>IF(ShadowAbilities4Scenario3[[#This Row],[takes]]&gt;0,ShadowAbilities4Scenario3[[#This Row],[wins]]/ShadowAbilities4Scenario3[[#This Row],[takes]],0)</calculatedColumnFormula>
    </tableColumn>
  </tableColumns>
  <tableStyleInfo name="TableStyleMedium2" showFirstColumn="0" showLastColumn="0" showRowStripes="1" showColumnStripes="0"/>
</table>
</file>

<file path=xl/tables/table2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xr:uid="{46A96F5D-4C39-4F38-BFFE-8A70297F9012}" name="ShadowEquipScenario3" displayName="ShadowEquipScenario3" ref="Q65:S68" totalsRowShown="0">
  <autoFilter ref="Q65:S68" xr:uid="{46A96F5D-4C39-4F38-BFFE-8A70297F9012}"/>
  <tableColumns count="3">
    <tableColumn id="1" xr3:uid="{FC324FA8-963E-4D1D-B0B9-C110B35F3CA0}" name="level"/>
    <tableColumn id="2" xr3:uid="{8A09F58C-E049-4B78-BC3D-5DB1F43D4BD8}" name="bow" dataDxfId="747">
      <calculatedColumnFormula>COUNTIFS(Scenario3[winner1],"shadow",Scenario3[winner1-pw],ShadowEquipScenario3[[#This Row],[level]])+COUNTIFS(Scenario3[loser1],"shadow",Scenario3[loser1-pw],ShadowEquipScenario3[[#This Row],[level]])+COUNTIFS(Scenario3[loser2],"shadow",Scenario3[loser2-pw],ShadowEquipScenario3[[#This Row],[level]])</calculatedColumnFormula>
    </tableColumn>
    <tableColumn id="4" xr3:uid="{3A6C6DAB-9E2A-4C99-A048-EEFBE2785150}" name="chestpiece" dataDxfId="746">
      <calculatedColumnFormula>COUNTIFS(Scenario3[winner1],"shadow",Scenario3[winner1-cp],ShadowEquipScenario3[[#This Row],[level]])+COUNTIFS(Scenario3[loser1],"shadow",Scenario3[loser1-cp],ShadowEquipScenario3[[#This Row],[level]])+COUNTIFS(Scenario3[loser2],"shadow",Scenario3[loser2-cp],ShadowEquipScenario3[[#This Row],[level]])</calculatedColumnFormula>
    </tableColumn>
  </tableColumns>
  <tableStyleInfo name="TableStyleMedium2" showFirstColumn="0" showLastColumn="0" showRowStripes="1" showColumnStripes="0"/>
</table>
</file>

<file path=xl/tables/table2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0" xr:uid="{9E982169-412A-4959-9CB9-C065699E3F30}" name="ShadowAbilities1Scenario4" displayName="ShadowAbilities1Scenario4" ref="K86:O89" totalsRowShown="0">
  <autoFilter ref="K86:O89" xr:uid="{9E982169-412A-4959-9CB9-C065699E3F30}"/>
  <tableColumns count="5">
    <tableColumn id="2" xr3:uid="{79C899D7-CC48-461A-B02D-2F0B69CE0D46}" name="ability"/>
    <tableColumn id="6" xr3:uid="{E10B3F31-3744-41C2-A0CF-53264A8E5C89}" name="takes" dataDxfId="745">
      <calculatedColumnFormula>COUNTIF(Scenario4[winner1-ability1],ShadowAbilities1Scenario4[[#This Row],[ability]])+COUNTIF(Scenario4[loser1-ability1],ShadowAbilities1Scenario4[[#This Row],[ability]])+COUNTIF(Scenario4[loser2-ability1],ShadowAbilities1Scenario4[[#This Row],[ability]])+COUNTIF(Scenario4[loser3-ability1],ShadowAbilities1Scenario4[[#This Row],[ability]])</calculatedColumnFormula>
    </tableColumn>
    <tableColumn id="4" xr3:uid="{A476ED5E-1965-46AA-BACE-AC92DD7BD66D}" name="wins" dataDxfId="744">
      <calculatedColumnFormula>COUNTIF(Scenario4[winner1-ability1],ShadowAbilities1Scenario4[[#This Row],[ability]])</calculatedColumnFormula>
    </tableColumn>
    <tableColumn id="5" xr3:uid="{A901B921-06E8-4AEC-A96B-C713A120EDCD}" name="battles-take-rate" dataDxfId="743">
      <calculatedColumnFormula>IF(SUM(ShadowAbilities1Scenario4[[#This Row],[takes]]) &gt; 0,ShadowAbilities1Scenario4[[#This Row],[takes]]/SUM(ShadowAbilities1Scenario4[takes]),0)</calculatedColumnFormula>
    </tableColumn>
    <tableColumn id="7" xr3:uid="{6C8A1216-F083-470E-AE8F-E7054452D8A1}" name="take-win-rate" dataDxfId="742">
      <calculatedColumnFormula>IF(ShadowAbilities1Scenario4[[#This Row],[takes]]&gt;0,ShadowAbilities1Scenario4[[#This Row],[wins]]/ShadowAbilities1Scenario4[[#This Row],[takes]],0)</calculatedColumnFormula>
    </tableColumn>
  </tableColumns>
  <tableStyleInfo name="TableStyleMedium2" showFirstColumn="0" showLastColumn="0" showRowStripes="1" showColumnStripes="0"/>
</table>
</file>

<file path=xl/tables/table2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1" xr:uid="{7C28C760-F3AA-4696-BD6D-A2AF834CBAD0}" name="ShadowAbilities2Scenario4" displayName="ShadowAbilities2Scenario4" ref="K91:O94" totalsRowShown="0" headerRowDxfId="741" headerRowBorderDxfId="740" tableBorderDxfId="739" totalsRowBorderDxfId="738">
  <autoFilter ref="K91:O94" xr:uid="{7C28C760-F3AA-4696-BD6D-A2AF834CBAD0}"/>
  <tableColumns count="5">
    <tableColumn id="1" xr3:uid="{BD92149E-4D60-4D8D-8054-B53A659FFB1E}" name="ability"/>
    <tableColumn id="2" xr3:uid="{98AC64D4-F64B-4FC2-876B-D45E2A34B88E}" name="takes" dataDxfId="737">
      <calculatedColumnFormula>COUNTIF(Scenario4[winner1-ability2],ShadowAbilities2Scenario4[[#This Row],[ability]])+COUNTIF(Scenario4[loser1-ability2],ShadowAbilities2Scenario4[[#This Row],[ability]])+COUNTIF(Scenario4[loser2-ability2],ShadowAbilities2Scenario4[[#This Row],[ability]])+COUNTIF(Scenario4[loser3-ability2],ShadowAbilities2Scenario4[[#This Row],[ability]])</calculatedColumnFormula>
    </tableColumn>
    <tableColumn id="3" xr3:uid="{74DB4C33-18D8-49D7-A45F-FAF548E113D7}" name="wins" dataDxfId="736">
      <calculatedColumnFormula>COUNTIF(Scenario4[winner1-ability2],ShadowAbilities2Scenario4[[#This Row],[ability]])</calculatedColumnFormula>
    </tableColumn>
    <tableColumn id="4" xr3:uid="{9729481F-2A5B-4AB2-B539-4C8B0BB903C3}" name="battles-take-rate" dataDxfId="735">
      <calculatedColumnFormula>IF(SUM(ShadowAbilities2Scenario4[[#This Row],[takes]]) &gt; 0,ShadowAbilities2Scenario4[[#This Row],[takes]]/SUM(ShadowAbilities2Scenario4[takes]),0)</calculatedColumnFormula>
    </tableColumn>
    <tableColumn id="5" xr3:uid="{BD9E4412-7CBF-4B57-9822-8D53E24838EF}" name="take-win-rate" dataDxfId="734">
      <calculatedColumnFormula>IF(ShadowAbilities2Scenario4[[#This Row],[takes]]&gt;0,ShadowAbilities2Scenario4[[#This Row],[wins]]/ShadowAbilities2Scenario4[[#This Row],[takes]],0)</calculatedColumnFormula>
    </tableColumn>
  </tableColumns>
  <tableStyleInfo name="TableStyleMedium2" showFirstColumn="0" showLastColumn="0" showRowStripes="1" showColumnStripes="0"/>
</table>
</file>

<file path=xl/tables/table2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2" xr:uid="{DB5A94E3-6DE6-495D-929B-37D4EB99B389}" name="ShadowAbilities3Scenario4" displayName="ShadowAbilities3Scenario4" ref="K96:O99" totalsRowShown="0" headerRowDxfId="733" headerRowBorderDxfId="732" tableBorderDxfId="731" totalsRowBorderDxfId="730">
  <autoFilter ref="K96:O99" xr:uid="{DB5A94E3-6DE6-495D-929B-37D4EB99B389}"/>
  <tableColumns count="5">
    <tableColumn id="1" xr3:uid="{6BF2BB17-299C-4953-9DD8-3A301B5E9D8B}" name="ability"/>
    <tableColumn id="2" xr3:uid="{CFB75B91-A25D-432C-BFC9-0E2C0605393F}" name="takes" dataDxfId="729">
      <calculatedColumnFormula>COUNTIF(Scenario4[winner1-ability3],ShadowAbilities3Scenario4[[#This Row],[ability]])+COUNTIF(Scenario4[loser1-ability3],ShadowAbilities3Scenario4[[#This Row],[ability]])+COUNTIF(Scenario4[loser2-ability3],ShadowAbilities3Scenario4[[#This Row],[ability]])+COUNTIF(Scenario4[loser3-ability3],ShadowAbilities3Scenario4[[#This Row],[ability]])</calculatedColumnFormula>
    </tableColumn>
    <tableColumn id="3" xr3:uid="{009FA36B-0E22-4980-9735-28106A219A62}" name="wins" dataDxfId="728">
      <calculatedColumnFormula>COUNTIF(Scenario4[winner1-ability3],ShadowAbilities3Scenario4[[#This Row],[ability]])</calculatedColumnFormula>
    </tableColumn>
    <tableColumn id="4" xr3:uid="{2B28F9B7-A49E-4828-AED2-A5F9D1DB620A}" name="battles-take-rate" dataDxfId="727">
      <calculatedColumnFormula>IF(SUM(ShadowAbilities3Scenario4[[#This Row],[takes]]) &gt; 0,ShadowAbilities3Scenario4[[#This Row],[takes]]/SUM(ShadowAbilities3Scenario4[takes]),0)</calculatedColumnFormula>
    </tableColumn>
    <tableColumn id="5" xr3:uid="{12469B8B-C26C-460B-8A69-3657A4B4E64F}" name="take-win-rate" dataDxfId="726">
      <calculatedColumnFormula>IF(ShadowAbilities3Scenario4[[#This Row],[takes]]&gt;0,ShadowAbilities3Scenario4[[#This Row],[wins]]/ShadowAbilities3Scenario4[[#This Row],[takes]],0)</calculatedColumnFormula>
    </tableColumn>
  </tableColumns>
  <tableStyleInfo name="TableStyleMedium2" showFirstColumn="0" showLastColumn="0" showRowStripes="1" showColumnStripes="0"/>
</table>
</file>

<file path=xl/tables/table2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3" xr:uid="{1C609518-452E-4A91-AF17-394CB05FB0F3}" name="ShadowAbilities4Scenario4" displayName="ShadowAbilities4Scenario4" ref="K101:O104" totalsRowShown="0" headerRowDxfId="725" headerRowBorderDxfId="724" tableBorderDxfId="723" totalsRowBorderDxfId="722">
  <autoFilter ref="K101:O104" xr:uid="{1C609518-452E-4A91-AF17-394CB05FB0F3}"/>
  <tableColumns count="5">
    <tableColumn id="1" xr3:uid="{CC33268F-C34A-43D0-A56A-74B0F609F718}" name="ability" dataDxfId="721"/>
    <tableColumn id="2" xr3:uid="{6F12010D-206B-4AD4-9F1C-7792709F1041}" name="takes" dataDxfId="720">
      <calculatedColumnFormula>COUNTIF(Scenario4[winner1-ability4],ShadowAbilities4Scenario4[[#This Row],[ability]])+COUNTIF(Scenario4[loser1-ability4],ShadowAbilities4Scenario4[[#This Row],[ability]])+COUNTIF(Scenario4[loser2-ability4],ShadowAbilities4Scenario4[[#This Row],[ability]])+COUNTIF(Scenario4[loser3-ability4],ShadowAbilities4Scenario4[[#This Row],[ability]])</calculatedColumnFormula>
    </tableColumn>
    <tableColumn id="3" xr3:uid="{C63C4ADD-F1B3-4E4F-9A42-2E4273ED55BE}" name="wins" dataDxfId="719">
      <calculatedColumnFormula>COUNTIF(Scenario4[winner1-ability4],ShadowAbilities4Scenario4[[#This Row],[ability]])</calculatedColumnFormula>
    </tableColumn>
    <tableColumn id="4" xr3:uid="{1F1D8ECE-DB99-4E3C-A674-360B53ED1293}" name="battles-take-rate" dataDxfId="718">
      <calculatedColumnFormula>IF(SUM(ShadowAbilities4Scenario4[[#This Row],[takes]]) &gt; 0,ShadowAbilities4Scenario4[[#This Row],[takes]]/SUM(ShadowAbilities4Scenario4[takes]),0)</calculatedColumnFormula>
    </tableColumn>
    <tableColumn id="5" xr3:uid="{8138137D-9D87-4444-9265-5BC0C5C1C1B5}" name="take-win-rate" dataDxfId="717">
      <calculatedColumnFormula>IF(ShadowAbilities4Scenario4[[#This Row],[takes]]&gt;0,ShadowAbilities4Scenario4[[#This Row],[wins]]/ShadowAbilities4Scenario4[[#This Row],[takes]],0)</calculatedColumnFormula>
    </tableColumn>
  </tableColumns>
  <tableStyleInfo name="TableStyleMedium2" showFirstColumn="0" showLastColumn="0" showRowStripes="1" showColumnStripes="0"/>
</table>
</file>

<file path=xl/tables/table2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4" xr:uid="{1B6A964F-B9C5-47D9-A2CE-93D57C2B0A54}" name="ShadowEquipScenario4" displayName="ShadowEquipScenario4" ref="Q86:S89" totalsRowShown="0">
  <autoFilter ref="Q86:S89" xr:uid="{1B6A964F-B9C5-47D9-A2CE-93D57C2B0A54}"/>
  <tableColumns count="3">
    <tableColumn id="1" xr3:uid="{65008156-94FA-4BDA-BF92-C2EC8254077F}" name="level"/>
    <tableColumn id="2" xr3:uid="{78510399-CF25-4981-A98C-6920D2591481}" name="bow" dataDxfId="716">
      <calculatedColumnFormula>COUNTIFS(Scenario4[winner1],"shadow",Scenario4[winner1-pw],ShadowEquipScenario4[[#This Row],[level]])+COUNTIFS(Scenario4[loser1],"shadow",Scenario4[loser1-pw],ShadowEquipScenario4[[#This Row],[level]])+COUNTIFS(Scenario4[loser2],"shadow",Scenario4[loser2-pw],ShadowEquipScenario4[[#This Row],[level]])+COUNTIFS(Scenario4[loser3],"shadow",Scenario4[loser3-pw],ShadowEquipScenario4[[#This Row],[level]])</calculatedColumnFormula>
    </tableColumn>
    <tableColumn id="4" xr3:uid="{7496CB0C-F986-4629-BBB5-355099B40471}" name="chestpiece" dataDxfId="715">
      <calculatedColumnFormula>COUNTIFS(Scenario4[winner1],"shadow",Scenario4[winner1-cp],ShadowEquipScenario4[[#This Row],[level]])+COUNTIFS(Scenario4[loser1],"shadow",Scenario4[loser1-cp],ShadowEquipScenario4[[#This Row],[level]])+COUNTIFS(Scenario4[loser2],"shadow",Scenario4[loser2-cp],ShadowEquipScenario4[[#This Row],[level]])+COUNTIFS(Scenario4[loser3],"shadow",Scenario4[loser3-cp],ShadowEquipScenario4[[#This Row],[level]])</calculatedColumnFormula>
    </tableColumn>
  </tableColumns>
  <tableStyleInfo name="TableStyleMedium2" showFirstColumn="0" showLastColumn="0" showRowStripes="1" showColumnStripes="0"/>
</table>
</file>

<file path=xl/tables/table2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8" xr:uid="{DE21820A-14D3-4A0C-BF97-DF408A974F6C}" name="ShadowAbilities1Scenario5" displayName="ShadowAbilities1Scenario5" ref="K107:O110" totalsRowShown="0">
  <autoFilter ref="K107:O110" xr:uid="{DE21820A-14D3-4A0C-BF97-DF408A974F6C}"/>
  <tableColumns count="5">
    <tableColumn id="2" xr3:uid="{F4529A4D-1199-49B2-8BDC-589376F69120}" name="ability"/>
    <tableColumn id="6" xr3:uid="{D4138976-86AC-4FBE-91BA-16841C250855}" name="takes" dataDxfId="714">
      <calculatedColumnFormula>COUNTIF(Scenario5[winner1-ability1],ShadowAbilities1Scenario5[[#This Row],[ability]])+COUNTIF(Scenario5[winner2-ability1],ShadowAbilities1Scenario5[[#This Row],[ability]])+COUNTIF(Scenario5[loser1-ability1],ShadowAbilities1Scenario5[[#This Row],[ability]])+COUNTIF(Scenario5[loser2-ability1],ShadowAbilities1Scenario5[[#This Row],[ability]])</calculatedColumnFormula>
    </tableColumn>
    <tableColumn id="4" xr3:uid="{DCD837E4-962C-47F6-9795-50CD3E6077C4}" name="wins" dataDxfId="713">
      <calculatedColumnFormula>COUNTIF(Scenario5[winner1-ability1],ShadowAbilities1Scenario5[[#This Row],[ability]])+COUNTIF(Scenario5[winner2-ability1],ShadowAbilities1Scenario5[[#This Row],[ability]])</calculatedColumnFormula>
    </tableColumn>
    <tableColumn id="5" xr3:uid="{BCF5EF91-99E2-46C7-8F77-A949ABD4D053}" name="battles-take-rate" dataDxfId="712">
      <calculatedColumnFormula>IF(SUM(ShadowAbilities1Scenario5[[#This Row],[takes]]) &gt; 0,ShadowAbilities1Scenario5[[#This Row],[takes]]/SUM(ShadowAbilities1Scenario5[takes]),0)</calculatedColumnFormula>
    </tableColumn>
    <tableColumn id="7" xr3:uid="{1F4A9480-57BE-4107-A009-23A57EB92D84}" name="take-win-rate" dataDxfId="711">
      <calculatedColumnFormula>IF(ShadowAbilities1Scenario5[[#This Row],[takes]]&gt;0,ShadowAbilities1Scenario5[[#This Row],[wins]]/ShadowAbilities1Scenario5[[#This Row],[takes]],0)</calculatedColumnFormula>
    </tableColumn>
  </tableColumns>
  <tableStyleInfo name="TableStyleMedium2" showFirstColumn="0" showLastColumn="0" showRowStripes="1" showColumnStripes="0"/>
</table>
</file>

<file path=xl/tables/table2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9" xr:uid="{A623B0EF-8DF6-4DD9-80E0-720CA1DAB5B4}" name="ShadowAbilities2Scenario5" displayName="ShadowAbilities2Scenario5" ref="K112:O115" totalsRowShown="0" headerRowDxfId="710" headerRowBorderDxfId="709" tableBorderDxfId="708" totalsRowBorderDxfId="707">
  <autoFilter ref="K112:O115" xr:uid="{A623B0EF-8DF6-4DD9-80E0-720CA1DAB5B4}"/>
  <tableColumns count="5">
    <tableColumn id="1" xr3:uid="{0CE10BD5-D3D0-4267-A09B-B65EE2B7C4E6}" name="ability"/>
    <tableColumn id="2" xr3:uid="{2AC1CE09-F579-42B0-BF28-62932F60A9F0}" name="takes" dataDxfId="706">
      <calculatedColumnFormula>COUNTIF(Scenario5[winner1-ability2],ShadowAbilities2Scenario5[[#This Row],[ability]])+COUNTIF(Scenario5[winner2-ability2],ShadowAbilities2Scenario5[[#This Row],[ability]])+COUNTIF(Scenario5[loser1-ability2],ShadowAbilities2Scenario5[[#This Row],[ability]])+COUNTIF(Scenario5[loser2-ability2],ShadowAbilities2Scenario5[[#This Row],[ability]])</calculatedColumnFormula>
    </tableColumn>
    <tableColumn id="3" xr3:uid="{43ADAB28-6BDD-499C-A42E-85FD38B815EE}" name="wins" dataDxfId="705">
      <calculatedColumnFormula>COUNTIF(Scenario5[winner1-ability2],ShadowAbilities2Scenario5[[#This Row],[ability]])+COUNTIF(Scenario5[winner2-ability2],ShadowAbilities2Scenario5[[#This Row],[ability]])</calculatedColumnFormula>
    </tableColumn>
    <tableColumn id="4" xr3:uid="{477DFD48-32E7-471F-B617-E888BCAC0F22}" name="battles-take-rate" dataDxfId="704">
      <calculatedColumnFormula>IF(SUM(ShadowAbilities2Scenario5[[#This Row],[takes]]) &gt; 0,ShadowAbilities2Scenario5[[#This Row],[takes]]/SUM(ShadowAbilities2Scenario5[takes]),0)</calculatedColumnFormula>
    </tableColumn>
    <tableColumn id="5" xr3:uid="{C634EFD5-285E-4BAA-AE26-AEDC9B9CB053}" name="take-win-rate" dataDxfId="703">
      <calculatedColumnFormula>IF(ShadowAbilities2Scenario5[[#This Row],[takes]]&gt;0,ShadowAbilities2Scenario5[[#This Row],[wins]]/ShadowAbilities2Scenario5[[#This Row],[takes]],0)</calculatedColumnFormula>
    </tableColumn>
  </tableColumns>
  <tableStyleInfo name="TableStyleMedium2" showFirstColumn="0" showLastColumn="0" showRowStripes="1" showColumnStripes="0"/>
</table>
</file>

<file path=xl/tables/table2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xr:uid="{E7D25AB1-10E0-4C33-ADC2-9CBA404E12DC}" name="ShadowAbilities3Scenario5" displayName="ShadowAbilities3Scenario5" ref="K117:O120" totalsRowShown="0" headerRowDxfId="702" headerRowBorderDxfId="701" tableBorderDxfId="700" totalsRowBorderDxfId="699">
  <autoFilter ref="K117:O120" xr:uid="{E7D25AB1-10E0-4C33-ADC2-9CBA404E12DC}"/>
  <tableColumns count="5">
    <tableColumn id="1" xr3:uid="{A0789E90-AFFB-414B-B200-58B7B18C1B94}" name="ability"/>
    <tableColumn id="2" xr3:uid="{D554BADC-A831-421E-9492-34AEBC8AC4CE}" name="takes" dataDxfId="698">
      <calculatedColumnFormula>COUNTIF(Scenario5[winner1-ability3],ShadowAbilities3Scenario5[[#This Row],[ability]])+COUNTIF(Scenario5[winner2-ability3],ShadowAbilities3Scenario5[[#This Row],[ability]])+COUNTIF(Scenario5[loser1-ability3],ShadowAbilities3Scenario5[[#This Row],[ability]])+COUNTIF(Scenario5[loser2-ability3],ShadowAbilities3Scenario5[[#This Row],[ability]])</calculatedColumnFormula>
    </tableColumn>
    <tableColumn id="3" xr3:uid="{004DCE92-2E62-4D35-9270-1DDDF0573BCE}" name="wins" dataDxfId="697">
      <calculatedColumnFormula>COUNTIF(Scenario5[winner1-ability3],ShadowAbilities3Scenario5[[#This Row],[ability]])+COUNTIF(Scenario5[winner2-ability3],ShadowAbilities3Scenario5[[#This Row],[ability]])</calculatedColumnFormula>
    </tableColumn>
    <tableColumn id="4" xr3:uid="{37234F19-C842-4ECE-BB91-5762D904076E}" name="battles-take-rate" dataDxfId="696">
      <calculatedColumnFormula>IF(SUM(ShadowAbilities3Scenario5[[#This Row],[takes]]) &gt; 0,ShadowAbilities3Scenario5[[#This Row],[takes]]/SUM(ShadowAbilities3Scenario5[takes]),0)</calculatedColumnFormula>
    </tableColumn>
    <tableColumn id="5" xr3:uid="{64E9FADE-8537-4B36-BD3D-DC3E34C0AC8C}" name="take-win-rate" dataDxfId="695">
      <calculatedColumnFormula>IF(ShadowAbilities3Scenario5[[#This Row],[takes]]&gt;0,ShadowAbilities3Scenario5[[#This Row],[wins]]/ShadowAbilities3Scenario5[[#This Row],[takes]],0)</calculatedColumnFormula>
    </tableColumn>
  </tableColumns>
  <tableStyleInfo name="TableStyleMedium2" showFirstColumn="0" showLastColumn="0" showRowStripes="1" showColumnStripes="0"/>
</table>
</file>

<file path=xl/tables/table2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1" xr:uid="{74C00B1E-EEA9-48AB-A27C-B009AE4D0A5D}" name="ShadowAbilities4Scenario5" displayName="ShadowAbilities4Scenario5" ref="K122:O125" totalsRowShown="0" headerRowDxfId="694" headerRowBorderDxfId="693" tableBorderDxfId="692" totalsRowBorderDxfId="691">
  <autoFilter ref="K122:O125" xr:uid="{74C00B1E-EEA9-48AB-A27C-B009AE4D0A5D}"/>
  <tableColumns count="5">
    <tableColumn id="1" xr3:uid="{0AB4169E-2A81-436A-8816-892597836570}" name="ability" dataDxfId="690"/>
    <tableColumn id="2" xr3:uid="{63FA27CA-DCA1-4F45-8BB0-FAAEBF52C2E6}" name="takes" dataDxfId="689">
      <calculatedColumnFormula>COUNTIF(Scenario5[winner1-ability4],ShadowAbilities4Scenario5[[#This Row],[ability]])+COUNTIF(Scenario5[winner2-ability4],ShadowAbilities4Scenario5[[#This Row],[ability]])+COUNTIF(Scenario5[loser1-ability4],ShadowAbilities4Scenario5[[#This Row],[ability]])+COUNTIF(Scenario5[loser2-ability4],ShadowAbilities4Scenario5[[#This Row],[ability]])</calculatedColumnFormula>
    </tableColumn>
    <tableColumn id="3" xr3:uid="{123EC329-C290-4E20-8C49-0D89295A0AB0}" name="wins" dataDxfId="688">
      <calculatedColumnFormula>COUNTIF(Scenario5[winner1-ability4],ShadowAbilities4Scenario5[[#This Row],[ability]])+COUNTIF(Scenario5[winner2-ability4],ShadowAbilities4Scenario5[[#This Row],[ability]])</calculatedColumnFormula>
    </tableColumn>
    <tableColumn id="4" xr3:uid="{EBAEF474-A350-4A15-8892-13BAAB15B184}" name="battles-take-rate" dataDxfId="687">
      <calculatedColumnFormula>IF(SUM(ShadowAbilities4Scenario5[[#This Row],[takes]]) &gt; 0,ShadowAbilities4Scenario5[[#This Row],[takes]]/SUM(ShadowAbilities4Scenario5[takes]),0)</calculatedColumnFormula>
    </tableColumn>
    <tableColumn id="5" xr3:uid="{34FD99AA-C01C-4FF1-94CA-5BCED972D213}" name="take-win-rate" dataDxfId="686">
      <calculatedColumnFormula>IF(ShadowAbilities4Scenario5[[#This Row],[takes]]&gt;0,ShadowAbilities4Scenario5[[#This Row],[wins]]/ShadowAbilities4Scenario5[[#This Row],[takes]],0)</calculatedColumnFormula>
    </tableColumn>
  </tableColumns>
  <tableStyleInfo name="TableStyleMedium2" showFirstColumn="0" showLastColumn="0" showRowStripes="1" showColumnStripes="0"/>
</table>
</file>

<file path=xl/tables/table2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2" xr:uid="{F6B2C3DC-5C82-4D26-8932-57DABD3BACB8}" name="ShadowEquipScenario5" displayName="ShadowEquipScenario5" ref="Q107:S110" totalsRowShown="0">
  <autoFilter ref="Q107:S110" xr:uid="{F6B2C3DC-5C82-4D26-8932-57DABD3BACB8}"/>
  <tableColumns count="3">
    <tableColumn id="1" xr3:uid="{FAA07A41-02AA-4F41-9C94-5E875931577F}" name="level"/>
    <tableColumn id="2" xr3:uid="{3E10723D-C53F-4B6B-B714-15825EEA2A0C}" name="bow" dataDxfId="685">
      <calculatedColumnFormula>COUNTIFS(Scenario5[winner1],"shadow",Scenario5[winner1-pw],ShadowEquipScenario5[[#This Row],[level]])+COUNTIFS(Scenario5[winner2],"shadow",Scenario5[winner2-pw],ShadowEquipScenario5[[#This Row],[level]])+COUNTIFS(Scenario5[loser1],"shadow",Scenario5[loser1-pw],ShadowEquipScenario5[[#This Row],[level]])+COUNTIFS(Scenario5[loser2],"shadow",Scenario5[loser2-pw],ShadowEquipScenario5[[#This Row],[level]])</calculatedColumnFormula>
    </tableColumn>
    <tableColumn id="4" xr3:uid="{A6554FC9-7C44-45C4-800C-2A08288B07F8}" name="chestpiece" dataDxfId="684">
      <calculatedColumnFormula>COUNTIFS(Scenario5[winner1],"shadow",Scenario5[winner1-cp],ShadowEquipScenario5[[#This Row],[level]])+COUNTIFS(Scenario5[winner2],"shadow",Scenario5[winner2-cp],ShadowEquipScenario5[[#This Row],[level]])+COUNTIFS(Scenario5[loser1],"shadow",Scenario5[loser1-cp],ShadowEquipScenario5[[#This Row],[level]])+COUNTIFS(Scenario5[loser2],"shadow",Scenario5[loser2-cp],ShadowEquipScenario5[[#This Row],[level]])</calculatedColumnFormula>
    </tableColumn>
  </tableColumns>
  <tableStyleInfo name="TableStyleMedium2" showFirstColumn="0" showLastColumn="0" showRowStripes="1" showColumnStripes="0"/>
</table>
</file>

<file path=xl/tables/table2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xr:uid="{F10BF5AB-0846-401C-8B6A-8C4F55C439AF}" name="LightbringerAbilities1" displayName="LightbringerAbilities1" ref="A2:E5" totalsRowShown="0">
  <autoFilter ref="A2:E5" xr:uid="{DCA301F1-E0F8-4700-BEE5-2688AF43F23A}"/>
  <tableColumns count="5">
    <tableColumn id="2" xr3:uid="{98735C45-E340-4619-9064-7E9FECA17B5B}" name="ability"/>
    <tableColumn id="6" xr3:uid="{29C39187-837A-4712-AC83-04F8F0BFB2B8}" name="takes" dataDxfId="683">
      <calculatedColumnFormula>L3+L24+L45+L66+L87+L108</calculatedColumnFormula>
    </tableColumn>
    <tableColumn id="4" xr3:uid="{58CA11D9-169A-46E2-9A57-9E370495AE74}" name="wins" dataDxfId="682">
      <calculatedColumnFormula>M3+M24+M45+M66+M87+M108</calculatedColumnFormula>
    </tableColumn>
    <tableColumn id="5" xr3:uid="{FCD1957D-8B13-463F-918E-7541CD4802BE}" name="battles-take-rate" dataDxfId="681">
      <calculatedColumnFormula>IF(SUM(LightbringerAbilities1[[#This Row],[takes]]) &gt; 0,LightbringerAbilities1[[#This Row],[takes]]/SUM(LightbringerAbilities1[takes]),0)</calculatedColumnFormula>
    </tableColumn>
    <tableColumn id="7" xr3:uid="{72776B96-F695-43BF-B58B-E173C60C4E80}" name="take-win-rate" dataDxfId="680">
      <calculatedColumnFormula>IF(LightbringerAbilities1[[#This Row],[takes]]&gt;0,LightbringerAbilities1[[#This Row],[wins]]/LightbringerAbilities1[[#This Row],[takes]],0)</calculatedColumnFormula>
    </tableColumn>
  </tableColumns>
  <tableStyleInfo name="TableStyleMedium2" showFirstColumn="0" showLastColumn="0" showRowStripes="1" showColumnStripes="0"/>
</table>
</file>

<file path=xl/tables/table2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xr:uid="{3F133A2F-3487-4471-A28B-16B170D88610}" name="LightbringerAbilities2" displayName="LightbringerAbilities2" ref="A7:E10" totalsRowShown="0" headerRowDxfId="679" headerRowBorderDxfId="678" tableBorderDxfId="677" totalsRowBorderDxfId="676">
  <autoFilter ref="A7:E10" xr:uid="{8ADAEE31-4DDA-4DF2-9EAD-04808D53FFC1}"/>
  <tableColumns count="5">
    <tableColumn id="1" xr3:uid="{D813E5AF-63F1-4403-B4EC-EBD2990DC13D}" name="ability"/>
    <tableColumn id="2" xr3:uid="{DB8A2500-F085-42B3-BBAF-672A1A387ECE}" name="takes" dataDxfId="675">
      <calculatedColumnFormula>L8+L29+L50+L71+L92+L113</calculatedColumnFormula>
    </tableColumn>
    <tableColumn id="3" xr3:uid="{8036E5FE-9DB3-44E7-AF19-651F4FEED3A5}" name="wins" dataDxfId="674">
      <calculatedColumnFormula>M8+M29+M50+M71+M92+M113</calculatedColumnFormula>
    </tableColumn>
    <tableColumn id="4" xr3:uid="{F340980B-9818-44CD-839E-1CE580EFB60A}" name="battles-take-rate" dataDxfId="673">
      <calculatedColumnFormula>IF(SUM(LightbringerAbilities2[[#This Row],[takes]]) &gt; 0,LightbringerAbilities2[[#This Row],[takes]]/SUM(LightbringerAbilities2[takes]),0)</calculatedColumnFormula>
    </tableColumn>
    <tableColumn id="5" xr3:uid="{17B6F15A-3912-4519-844F-033A2A012472}" name="take-win-rate" dataDxfId="672">
      <calculatedColumnFormula>IF(LightbringerAbilities2[[#This Row],[takes]]&gt;0,LightbringerAbilities2[[#This Row],[wins]]/LightbringerAbilities2[[#This Row],[takes]],0)</calculatedColumnFormula>
    </tableColumn>
  </tableColumns>
  <tableStyleInfo name="TableStyleMedium2" showFirstColumn="0" showLastColumn="0" showRowStripes="1" showColumnStripes="0"/>
</table>
</file>

<file path=xl/tables/table2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xr:uid="{13DD10D2-A073-4683-9BA0-3636C891C4A0}" name="LightbringerAbilities3" displayName="LightbringerAbilities3" ref="A12:E15" totalsRowShown="0" headerRowDxfId="671" headerRowBorderDxfId="670" tableBorderDxfId="669" totalsRowBorderDxfId="668">
  <autoFilter ref="A12:E15" xr:uid="{1B0EA3CA-FA8E-4345-B52C-471D5C94AD38}"/>
  <tableColumns count="5">
    <tableColumn id="1" xr3:uid="{759DB761-54D7-46D9-8CAC-D7EE31205856}" name="ability"/>
    <tableColumn id="2" xr3:uid="{67BB5C11-3F65-40CE-AB0D-C2ADAE6ED8A2}" name="takes" dataDxfId="667">
      <calculatedColumnFormula>L13+L34+L55+L76+L97+L118</calculatedColumnFormula>
    </tableColumn>
    <tableColumn id="3" xr3:uid="{C75B917B-4ECC-4DD1-9024-BE6CDFC7ADF6}" name="wins" dataDxfId="666">
      <calculatedColumnFormula>M13+M34+M55+M76+M97+M118</calculatedColumnFormula>
    </tableColumn>
    <tableColumn id="4" xr3:uid="{33AA1918-8E3F-4AE7-B461-1D2AFB04069A}" name="battles-take-rate" dataDxfId="665">
      <calculatedColumnFormula>IF(SUM(LightbringerAbilities3[[#This Row],[takes]]) &gt; 0,LightbringerAbilities3[[#This Row],[takes]]/SUM(LightbringerAbilities3[takes]),0)</calculatedColumnFormula>
    </tableColumn>
    <tableColumn id="5" xr3:uid="{71D1046A-4216-43A8-B0DC-DD49F2AC2E93}" name="take-win-rate" dataDxfId="664">
      <calculatedColumnFormula>IF(LightbringerAbilities3[[#This Row],[takes]]&gt;0,LightbringerAbilities3[[#This Row],[wins]]/LightbringerAbilities3[[#This Row],[takes]],0)</calculatedColumnFormula>
    </tableColumn>
  </tableColumns>
  <tableStyleInfo name="TableStyleMedium2" showFirstColumn="0" showLastColumn="0" showRowStripes="1" showColumnStripes="0"/>
</table>
</file>

<file path=xl/tables/table2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xr:uid="{94B0A036-352E-4B0A-A37E-BA2B3ADF5748}" name="LightbringerAbilities4" displayName="LightbringerAbilities4" ref="A17:E20" totalsRowShown="0" headerRowDxfId="663" headerRowBorderDxfId="662" tableBorderDxfId="661" totalsRowBorderDxfId="660">
  <autoFilter ref="A17:E20" xr:uid="{2AADA4A0-2F4A-4009-8ECF-0BECA693390C}"/>
  <tableColumns count="5">
    <tableColumn id="1" xr3:uid="{0F824B32-1B2D-4DB9-A0E4-042F6AAA65D0}" name="ability" dataDxfId="659"/>
    <tableColumn id="2" xr3:uid="{C861246F-E022-49C0-BFAD-6CD3013B0246}" name="takes" dataDxfId="658">
      <calculatedColumnFormula>L18+L39+L60+L81+L102+L123</calculatedColumnFormula>
    </tableColumn>
    <tableColumn id="3" xr3:uid="{3FA0E70F-04C8-4FC4-898C-79D0A5C6E6C3}" name="wins" dataDxfId="657">
      <calculatedColumnFormula>M18+M39+M60+M81+M102+M123</calculatedColumnFormula>
    </tableColumn>
    <tableColumn id="4" xr3:uid="{047E06AD-872B-4FB4-9AB8-8B8E2717658B}" name="battles-take-rate" dataDxfId="656">
      <calculatedColumnFormula>IF(SUM(LightbringerAbilities4[[#This Row],[takes]]) &gt; 0,LightbringerAbilities4[[#This Row],[takes]]/SUM(LightbringerAbilities4[takes]),0)</calculatedColumnFormula>
    </tableColumn>
    <tableColumn id="5" xr3:uid="{FA448077-391B-45D1-9D16-B46B83102F43}" name="take-win-rate" dataDxfId="655">
      <calculatedColumnFormula>IF(LightbringerAbilities4[[#This Row],[takes]]&gt;0,LightbringerAbilities4[[#This Row],[wins]]/LightbringerAbilities4[[#This Row],[takes]],0)</calculatedColumnFormula>
    </tableColumn>
  </tableColumns>
  <tableStyleInfo name="TableStyleMedium2" showFirstColumn="0" showLastColumn="0" showRowStripes="1" showColumnStripes="0"/>
</table>
</file>

<file path=xl/tables/table2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xr:uid="{A5DFA900-2974-4B88-96E9-EB3C14436107}" name="LightbringerEquip" displayName="LightbringerEquip" ref="G2:I5" totalsRowShown="0">
  <autoFilter ref="G2:I5" xr:uid="{C15024E5-2A00-4F8B-BBEB-0FE7A036BC54}"/>
  <tableColumns count="3">
    <tableColumn id="1" xr3:uid="{C6D46C83-6431-430F-A922-6522BAFD369D}" name="level"/>
    <tableColumn id="2" xr3:uid="{158C2CBB-945D-4498-9873-74D98212D579}" name="hammer" dataDxfId="654">
      <calculatedColumnFormula>R3+R24+R45+R66+R87+R108</calculatedColumnFormula>
    </tableColumn>
    <tableColumn id="4" xr3:uid="{F2CC5FCF-C346-4903-B131-24F9A7A7ADC9}" name="chestpiece" dataDxfId="653">
      <calculatedColumnFormula>S3+S24+S45+S66+S87+S108</calculatedColumnFormula>
    </tableColumn>
  </tableColumns>
  <tableStyleInfo name="TableStyleMedium2" showFirstColumn="0" showLastColumn="0" showRowStripes="1" showColumnStripes="0"/>
</table>
</file>

<file path=xl/tables/table2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xr:uid="{6AB92963-BA25-45EE-8F63-C0C1C3E36D86}" name="LightbringerAbilities1Scenario0" displayName="LightbringerAbilities1Scenario0" ref="K2:O5" totalsRowShown="0">
  <autoFilter ref="K2:O5" xr:uid="{4CDFB74F-734F-4444-929B-80D3797B5492}"/>
  <tableColumns count="5">
    <tableColumn id="2" xr3:uid="{65F7BD52-74B0-4583-BD4D-0B3E082EB64B}" name="ability"/>
    <tableColumn id="6" xr3:uid="{E2E2EA48-31A9-44A3-8D78-DAFFF0D7A3B1}" name="takes" dataDxfId="652">
      <calculatedColumnFormula>COUNTIF(Scenario0[winner1-ability1],LightbringerAbilities1Scenario0[[#This Row],[ability]])+COUNTIF(Scenario0[winner2-ability1],LightbringerAbilities1Scenario0[[#This Row],[ability]])+COUNTIF(Scenario0[loser1-ability1],LightbringerAbilities1Scenario0[[#This Row],[ability]])+COUNTIF(Scenario0[loser2-ability1],LightbringerAbilities1Scenario0[[#This Row],[ability]])</calculatedColumnFormula>
    </tableColumn>
    <tableColumn id="4" xr3:uid="{C079D1DF-7698-482E-94F3-62D01823CAE6}" name="wins" dataDxfId="651">
      <calculatedColumnFormula>COUNTIF(Scenario0[winner1-ability1],LightbringerAbilities1Scenario0[[#This Row],[ability]])+COUNTIF(Scenario0[winner2-ability1],LightbringerAbilities1Scenario0[[#This Row],[ability]])</calculatedColumnFormula>
    </tableColumn>
    <tableColumn id="5" xr3:uid="{05BCB1B3-128F-46E8-96FB-771C576CCA09}" name="battles-take-rate" dataDxfId="650">
      <calculatedColumnFormula>IF(SUM(LightbringerAbilities1Scenario0[[#This Row],[takes]]) &gt; 0,LightbringerAbilities1Scenario0[[#This Row],[takes]]/SUM(LightbringerAbilities1Scenario0[takes]),0)</calculatedColumnFormula>
    </tableColumn>
    <tableColumn id="7" xr3:uid="{4801DD29-6D35-4ED6-871B-94306A1D022F}" name="take-win-rate" dataDxfId="649">
      <calculatedColumnFormula>IF(LightbringerAbilities1Scenario0[[#This Row],[takes]]&gt;0,LightbringerAbilities1Scenario0[[#This Row],[wins]]/LightbringerAbilities1Scenario0[[#This Row],[takes]],0)</calculatedColumnFormula>
    </tableColumn>
  </tableColumns>
  <tableStyleInfo name="TableStyleMedium2" showFirstColumn="0" showLastColumn="0" showRowStripes="1" showColumnStripes="0"/>
</table>
</file>

<file path=xl/tables/table2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xr:uid="{BB9271A8-8274-43E8-BFF5-22A0214CDC34}" name="LightbringerAbilities2Scenario0" displayName="LightbringerAbilities2Scenario0" ref="K7:O10" totalsRowShown="0" headerRowDxfId="648" headerRowBorderDxfId="647" tableBorderDxfId="646" totalsRowBorderDxfId="645">
  <autoFilter ref="K7:O10" xr:uid="{07F4368A-34C9-4286-BBA2-89F699718525}"/>
  <tableColumns count="5">
    <tableColumn id="1" xr3:uid="{531EA6BB-2084-48FF-95A2-C93B8C0CB1F6}" name="ability"/>
    <tableColumn id="2" xr3:uid="{BDF787D3-9156-41D3-A108-2986B5016B3F}" name="takes" dataDxfId="644">
      <calculatedColumnFormula>COUNTIF(Scenario0[winner1-ability2],LightbringerAbilities2Scenario0[[#This Row],[ability]])+COUNTIF(Scenario0[winner2-ability2],LightbringerAbilities2Scenario0[[#This Row],[ability]])+COUNTIF(Scenario0[loser1-ability2],LightbringerAbilities2Scenario0[[#This Row],[ability]])+COUNTIF(Scenario0[loser2-ability2],LightbringerAbilities2Scenario0[[#This Row],[ability]])</calculatedColumnFormula>
    </tableColumn>
    <tableColumn id="3" xr3:uid="{47F671FD-DA19-4F48-9955-CD609C994E8A}" name="wins" dataDxfId="643">
      <calculatedColumnFormula>COUNTIF(Scenario0[winner1-ability2],LightbringerAbilities2Scenario0[[#This Row],[ability]])+COUNTIF(Scenario0[winner2-ability2],LightbringerAbilities2Scenario0[[#This Row],[ability]])</calculatedColumnFormula>
    </tableColumn>
    <tableColumn id="4" xr3:uid="{5B7282CE-1EA3-46E9-BAE7-C04ED04B6B57}" name="battles-take-rate" dataDxfId="642">
      <calculatedColumnFormula>IF(SUM(LightbringerAbilities2Scenario0[[#This Row],[takes]]) &gt; 0,LightbringerAbilities2Scenario0[[#This Row],[takes]]/SUM(LightbringerAbilities2Scenario0[takes]),0)</calculatedColumnFormula>
    </tableColumn>
    <tableColumn id="5" xr3:uid="{D1673A60-D7E9-43F1-9E75-C721D93F59C9}" name="take-win-rate" dataDxfId="641">
      <calculatedColumnFormula>IF(LightbringerAbilities2Scenario0[[#This Row],[takes]]&gt;0,LightbringerAbilities2Scenario0[[#This Row],[wins]]/LightbringerAbilities2Scenario0[[#This Row],[takes]],0)</calculatedColumnFormula>
    </tableColumn>
  </tableColumns>
  <tableStyleInfo name="TableStyleMedium2" showFirstColumn="0" showLastColumn="0" showRowStripes="1" showColumnStripes="0"/>
</table>
</file>

<file path=xl/tables/table2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xr:uid="{23B5AEA5-EF74-4F0D-9E03-3082F9812565}" name="LightbringerAbilities3Scenario0" displayName="LightbringerAbilities3Scenario0" ref="K12:O15" totalsRowShown="0" headerRowDxfId="640" headerRowBorderDxfId="639" tableBorderDxfId="638" totalsRowBorderDxfId="637">
  <autoFilter ref="K12:O15" xr:uid="{E8520742-705B-4A78-A5FD-1F57726A369B}"/>
  <tableColumns count="5">
    <tableColumn id="1" xr3:uid="{42A93561-7A14-4810-8682-8F5E8388D2FC}" name="ability"/>
    <tableColumn id="2" xr3:uid="{01F60FF8-0743-4E22-9038-816D780FC4E7}" name="takes" dataDxfId="636">
      <calculatedColumnFormula>COUNTIF(Scenario0[winner1-ability3],LightbringerAbilities3Scenario0[[#This Row],[ability]])+COUNTIF(Scenario0[winner2-ability3],LightbringerAbilities3Scenario0[[#This Row],[ability]])+COUNTIF(Scenario0[loser1-ability3],LightbringerAbilities3Scenario0[[#This Row],[ability]])+COUNTIF(Scenario0[loser2-ability3],LightbringerAbilities3Scenario0[[#This Row],[ability]])</calculatedColumnFormula>
    </tableColumn>
    <tableColumn id="3" xr3:uid="{A359DEF3-5918-400D-A92B-72C97C683D40}" name="wins" dataDxfId="635">
      <calculatedColumnFormula>COUNTIF(Scenario0[winner1-ability3],LightbringerAbilities3Scenario0[[#This Row],[ability]])+COUNTIF(Scenario0[winner2-ability3],LightbringerAbilities3Scenario0[[#This Row],[ability]])</calculatedColumnFormula>
    </tableColumn>
    <tableColumn id="4" xr3:uid="{669A923A-0938-41E3-8F6D-18167B489090}" name="battles-take-rate" dataDxfId="634">
      <calculatedColumnFormula>IF(SUM(LightbringerAbilities3Scenario0[[#This Row],[takes]]) &gt; 0,LightbringerAbilities3Scenario0[[#This Row],[takes]]/SUM(LightbringerAbilities3Scenario0[takes]),0)</calculatedColumnFormula>
    </tableColumn>
    <tableColumn id="5" xr3:uid="{619BCCA4-5ECA-49E8-A4EF-8D98A15B766B}" name="take-win-rate" dataDxfId="633">
      <calculatedColumnFormula>IF(LightbringerAbilities3Scenario0[[#This Row],[takes]]&gt;0,LightbringerAbilities3Scenario0[[#This Row],[wins]]/LightbringerAbilities3Scenario0[[#This Row],[takes]],0)</calculatedColumnFormula>
    </tableColumn>
  </tableColumns>
  <tableStyleInfo name="TableStyleMedium2" showFirstColumn="0" showLastColumn="0" showRowStripes="1" showColumnStripes="0"/>
</table>
</file>

<file path=xl/tables/table2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xr:uid="{320CE7E0-ACCC-46EB-94B6-0BC92A05C911}" name="LightbringerAbilities4Scenario0" displayName="LightbringerAbilities4Scenario0" ref="K17:O20" totalsRowShown="0" headerRowDxfId="632" headerRowBorderDxfId="631" tableBorderDxfId="630" totalsRowBorderDxfId="629">
  <autoFilter ref="K17:O20" xr:uid="{01E0B516-A92C-45D4-946B-0FCF2F31D98A}"/>
  <tableColumns count="5">
    <tableColumn id="1" xr3:uid="{95251227-5274-48FA-A791-C1AC52DA6F2E}" name="ability" dataDxfId="628"/>
    <tableColumn id="2" xr3:uid="{B7211C4B-8C9B-4B1A-B9B4-26E32C837D31}" name="takes" dataDxfId="627">
      <calculatedColumnFormula>COUNTIF(Scenario0[winner1-ability4],LightbringerAbilities4Scenario0[[#This Row],[ability]])+COUNTIF(Scenario0[winner2-ability4],LightbringerAbilities4Scenario0[[#This Row],[ability]])+COUNTIF(Scenario0[loser1-ability4],LightbringerAbilities4Scenario0[[#This Row],[ability]])+COUNTIF(Scenario0[loser2-ability4],LightbringerAbilities4Scenario0[[#This Row],[ability]])</calculatedColumnFormula>
    </tableColumn>
    <tableColumn id="3" xr3:uid="{2284DBA2-D789-4EB3-83A4-7727DB764E6C}" name="wins" dataDxfId="626">
      <calculatedColumnFormula>COUNTIF(Scenario0[winner1-ability4],LightbringerAbilities4Scenario0[[#This Row],[ability]])+COUNTIF(Scenario0[winner2-ability4],LightbringerAbilities4Scenario0[[#This Row],[ability]])</calculatedColumnFormula>
    </tableColumn>
    <tableColumn id="4" xr3:uid="{6CAF9818-60FB-47D7-BD08-34E6E2EE85AD}" name="battles-take-rate" dataDxfId="625">
      <calculatedColumnFormula>IF(SUM(LightbringerAbilities4Scenario0[[#This Row],[takes]]) &gt; 0,LightbringerAbilities4Scenario0[[#This Row],[takes]]/SUM(LightbringerAbilities4Scenario0[takes]),0)</calculatedColumnFormula>
    </tableColumn>
    <tableColumn id="5" xr3:uid="{2AFF37EF-7EDA-4019-B944-78E41DBDD4E3}" name="take-win-rate" dataDxfId="624">
      <calculatedColumnFormula>IF(LightbringerAbilities4Scenario0[[#This Row],[takes]]&gt;0,LightbringerAbilities4Scenario0[[#This Row],[wins]]/LightbringerAbilities4Scenario0[[#This Row],[takes]],0)</calculatedColumnFormula>
    </tableColumn>
  </tableColumns>
  <tableStyleInfo name="TableStyleMedium2" showFirstColumn="0" showLastColumn="0" showRowStripes="1" showColumnStripes="0"/>
</table>
</file>

<file path=xl/tables/table2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xr:uid="{75E56E6F-12AD-4A81-A826-36179C63C8B0}" name="LightbringerEquipScenario0" displayName="LightbringerEquipScenario0" ref="Q2:S5" totalsRowShown="0">
  <autoFilter ref="Q2:S5" xr:uid="{E84D91C4-DFF3-43B9-932F-3FEFFBEA9FF1}"/>
  <tableColumns count="3">
    <tableColumn id="1" xr3:uid="{A91C72E0-C94C-4503-B714-486883EE44C8}" name="level"/>
    <tableColumn id="2" xr3:uid="{64E641DD-C24A-4BDC-8823-CEEDE7155E6D}" name="hammer" dataDxfId="623">
      <calculatedColumnFormula>COUNTIFS(Scenario0[winner1],"lightbringer",Scenario0[winner1-pw],LightbringerEquipScenario0[[#This Row],[level]])+COUNTIFS(Scenario0[winner2],"lightbringer",Scenario0[winner2-pw],LightbringerEquipScenario0[[#This Row],[level]])+COUNTIFS(Scenario0[loser1],"lightbringer",Scenario0[loser1-pw],LightbringerEquipScenario0[[#This Row],[level]])+COUNTIFS(Scenario0[loser2],"lightbringer",Scenario0[loser2-pw],LightbringerEquipScenario0[[#This Row],[level]])</calculatedColumnFormula>
    </tableColumn>
    <tableColumn id="4" xr3:uid="{DE7525A8-59F5-44D9-A598-DD86097CF596}" name="chestpiece" dataDxfId="622">
      <calculatedColumnFormula>COUNTIFS(Scenario0[winner1],"lightbringer",Scenario0[winner1-cp],LightbringerEquipScenario0[[#This Row],[level]])+COUNTIFS(Scenario0[winner2],"lightbringer",Scenario0[winner2-cp],LightbringerEquipScenario0[[#This Row],[level]])+COUNTIFS(Scenario0[loser1],"lightbringer",Scenario0[loser1-cp],LightbringerEquipScenario0[[#This Row],[level]])+COUNTIFS(Scenario0[loser2],"lightbringer",Scenario0[loser2-cp],LightbringerEquipScenario0[[#This Row],[level]])</calculatedColumnFormula>
    </tableColumn>
  </tableColumns>
  <tableStyleInfo name="TableStyleMedium2" showFirstColumn="0" showLastColumn="0" showRowStripes="1" showColumnStripes="0"/>
</table>
</file>

<file path=xl/tables/table2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xr:uid="{AAC7A1E2-1DEA-4187-A2F9-9C13ABA6CE8C}" name="LightbringerAbilities1Scenario1" displayName="LightbringerAbilities1Scenario1" ref="K23:O26" totalsRowShown="0">
  <autoFilter ref="K23:O26" xr:uid="{A0A97CA7-01BF-4D92-A7D1-F51028CD7758}"/>
  <tableColumns count="5">
    <tableColumn id="2" xr3:uid="{F38EDE01-9B3E-4400-923E-DD0621883D6C}" name="ability"/>
    <tableColumn id="6" xr3:uid="{CEFD0E18-6FF5-4B30-BFA3-7728E155640A}" name="takes" dataDxfId="621">
      <calculatedColumnFormula>COUNTIF(Scenario1[winner1-ability1],LightbringerAbilities1Scenario1[[#This Row],[ability]])+COUNTIF(Scenario1[winner2-ability1],LightbringerAbilities1Scenario1[[#This Row],[ability]])+COUNTIF(Scenario1[loser1-ability1],LightbringerAbilities1Scenario1[[#This Row],[ability]])+COUNTIF(Scenario1[loser2-ability1],LightbringerAbilities1Scenario1[[#This Row],[ability]])</calculatedColumnFormula>
    </tableColumn>
    <tableColumn id="4" xr3:uid="{53B56E1E-D02C-46D7-B03D-07EDEE800D72}" name="wins" dataDxfId="620">
      <calculatedColumnFormula>COUNTIF(Scenario1[winner1-ability1],LightbringerAbilities1Scenario1[[#This Row],[ability]])+COUNTIF(Scenario1[winner2-ability1],LightbringerAbilities1Scenario1[[#This Row],[ability]])</calculatedColumnFormula>
    </tableColumn>
    <tableColumn id="5" xr3:uid="{DCCD9433-1128-4689-9A2B-FB1E8C0CEBB7}" name="battles-take-rate" dataDxfId="619">
      <calculatedColumnFormula>IF(SUM(LightbringerAbilities1Scenario1[[#This Row],[takes]]) &gt; 0,LightbringerAbilities1Scenario1[[#This Row],[takes]]/SUM(LightbringerAbilities1Scenario1[takes]),0)</calculatedColumnFormula>
    </tableColumn>
    <tableColumn id="7" xr3:uid="{9537F125-D1DA-4CAA-AC44-300264B6F881}" name="take-win-rate" dataDxfId="618">
      <calculatedColumnFormula>IF(LightbringerAbilities1Scenario1[[#This Row],[takes]]&gt;0,LightbringerAbilities1Scenario1[[#This Row],[wins]]/LightbringerAbilities1Scenario1[[#This Row],[takes]],0)</calculatedColumnFormula>
    </tableColumn>
  </tableColumns>
  <tableStyleInfo name="TableStyleMedium2" showFirstColumn="0" showLastColumn="0" showRowStripes="1" showColumnStripes="0"/>
</table>
</file>

<file path=xl/tables/table2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xr:uid="{7BC8C804-144D-4BFF-BC25-B2B7C799A905}" name="LightbringerAbilities2Scenario1" displayName="LightbringerAbilities2Scenario1" ref="K28:O31" totalsRowShown="0" headerRowDxfId="617" headerRowBorderDxfId="616" tableBorderDxfId="615" totalsRowBorderDxfId="614">
  <autoFilter ref="K28:O31" xr:uid="{A29CF70A-0B84-46BB-A412-712C2F594795}"/>
  <tableColumns count="5">
    <tableColumn id="1" xr3:uid="{DB6A24AC-944F-4490-8C5E-708A4F7A9451}" name="ability"/>
    <tableColumn id="2" xr3:uid="{365BA1DD-524E-4FDB-91CB-D331A233F769}" name="takes" dataDxfId="613">
      <calculatedColumnFormula>COUNTIF(Scenario1[winner1-ability2],LightbringerAbilities2Scenario1[[#This Row],[ability]])+COUNTIF(Scenario1[winner2-ability2],LightbringerAbilities2Scenario1[[#This Row],[ability]])+COUNTIF(Scenario1[loser1-ability2],LightbringerAbilities2Scenario1[[#This Row],[ability]])+COUNTIF(Scenario1[loser2-ability2],LightbringerAbilities2Scenario1[[#This Row],[ability]])</calculatedColumnFormula>
    </tableColumn>
    <tableColumn id="3" xr3:uid="{7461FBBA-B7AE-4C55-90DB-42863B5A7C5F}" name="wins" dataDxfId="612">
      <calculatedColumnFormula>COUNTIF(Scenario1[winner1-ability2],LightbringerAbilities2Scenario1[[#This Row],[ability]])+COUNTIF(Scenario1[winner2-ability2],LightbringerAbilities2Scenario1[[#This Row],[ability]])</calculatedColumnFormula>
    </tableColumn>
    <tableColumn id="4" xr3:uid="{E9EE6894-0DC8-4D1E-964C-7A9C568CB6ED}" name="battles-take-rate" dataDxfId="611">
      <calculatedColumnFormula>IF(SUM(LightbringerAbilities2Scenario1[[#This Row],[takes]]) &gt; 0,LightbringerAbilities2Scenario1[[#This Row],[takes]]/SUM(LightbringerAbilities2Scenario1[takes]),0)</calculatedColumnFormula>
    </tableColumn>
    <tableColumn id="5" xr3:uid="{23574AC2-824F-4C7B-B7C5-97B29FC9373B}" name="take-win-rate" dataDxfId="610">
      <calculatedColumnFormula>IF(LightbringerAbilities2Scenario1[[#This Row],[takes]]&gt;0,LightbringerAbilities2Scenario1[[#This Row],[wins]]/LightbringerAbilities2Scenario1[[#This Row],[takes]],0)</calculatedColumnFormula>
    </tableColumn>
  </tableColumns>
  <tableStyleInfo name="TableStyleMedium2" showFirstColumn="0" showLastColumn="0" showRowStripes="1" showColumnStripes="0"/>
</table>
</file>

<file path=xl/tables/table2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xr:uid="{4FC53115-67A0-4640-A35D-1355900B3ED7}" name="LightbringerAbilities3Scenario1" displayName="LightbringerAbilities3Scenario1" ref="K33:O36" totalsRowShown="0" headerRowDxfId="609" headerRowBorderDxfId="608" tableBorderDxfId="607" totalsRowBorderDxfId="606">
  <autoFilter ref="K33:O36" xr:uid="{CBC18F4E-86CD-4BE3-9377-2B862ED3B826}"/>
  <tableColumns count="5">
    <tableColumn id="1" xr3:uid="{8587B815-8205-48B3-8B08-347A64A5AD14}" name="ability"/>
    <tableColumn id="2" xr3:uid="{74BC49FD-4040-45CF-BB38-53647E992CF5}" name="takes" dataDxfId="605">
      <calculatedColumnFormula>COUNTIF(Scenario1[winner1-ability3],LightbringerAbilities3Scenario1[[#This Row],[ability]])+COUNTIF(Scenario1[winner2-ability3],LightbringerAbilities3Scenario1[[#This Row],[ability]])+COUNTIF(Scenario1[loser1-ability3],LightbringerAbilities3Scenario1[[#This Row],[ability]])+COUNTIF(Scenario1[loser2-ability3],LightbringerAbilities3Scenario1[[#This Row],[ability]])</calculatedColumnFormula>
    </tableColumn>
    <tableColumn id="3" xr3:uid="{39853AEC-56A0-423A-BD00-513E9B54E4E2}" name="wins" dataDxfId="604">
      <calculatedColumnFormula>COUNTIF(Scenario1[winner1-ability3],LightbringerAbilities3Scenario1[[#This Row],[ability]])+COUNTIF(Scenario1[winner2-ability3],LightbringerAbilities3Scenario1[[#This Row],[ability]])</calculatedColumnFormula>
    </tableColumn>
    <tableColumn id="4" xr3:uid="{7EE28E58-2CE1-424D-86EA-6CD37D2947C4}" name="battles-take-rate" dataDxfId="603">
      <calculatedColumnFormula>IF(SUM(LightbringerAbilities3Scenario1[[#This Row],[takes]]) &gt; 0,LightbringerAbilities3Scenario1[[#This Row],[takes]]/SUM(LightbringerAbilities3Scenario1[takes]),0)</calculatedColumnFormula>
    </tableColumn>
    <tableColumn id="5" xr3:uid="{1C9778F2-8911-4E08-BE32-BA19C86FF5E1}" name="take-win-rate" dataDxfId="602">
      <calculatedColumnFormula>IF(LightbringerAbilities3Scenario1[[#This Row],[takes]]&gt;0,LightbringerAbilities3Scenario1[[#This Row],[wins]]/LightbringerAbilities3Scenario1[[#This Row],[takes]],0)</calculatedColumnFormula>
    </tableColumn>
  </tableColumns>
  <tableStyleInfo name="TableStyleMedium2" showFirstColumn="0" showLastColumn="0" showRowStripes="1" showColumnStripes="0"/>
</table>
</file>

<file path=xl/tables/table2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xr:uid="{C3B40518-D816-4C59-9260-EF207D5CAFAD}" name="LightbringerAbilities4Scenario1" displayName="LightbringerAbilities4Scenario1" ref="K38:O41" totalsRowShown="0" headerRowDxfId="601" headerRowBorderDxfId="600" tableBorderDxfId="599" totalsRowBorderDxfId="598">
  <autoFilter ref="K38:O41" xr:uid="{A1F38E75-59DE-4DB4-B81C-C0322397F6F7}"/>
  <tableColumns count="5">
    <tableColumn id="1" xr3:uid="{D120DB3D-0A5D-420D-9741-6F25B01853C8}" name="ability" dataDxfId="597"/>
    <tableColumn id="2" xr3:uid="{917AA9FD-5BE5-479F-8517-062A9D4A84E5}" name="takes" dataDxfId="596">
      <calculatedColumnFormula>COUNTIF(Scenario1[winner1-ability4],LightbringerAbilities4Scenario1[[#This Row],[ability]])+COUNTIF(Scenario1[winner2-ability4],LightbringerAbilities4Scenario1[[#This Row],[ability]])+COUNTIF(Scenario1[loser1-ability4],LightbringerAbilities4Scenario1[[#This Row],[ability]])+COUNTIF(Scenario1[loser2-ability4],LightbringerAbilities4Scenario1[[#This Row],[ability]])</calculatedColumnFormula>
    </tableColumn>
    <tableColumn id="3" xr3:uid="{F9AB1BA9-24EC-4043-9934-DF4D5F3EA5F6}" name="wins" dataDxfId="595">
      <calculatedColumnFormula>COUNTIF(Scenario1[winner1-ability4],LightbringerAbilities4Scenario1[[#This Row],[ability]])+COUNTIF(Scenario1[winner2-ability4],LightbringerAbilities4Scenario1[[#This Row],[ability]])</calculatedColumnFormula>
    </tableColumn>
    <tableColumn id="4" xr3:uid="{0BEA733C-D36C-44E2-981F-2F1CADE62FF8}" name="battles-take-rate" dataDxfId="594">
      <calculatedColumnFormula>IF(SUM(LightbringerAbilities4Scenario1[[#This Row],[takes]]) &gt; 0,LightbringerAbilities4Scenario1[[#This Row],[takes]]/SUM(LightbringerAbilities4Scenario1[takes]),0)</calculatedColumnFormula>
    </tableColumn>
    <tableColumn id="5" xr3:uid="{586E5672-8457-4C44-B96A-D8C61F2AE142}" name="take-win-rate" dataDxfId="593">
      <calculatedColumnFormula>IF(LightbringerAbilities4Scenario1[[#This Row],[takes]]&gt;0,LightbringerAbilities4Scenario1[[#This Row],[wins]]/LightbringerAbilities4Scenario1[[#This Row],[takes]],0)</calculatedColumnFormula>
    </tableColumn>
  </tableColumns>
  <tableStyleInfo name="TableStyleMedium2" showFirstColumn="0" showLastColumn="0" showRowStripes="1" showColumnStripes="0"/>
</table>
</file>

<file path=xl/tables/table2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xr:uid="{D7DAEEBA-E822-4065-9AE2-F1EE0E61291F}" name="LightbringerEquipScenario1" displayName="LightbringerEquipScenario1" ref="Q23:S26" totalsRowShown="0">
  <autoFilter ref="Q23:S26" xr:uid="{18EECD25-0AE5-4756-B5E1-492D523A2929}"/>
  <tableColumns count="3">
    <tableColumn id="1" xr3:uid="{5135329B-2495-474E-A344-1E18A263C344}" name="level"/>
    <tableColumn id="2" xr3:uid="{031CC407-4FAE-4573-85C1-521C6B778961}" name="hammer" dataDxfId="592">
      <calculatedColumnFormula>COUNTIFS(Scenario1[winner1],"lightbringer",Scenario1[winner1-pw],LightbringerEquipScenario1[[#This Row],[level]])+COUNTIFS(Scenario1[winner2],"lightbringer",Scenario1[winner2-pw],LightbringerEquipScenario1[[#This Row],[level]])+COUNTIFS(Scenario1[loser1],"lightbringer",Scenario1[loser1-pw],LightbringerEquipScenario1[[#This Row],[level]])+COUNTIFS(Scenario1[loser2],"lightbringer",Scenario1[loser2-pw],LightbringerEquipScenario1[[#This Row],[level]])</calculatedColumnFormula>
    </tableColumn>
    <tableColumn id="4" xr3:uid="{19F87733-F830-4588-84E9-2D255BEE60F9}" name="chestpiece" dataDxfId="591">
      <calculatedColumnFormula>COUNTIFS(Scenario1[winner1],"lightbringer",Scenario1[winner1-cp],LightbringerEquipScenario1[[#This Row],[level]])+COUNTIFS(Scenario1[winner2],"lightbringer",Scenario1[winner2-cp],LightbringerEquipScenario1[[#This Row],[level]])+COUNTIFS(Scenario1[loser1],"lightbringer",Scenario1[loser1-cp],LightbringerEquipScenario1[[#This Row],[level]])+COUNTIFS(Scenario1[loser2],"lightbringer",Scenario1[loser2-cp],LightbringerEquipScenario1[[#This Row],[level]])</calculatedColumnFormula>
    </tableColumn>
  </tableColumns>
  <tableStyleInfo name="TableStyleMedium2" showFirstColumn="0" showLastColumn="0" showRowStripes="1" showColumnStripes="0"/>
</table>
</file>

<file path=xl/tables/table2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xr:uid="{14B16F53-16CC-433B-B141-36882EA93502}" name="LightbringerAbilities1Scenario2" displayName="LightbringerAbilities1Scenario2" ref="K44:O47" totalsRowShown="0">
  <autoFilter ref="K44:O47" xr:uid="{81D76695-EE53-4A07-9351-842AC55F2540}"/>
  <tableColumns count="5">
    <tableColumn id="2" xr3:uid="{25350EE4-D0C1-4DE5-A821-C71EFBBB52B3}" name="ability"/>
    <tableColumn id="6" xr3:uid="{61F62187-E2A4-4533-8CDC-14B749570A8A}" name="takes" dataDxfId="590">
      <calculatedColumnFormula>COUNTIF(Scenario2[winner1-ability1],LightbringerAbilities1Scenario2[[#This Row],[ability]])+COUNTIF(Scenario2[loser1-ability1],LightbringerAbilities1Scenario2[[#This Row],[ability]])</calculatedColumnFormula>
    </tableColumn>
    <tableColumn id="4" xr3:uid="{13F987A2-DF66-40E9-A5D9-5F9E37F8403B}" name="wins" dataDxfId="589">
      <calculatedColumnFormula>COUNTIF(Scenario2[winner1-ability1],LightbringerAbilities1Scenario2[[#This Row],[ability]])</calculatedColumnFormula>
    </tableColumn>
    <tableColumn id="5" xr3:uid="{421271B6-A7F2-416D-9C86-7A46EDB0C967}" name="battles-take-rate" dataDxfId="588">
      <calculatedColumnFormula>IF(SUM(LightbringerAbilities1Scenario2[[#This Row],[takes]]) &gt; 0,LightbringerAbilities1Scenario2[[#This Row],[takes]]/SUM(LightbringerAbilities1Scenario2[takes]),0)</calculatedColumnFormula>
    </tableColumn>
    <tableColumn id="7" xr3:uid="{F01D67F2-B1B8-4397-830F-9E74F7C298BD}" name="take-win-rate" dataDxfId="587">
      <calculatedColumnFormula>IF(LightbringerAbilities1Scenario2[[#This Row],[takes]]&gt;0,LightbringerAbilities1Scenario2[[#This Row],[wins]]/LightbringerAbilities1Scenario2[[#This Row],[takes]],0)</calculatedColumnFormula>
    </tableColumn>
  </tableColumns>
  <tableStyleInfo name="TableStyleMedium2" showFirstColumn="0" showLastColumn="0" showRowStripes="1" showColumnStripes="0"/>
</table>
</file>

<file path=xl/tables/table2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xr:uid="{9137F525-F15D-4A82-A7B3-8342FC9477AF}" name="LightbringerAbilities2Scenario2" displayName="LightbringerAbilities2Scenario2" ref="K49:O52" totalsRowShown="0" headerRowDxfId="586" headerRowBorderDxfId="585" tableBorderDxfId="584" totalsRowBorderDxfId="583">
  <autoFilter ref="K49:O52" xr:uid="{B5828340-8DA1-4B65-ACEB-BDDDED872E64}"/>
  <tableColumns count="5">
    <tableColumn id="1" xr3:uid="{B8F02F74-14AA-4189-88C7-EBBBCB861774}" name="ability"/>
    <tableColumn id="2" xr3:uid="{CDE83B91-CEEC-4736-9BFD-3D15FB0D803B}" name="takes" dataDxfId="582">
      <calculatedColumnFormula>COUNTIF(Scenario2[winner1-ability2],LightbringerAbilities2Scenario2[[#This Row],[ability]])+COUNTIF(Scenario2[loser1-ability2],LightbringerAbilities2Scenario2[[#This Row],[ability]])</calculatedColumnFormula>
    </tableColumn>
    <tableColumn id="3" xr3:uid="{0635DE76-BDF9-425D-8AEF-CC5655168794}" name="wins" dataDxfId="581">
      <calculatedColumnFormula>COUNTIF(Scenario2[winner1-ability2],LightbringerAbilities2Scenario2[[#This Row],[ability]])</calculatedColumnFormula>
    </tableColumn>
    <tableColumn id="4" xr3:uid="{5D047490-B112-443E-8E4D-D9E9CE757DF6}" name="battles-take-rate" dataDxfId="580">
      <calculatedColumnFormula>IF(SUM(LightbringerAbilities2Scenario2[[#This Row],[takes]]) &gt; 0,LightbringerAbilities2Scenario2[[#This Row],[takes]]/SUM(LightbringerAbilities2Scenario2[takes]),0)</calculatedColumnFormula>
    </tableColumn>
    <tableColumn id="5" xr3:uid="{D7471079-81A0-42F0-959E-272C724584A2}" name="take-win-rate" dataDxfId="579">
      <calculatedColumnFormula>IF(LightbringerAbilities2Scenario2[[#This Row],[takes]]&gt;0,LightbringerAbilities2Scenario2[[#This Row],[wins]]/LightbringerAbilities2Scenario2[[#This Row],[takes]],0)</calculatedColumnFormula>
    </tableColumn>
  </tableColumns>
  <tableStyleInfo name="TableStyleMedium2" showFirstColumn="0" showLastColumn="0" showRowStripes="1" showColumnStripes="0"/>
</table>
</file>

<file path=xl/tables/table2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xr:uid="{60556BF0-4E41-49BC-879D-F117DAE478B6}" name="LightbringerAbilities3Scenario2" displayName="LightbringerAbilities3Scenario2" ref="K54:O57" totalsRowShown="0" headerRowDxfId="578" headerRowBorderDxfId="577" tableBorderDxfId="576" totalsRowBorderDxfId="575">
  <autoFilter ref="K54:O57" xr:uid="{34ED10E5-B169-4BBA-8F2C-73FF473D0922}"/>
  <tableColumns count="5">
    <tableColumn id="1" xr3:uid="{4620BF1B-4B2C-4F31-A6B7-05E6C8F933AD}" name="ability"/>
    <tableColumn id="2" xr3:uid="{1EA407D8-D061-4CE1-B92E-FEB3ECF39CDE}" name="takes" dataDxfId="574">
      <calculatedColumnFormula>COUNTIF(Scenario2[winner1-ability3],LightbringerAbilities3Scenario2[[#This Row],[ability]])+COUNTIF(Scenario2[loser1-ability3],LightbringerAbilities3Scenario2[[#This Row],[ability]])</calculatedColumnFormula>
    </tableColumn>
    <tableColumn id="3" xr3:uid="{86B1BC2F-1AF9-4F70-AEC8-AAC38D3DAC29}" name="wins" dataDxfId="573">
      <calculatedColumnFormula>COUNTIF(Scenario2[winner1-ability3],LightbringerAbilities3Scenario2[[#This Row],[ability]])</calculatedColumnFormula>
    </tableColumn>
    <tableColumn id="4" xr3:uid="{311DFE61-88B3-4D35-B576-B6D2BF9CA16D}" name="battles-take-rate" dataDxfId="572">
      <calculatedColumnFormula>IF(SUM(LightbringerAbilities3Scenario2[[#This Row],[takes]]) &gt; 0,LightbringerAbilities3Scenario2[[#This Row],[takes]]/SUM(LightbringerAbilities3Scenario2[takes]),0)</calculatedColumnFormula>
    </tableColumn>
    <tableColumn id="5" xr3:uid="{813BDAB8-4498-474B-9AC0-9EC8B7E891C9}" name="take-win-rate" dataDxfId="571">
      <calculatedColumnFormula>IF(LightbringerAbilities3Scenario2[[#This Row],[takes]]&gt;0,LightbringerAbilities3Scenario2[[#This Row],[wins]]/LightbringerAbilities3Scenario2[[#This Row],[takes]],0)</calculatedColumnFormula>
    </tableColumn>
  </tableColumns>
  <tableStyleInfo name="TableStyleMedium2" showFirstColumn="0" showLastColumn="0" showRowStripes="1" showColumnStripes="0"/>
</table>
</file>

<file path=xl/tables/table2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xr:uid="{DFB86C43-02AE-49AA-A766-418A2D2DADEC}" name="LightbringerAbilities4Scenario2" displayName="LightbringerAbilities4Scenario2" ref="K59:O62" totalsRowShown="0" headerRowDxfId="570" headerRowBorderDxfId="569" tableBorderDxfId="568" totalsRowBorderDxfId="567">
  <autoFilter ref="K59:O62" xr:uid="{DDB7F110-02A6-4F67-8266-251AF48CB7C0}"/>
  <tableColumns count="5">
    <tableColumn id="1" xr3:uid="{10AC8AF3-38AA-4A13-B22D-4BB6F815DE68}" name="ability" dataDxfId="566"/>
    <tableColumn id="2" xr3:uid="{71D3D958-AF17-4056-8501-6475CD621FEA}" name="takes" dataDxfId="565">
      <calculatedColumnFormula>COUNTIF(Scenario2[winner1-ability4],LightbringerAbilities4Scenario2[[#This Row],[ability]])+COUNTIF(Scenario2[loser1-ability4],LightbringerAbilities4Scenario2[[#This Row],[ability]])</calculatedColumnFormula>
    </tableColumn>
    <tableColumn id="3" xr3:uid="{02C842D1-62F2-4B06-B95A-7DC391C12A94}" name="wins" dataDxfId="564">
      <calculatedColumnFormula>COUNTIF(Scenario2[winner1-ability4],LightbringerAbilities4Scenario2[[#This Row],[ability]])</calculatedColumnFormula>
    </tableColumn>
    <tableColumn id="4" xr3:uid="{14757AA8-CCDC-4DD4-89B6-B2A1BEC4DE49}" name="battles-take-rate" dataDxfId="563">
      <calculatedColumnFormula>IF(SUM(LightbringerAbilities4Scenario2[[#This Row],[takes]]) &gt; 0,LightbringerAbilities4Scenario2[[#This Row],[takes]]/SUM(LightbringerAbilities4Scenario2[takes]),0)</calculatedColumnFormula>
    </tableColumn>
    <tableColumn id="5" xr3:uid="{8B4FEE96-FA7E-4FB5-84A5-26DB26479731}" name="take-win-rate" dataDxfId="562">
      <calculatedColumnFormula>IF(LightbringerAbilities4Scenario2[[#This Row],[takes]]&gt;0,LightbringerAbilities4Scenario2[[#This Row],[wins]]/LightbringerAbilities4Scenario2[[#This Row],[takes]],0)</calculatedColumnFormula>
    </tableColumn>
  </tableColumns>
  <tableStyleInfo name="TableStyleMedium2" showFirstColumn="0" showLastColumn="0" showRowStripes="1" showColumnStripes="0"/>
</table>
</file>

<file path=xl/tables/table2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xr:uid="{92CEDF9E-8CC4-4B08-85B8-FF715A9D75DB}" name="LightbringerEquipScenario2" displayName="LightbringerEquipScenario2" ref="Q44:S47" totalsRowShown="0">
  <autoFilter ref="Q44:S47" xr:uid="{BDEC3E9D-FA56-4E08-A52D-2A8BEB87833A}"/>
  <tableColumns count="3">
    <tableColumn id="1" xr3:uid="{7FEB254D-BAB2-48EE-992E-3628BA6A3F33}" name="level"/>
    <tableColumn id="2" xr3:uid="{0A521553-74D4-491A-B456-F9C7D2A20F4F}" name="hammer" dataDxfId="561">
      <calculatedColumnFormula>COUNTIFS(Scenario2[winner1],"lightbringer",Scenario2[winner1-pw],LightbringerEquipScenario2[[#This Row],[level]])+COUNTIFS(Scenario2[loser1],"lightbringer",Scenario2[loser1-pw],LightbringerEquipScenario2[[#This Row],[level]])</calculatedColumnFormula>
    </tableColumn>
    <tableColumn id="4" xr3:uid="{39298028-A267-427D-8B99-3CE7DD752F1D}" name="chestpiece" dataDxfId="560">
      <calculatedColumnFormula>COUNTIFS(Scenario2[winner1],"lightbringer",Scenario2[winner1-cp],LightbringerEquipScenario2[[#This Row],[level]])+COUNTIFS(Scenario2[loser1],"lightbringer",Scenario2[loser1-cp],LightbringerEquipScenario2[[#This Row],[level]])</calculatedColumnFormula>
    </tableColumn>
  </tableColumns>
  <tableStyleInfo name="TableStyleMedium2" showFirstColumn="0" showLastColumn="0" showRowStripes="1" showColumnStripes="0"/>
</table>
</file>

<file path=xl/tables/table2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A8CBB4D-8E86-42AB-AABA-EE39915A203D}" name="UpgradeStatistics19202122232425" displayName="UpgradeStatistics19202122232425" ref="U1:V9" totalsRowShown="0">
  <autoFilter ref="U1:V9" xr:uid="{2A8CBB4D-8E86-42AB-AABA-EE39915A203D}"/>
  <tableColumns count="2">
    <tableColumn id="1" xr3:uid="{983FF04C-065F-4B9D-9F88-72B724A0233F}" name="upgrade"/>
    <tableColumn id="3" xr3:uid="{B18C5280-EE88-470F-A5A5-1E92562926EE}" name="rate" dataDxfId="559"/>
  </tableColumns>
  <tableStyleInfo name="TableStyleMedium2" showFirstColumn="0" showLastColumn="0" showRowStripes="1" showColumnStripes="0"/>
</table>
</file>

<file path=xl/tables/table2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xr:uid="{5036B6AA-9539-42EA-B289-BF898D503310}" name="LightbringerAbilities1Scenario3" displayName="LightbringerAbilities1Scenario3" ref="K65:O68" totalsRowShown="0">
  <autoFilter ref="K65:O68" xr:uid="{5036B6AA-9539-42EA-B289-BF898D503310}"/>
  <tableColumns count="5">
    <tableColumn id="2" xr3:uid="{FDDEFBFA-2737-4330-BC63-D99FE3165A67}" name="ability"/>
    <tableColumn id="6" xr3:uid="{AEA10C96-F6D1-491A-BCDA-8849DFD60B62}" name="takes" dataDxfId="558">
      <calculatedColumnFormula>COUNTIF(Scenario3[winner1-ability1],LightbringerAbilities1Scenario3[[#This Row],[ability]])+COUNTIF(Scenario3[loser1-ability1],LightbringerAbilities1Scenario3[[#This Row],[ability]])+COUNTIF(Scenario3[loser2-ability1],LightbringerAbilities1Scenario3[[#This Row],[ability]])</calculatedColumnFormula>
    </tableColumn>
    <tableColumn id="4" xr3:uid="{580721F6-C357-455B-972D-0CF47F0F5215}" name="wins" dataDxfId="557">
      <calculatedColumnFormula>COUNTIF(Scenario3[winner1-ability1],LightbringerAbilities1Scenario3[[#This Row],[ability]])</calculatedColumnFormula>
    </tableColumn>
    <tableColumn id="5" xr3:uid="{442CCED2-01BE-4987-8D33-2A2A0AF05951}" name="battles-take-rate" dataDxfId="556">
      <calculatedColumnFormula>IF(SUM(LightbringerAbilities1Scenario3[[#This Row],[takes]]) &gt; 0,LightbringerAbilities1Scenario3[[#This Row],[takes]]/SUM(LightbringerAbilities1Scenario3[takes]),0)</calculatedColumnFormula>
    </tableColumn>
    <tableColumn id="7" xr3:uid="{D7E50159-862F-4ABF-988A-486614D6CF0A}" name="take-win-rate" dataDxfId="555">
      <calculatedColumnFormula>IF(LightbringerAbilities1Scenario3[[#This Row],[takes]]&gt;0,LightbringerAbilities1Scenario3[[#This Row],[wins]]/LightbringerAbilities1Scenario3[[#This Row],[takes]],0)</calculatedColumnFormula>
    </tableColumn>
  </tableColumns>
  <tableStyleInfo name="TableStyleMedium2" showFirstColumn="0" showLastColumn="0" showRowStripes="1" showColumnStripes="0"/>
</table>
</file>

<file path=xl/tables/table2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xr:uid="{F5EBEFDE-788E-474A-8B98-F2566F5DBF81}" name="LightbringerAbilities2Scenario3" displayName="LightbringerAbilities2Scenario3" ref="K70:O73" totalsRowShown="0" headerRowDxfId="554" headerRowBorderDxfId="553" tableBorderDxfId="552" totalsRowBorderDxfId="551">
  <autoFilter ref="K70:O73" xr:uid="{F5EBEFDE-788E-474A-8B98-F2566F5DBF81}"/>
  <tableColumns count="5">
    <tableColumn id="1" xr3:uid="{97DBEBAC-D398-4A18-940F-5E5829452B9A}" name="ability"/>
    <tableColumn id="2" xr3:uid="{36EAC00E-B795-4EC1-BF9F-787D32FF8DFA}" name="takes" dataDxfId="550">
      <calculatedColumnFormula>COUNTIF(Scenario3[winner1-ability2],LightbringerAbilities2Scenario3[[#This Row],[ability]])+COUNTIF(Scenario3[loser1-ability2],LightbringerAbilities2Scenario3[[#This Row],[ability]])+COUNTIF(Scenario3[loser2-ability2],LightbringerAbilities2Scenario3[[#This Row],[ability]])</calculatedColumnFormula>
    </tableColumn>
    <tableColumn id="3" xr3:uid="{C7963D5B-3556-4B6D-9A9F-21CD2C6C93B8}" name="wins" dataDxfId="549">
      <calculatedColumnFormula>COUNTIF(Scenario3[winner1-ability2],LightbringerAbilities2Scenario3[[#This Row],[ability]])</calculatedColumnFormula>
    </tableColumn>
    <tableColumn id="4" xr3:uid="{48A42F91-DB45-40CB-99DC-B2AEBEF1B9A0}" name="battles-take-rate" dataDxfId="548">
      <calculatedColumnFormula>IF(SUM(LightbringerAbilities2Scenario3[[#This Row],[takes]]) &gt; 0,LightbringerAbilities2Scenario3[[#This Row],[takes]]/SUM(LightbringerAbilities2Scenario3[takes]),0)</calculatedColumnFormula>
    </tableColumn>
    <tableColumn id="5" xr3:uid="{16D9D061-3906-4BDA-9D10-797B8BF37B2C}" name="take-win-rate" dataDxfId="547">
      <calculatedColumnFormula>IF(LightbringerAbilities2Scenario3[[#This Row],[takes]]&gt;0,LightbringerAbilities2Scenario3[[#This Row],[wins]]/LightbringerAbilities2Scenario3[[#This Row],[takes]],0)</calculatedColumnFormula>
    </tableColumn>
  </tableColumns>
  <tableStyleInfo name="TableStyleMedium2" showFirstColumn="0" showLastColumn="0" showRowStripes="1" showColumnStripes="0"/>
</table>
</file>

<file path=xl/tables/table2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xr:uid="{00353553-5562-433E-95B7-57AD0F3F3F6B}" name="LightbringerAbilities3Scenario3" displayName="LightbringerAbilities3Scenario3" ref="K75:O78" totalsRowShown="0" headerRowDxfId="546" headerRowBorderDxfId="545" tableBorderDxfId="544" totalsRowBorderDxfId="543">
  <autoFilter ref="K75:O78" xr:uid="{00353553-5562-433E-95B7-57AD0F3F3F6B}"/>
  <tableColumns count="5">
    <tableColumn id="1" xr3:uid="{70A98D39-107F-4081-BF59-2725C35917F8}" name="ability"/>
    <tableColumn id="2" xr3:uid="{3865146D-6511-4D5F-9C79-95FB0A25A52D}" name="takes" dataDxfId="542">
      <calculatedColumnFormula>COUNTIF(Scenario3[winner1-ability3],LightbringerAbilities3Scenario3[[#This Row],[ability]])+COUNTIF(Scenario3[loser1-ability3],LightbringerAbilities3Scenario3[[#This Row],[ability]])+COUNTIF(Scenario3[loser2-ability3],LightbringerAbilities3Scenario3[[#This Row],[ability]])</calculatedColumnFormula>
    </tableColumn>
    <tableColumn id="3" xr3:uid="{3299682E-D6B6-44B7-BFAF-AF90F65F3E19}" name="wins" dataDxfId="541">
      <calculatedColumnFormula>COUNTIF(Scenario3[winner1-ability3],LightbringerAbilities3Scenario3[[#This Row],[ability]])</calculatedColumnFormula>
    </tableColumn>
    <tableColumn id="4" xr3:uid="{E0297031-1158-4FAF-A378-24CA56CC0F85}" name="battles-take-rate" dataDxfId="540">
      <calculatedColumnFormula>IF(SUM(LightbringerAbilities3Scenario3[[#This Row],[takes]]) &gt; 0,LightbringerAbilities3Scenario3[[#This Row],[takes]]/SUM(LightbringerAbilities3Scenario3[takes]),0)</calculatedColumnFormula>
    </tableColumn>
    <tableColumn id="5" xr3:uid="{85C9F64C-DE37-4094-B3D1-1B65DCAE6DF2}" name="take-win-rate" dataDxfId="539">
      <calculatedColumnFormula>IF(LightbringerAbilities3Scenario3[[#This Row],[takes]]&gt;0,LightbringerAbilities3Scenario3[[#This Row],[wins]]/LightbringerAbilities3Scenario3[[#This Row],[takes]],0)</calculatedColumnFormula>
    </tableColumn>
  </tableColumns>
  <tableStyleInfo name="TableStyleMedium2" showFirstColumn="0" showLastColumn="0" showRowStripes="1" showColumnStripes="0"/>
</table>
</file>

<file path=xl/tables/table2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xr:uid="{F49F780C-91EA-4137-817A-655CE8B0C91F}" name="LightbringerAbilities4Scenario3" displayName="LightbringerAbilities4Scenario3" ref="K80:O83" totalsRowShown="0" headerRowDxfId="538" headerRowBorderDxfId="537" tableBorderDxfId="536" totalsRowBorderDxfId="535">
  <autoFilter ref="K80:O83" xr:uid="{F49F780C-91EA-4137-817A-655CE8B0C91F}"/>
  <tableColumns count="5">
    <tableColumn id="1" xr3:uid="{138AE503-6600-46A3-BBD7-4F7DDB8524ED}" name="ability" dataDxfId="534"/>
    <tableColumn id="2" xr3:uid="{38FBAF79-85EE-4F74-89FD-CD7FAD9E38AA}" name="takes" dataDxfId="533">
      <calculatedColumnFormula>COUNTIF(Scenario3[winner1-ability4],LightbringerAbilities4Scenario3[[#This Row],[ability]])+COUNTIF(Scenario3[loser1-ability4],LightbringerAbilities4Scenario3[[#This Row],[ability]])+COUNTIF(Scenario3[loser2-ability4],LightbringerAbilities4Scenario3[[#This Row],[ability]])</calculatedColumnFormula>
    </tableColumn>
    <tableColumn id="3" xr3:uid="{5990E17D-70D8-48C6-8015-31EA7BD62AA9}" name="wins" dataDxfId="532">
      <calculatedColumnFormula>COUNTIF(Scenario3[winner1-ability4],LightbringerAbilities4Scenario3[[#This Row],[ability]])</calculatedColumnFormula>
    </tableColumn>
    <tableColumn id="4" xr3:uid="{1A9F0BCE-5FB4-44B7-A642-F0622DC4289B}" name="battles-take-rate" dataDxfId="531">
      <calculatedColumnFormula>IF(SUM(LightbringerAbilities4Scenario3[[#This Row],[takes]]) &gt; 0,LightbringerAbilities4Scenario3[[#This Row],[takes]]/SUM(LightbringerAbilities4Scenario3[takes]),0)</calculatedColumnFormula>
    </tableColumn>
    <tableColumn id="5" xr3:uid="{FFBB9DC6-8DE1-4E92-8025-E1363B57D5BC}" name="take-win-rate" dataDxfId="530">
      <calculatedColumnFormula>IF(LightbringerAbilities4Scenario3[[#This Row],[takes]]&gt;0,LightbringerAbilities4Scenario3[[#This Row],[wins]]/LightbringerAbilities4Scenario3[[#This Row],[takes]],0)</calculatedColumnFormula>
    </tableColumn>
  </tableColumns>
  <tableStyleInfo name="TableStyleMedium2" showFirstColumn="0" showLastColumn="0" showRowStripes="1" showColumnStripes="0"/>
</table>
</file>

<file path=xl/tables/table2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xr:uid="{75A53A27-D646-4C45-84CC-049AB3EBD586}" name="LightbringerEquipScenario3" displayName="LightbringerEquipScenario3" ref="Q65:S68" totalsRowShown="0">
  <autoFilter ref="Q65:S68" xr:uid="{75A53A27-D646-4C45-84CC-049AB3EBD586}"/>
  <tableColumns count="3">
    <tableColumn id="1" xr3:uid="{F487DB9C-FF57-4A8E-B250-ADDCB775C465}" name="level"/>
    <tableColumn id="2" xr3:uid="{272FA552-31F6-4B9B-B13E-60E4A1800256}" name="hammer" dataDxfId="529">
      <calculatedColumnFormula>COUNTIFS(Scenario3[winner1],"lightbringer",Scenario3[winner1-pw],LightbringerEquipScenario3[[#This Row],[level]])+COUNTIFS(Scenario3[loser1],"lightbringer",Scenario3[loser1-pw],LightbringerEquipScenario3[[#This Row],[level]])+COUNTIFS(Scenario3[loser2],"lightbringer",Scenario3[loser2-pw],LightbringerEquipScenario3[[#This Row],[level]])</calculatedColumnFormula>
    </tableColumn>
    <tableColumn id="4" xr3:uid="{21B2F007-8CB3-4263-BC41-FCC404EA6C1B}" name="chestpiece" dataDxfId="528">
      <calculatedColumnFormula>COUNTIFS(Scenario3[winner1],"lightbringer",Scenario3[winner1-cp],LightbringerEquipScenario3[[#This Row],[level]])+COUNTIFS(Scenario3[loser1],"lightbringer",Scenario3[loser1-cp],LightbringerEquipScenario3[[#This Row],[level]])+COUNTIFS(Scenario3[loser2],"lightbringer",Scenario3[loser2-cp],LightbringerEquipScenario3[[#This Row],[level]])</calculatedColumnFormula>
    </tableColumn>
  </tableColumns>
  <tableStyleInfo name="TableStyleMedium2" showFirstColumn="0" showLastColumn="0" showRowStripes="1" showColumnStripes="0"/>
</table>
</file>

<file path=xl/tables/table2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5" xr:uid="{8CBC275A-92CA-4AA7-864D-6AF8819D27C9}" name="LightbringerAbilities1Scenario4" displayName="LightbringerAbilities1Scenario4" ref="K86:O89" totalsRowShown="0">
  <autoFilter ref="K86:O89" xr:uid="{8CBC275A-92CA-4AA7-864D-6AF8819D27C9}"/>
  <tableColumns count="5">
    <tableColumn id="2" xr3:uid="{7732ECD8-D14F-45A2-9D27-015E756A6E63}" name="ability"/>
    <tableColumn id="6" xr3:uid="{5CA1F7FD-5257-42B3-9055-FA9F1FFC0139}" name="takes" dataDxfId="527">
      <calculatedColumnFormula>COUNTIF(Scenario4[winner1-ability1],LightbringerAbilities1Scenario4[[#This Row],[ability]])+COUNTIF(Scenario4[loser1-ability1],LightbringerAbilities1Scenario4[[#This Row],[ability]])+COUNTIF(Scenario4[loser2-ability1],LightbringerAbilities1Scenario4[[#This Row],[ability]])+COUNTIF(Scenario4[loser3-ability1],LightbringerAbilities1Scenario4[[#This Row],[ability]])</calculatedColumnFormula>
    </tableColumn>
    <tableColumn id="4" xr3:uid="{150247CB-E9F2-440A-8EBD-D49FA1F30850}" name="wins" dataDxfId="526">
      <calculatedColumnFormula>COUNTIF(Scenario4[winner1-ability1],LightbringerAbilities1Scenario4[[#This Row],[ability]])</calculatedColumnFormula>
    </tableColumn>
    <tableColumn id="5" xr3:uid="{45178AAD-4B51-4D67-85F4-62CE355238B1}" name="battles-take-rate" dataDxfId="525">
      <calculatedColumnFormula>IF(SUM(LightbringerAbilities1Scenario4[[#This Row],[takes]]) &gt; 0,LightbringerAbilities1Scenario4[[#This Row],[takes]]/SUM(LightbringerAbilities1Scenario4[takes]),0)</calculatedColumnFormula>
    </tableColumn>
    <tableColumn id="7" xr3:uid="{9775AB3B-D328-43FF-9A5F-D3845CE37BE8}" name="take-win-rate" dataDxfId="524">
      <calculatedColumnFormula>IF(LightbringerAbilities1Scenario4[[#This Row],[takes]]&gt;0,LightbringerAbilities1Scenario4[[#This Row],[wins]]/LightbringerAbilities1Scenario4[[#This Row],[takes]],0)</calculatedColumnFormula>
    </tableColumn>
  </tableColumns>
  <tableStyleInfo name="TableStyleMedium2" showFirstColumn="0" showLastColumn="0" showRowStripes="1" showColumnStripes="0"/>
</table>
</file>

<file path=xl/tables/table2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6" xr:uid="{14B45FBE-E55C-4AA9-A337-6E97F36FD88E}" name="LightbringerAbilities2Scenario4" displayName="LightbringerAbilities2Scenario4" ref="K91:O94" totalsRowShown="0" headerRowDxfId="523" headerRowBorderDxfId="522" tableBorderDxfId="521" totalsRowBorderDxfId="520">
  <autoFilter ref="K91:O94" xr:uid="{14B45FBE-E55C-4AA9-A337-6E97F36FD88E}"/>
  <tableColumns count="5">
    <tableColumn id="1" xr3:uid="{68AA52AA-6B87-4C6B-9F20-0B05F86370E8}" name="ability"/>
    <tableColumn id="2" xr3:uid="{75E39195-DEC2-4FBB-9BB8-DDCA40F58A85}" name="takes" dataDxfId="519">
      <calculatedColumnFormula>COUNTIF(Scenario4[winner1-ability2],LightbringerAbilities2Scenario4[[#This Row],[ability]])+COUNTIF(Scenario4[loser1-ability2],LightbringerAbilities2Scenario4[[#This Row],[ability]])+COUNTIF(Scenario4[loser2-ability2],LightbringerAbilities2Scenario4[[#This Row],[ability]])+COUNTIF(Scenario4[loser3-ability2],LightbringerAbilities2Scenario4[[#This Row],[ability]])</calculatedColumnFormula>
    </tableColumn>
    <tableColumn id="3" xr3:uid="{E5262F2C-8ECA-418E-B4BA-77FAE69CB49C}" name="wins" dataDxfId="518">
      <calculatedColumnFormula>COUNTIF(Scenario4[winner1-ability2],LightbringerAbilities2Scenario4[[#This Row],[ability]])</calculatedColumnFormula>
    </tableColumn>
    <tableColumn id="4" xr3:uid="{EBE016AC-7FDA-442C-9388-CD751A608501}" name="battles-take-rate" dataDxfId="517">
      <calculatedColumnFormula>IF(SUM(LightbringerAbilities2Scenario4[[#This Row],[takes]]) &gt; 0,LightbringerAbilities2Scenario4[[#This Row],[takes]]/SUM(LightbringerAbilities2Scenario4[takes]),0)</calculatedColumnFormula>
    </tableColumn>
    <tableColumn id="5" xr3:uid="{DF887F2D-474B-4047-A2B8-7128AB2C9443}" name="take-win-rate" dataDxfId="516">
      <calculatedColumnFormula>IF(LightbringerAbilities2Scenario4[[#This Row],[takes]]&gt;0,LightbringerAbilities2Scenario4[[#This Row],[wins]]/LightbringerAbilities2Scenario4[[#This Row],[takes]],0)</calculatedColumnFormula>
    </tableColumn>
  </tableColumns>
  <tableStyleInfo name="TableStyleMedium2" showFirstColumn="0" showLastColumn="0" showRowStripes="1" showColumnStripes="0"/>
</table>
</file>

<file path=xl/tables/table2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7" xr:uid="{01D53B96-86CA-4EFF-87A2-60AD31557C34}" name="LightbringerAbilities3Scenario4" displayName="LightbringerAbilities3Scenario4" ref="K96:O99" totalsRowShown="0" headerRowDxfId="515" headerRowBorderDxfId="514" tableBorderDxfId="513" totalsRowBorderDxfId="512">
  <autoFilter ref="K96:O99" xr:uid="{01D53B96-86CA-4EFF-87A2-60AD31557C34}"/>
  <tableColumns count="5">
    <tableColumn id="1" xr3:uid="{FAB0BE08-D61B-4F2B-87E3-A4A71430E684}" name="ability"/>
    <tableColumn id="2" xr3:uid="{3AD74C74-B80E-476B-AEC4-24ABC016E874}" name="takes" dataDxfId="511">
      <calculatedColumnFormula>COUNTIF(Scenario4[winner1-ability3],LightbringerAbilities3Scenario4[[#This Row],[ability]])+COUNTIF(Scenario4[loser1-ability3],LightbringerAbilities3Scenario4[[#This Row],[ability]])+COUNTIF(Scenario4[loser2-ability3],LightbringerAbilities3Scenario4[[#This Row],[ability]])+COUNTIF(Scenario4[loser3-ability3],LightbringerAbilities3Scenario4[[#This Row],[ability]])</calculatedColumnFormula>
    </tableColumn>
    <tableColumn id="3" xr3:uid="{EDC0EDD5-49AC-4CA4-BE1E-0D5D2C427B0B}" name="wins" dataDxfId="510">
      <calculatedColumnFormula>COUNTIF(Scenario4[winner1-ability3],LightbringerAbilities3Scenario4[[#This Row],[ability]])</calculatedColumnFormula>
    </tableColumn>
    <tableColumn id="4" xr3:uid="{11AEA053-B930-4F0D-A4CB-EA26416CD3B0}" name="battles-take-rate" dataDxfId="509">
      <calculatedColumnFormula>IF(SUM(LightbringerAbilities3Scenario4[[#This Row],[takes]]) &gt; 0,LightbringerAbilities3Scenario4[[#This Row],[takes]]/SUM(LightbringerAbilities3Scenario4[takes]),0)</calculatedColumnFormula>
    </tableColumn>
    <tableColumn id="5" xr3:uid="{1768B116-0871-4CAF-B162-2E04112130B5}" name="take-win-rate" dataDxfId="508">
      <calculatedColumnFormula>IF(LightbringerAbilities3Scenario4[[#This Row],[takes]]&gt;0,LightbringerAbilities3Scenario4[[#This Row],[wins]]/LightbringerAbilities3Scenario4[[#This Row],[takes]],0)</calculatedColumnFormula>
    </tableColumn>
  </tableColumns>
  <tableStyleInfo name="TableStyleMedium2" showFirstColumn="0" showLastColumn="0" showRowStripes="1" showColumnStripes="0"/>
</table>
</file>

<file path=xl/tables/table2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8" xr:uid="{C6F46D23-B1D4-4713-9D97-360EE74CE1F5}" name="LightbringerAbilities4Scenario4" displayName="LightbringerAbilities4Scenario4" ref="K101:O104" totalsRowShown="0" headerRowDxfId="507" headerRowBorderDxfId="506" tableBorderDxfId="505" totalsRowBorderDxfId="504">
  <autoFilter ref="K101:O104" xr:uid="{C6F46D23-B1D4-4713-9D97-360EE74CE1F5}"/>
  <tableColumns count="5">
    <tableColumn id="1" xr3:uid="{B3B7DCCA-7B08-4F79-AC94-5F36F2CC9893}" name="ability" dataDxfId="503"/>
    <tableColumn id="2" xr3:uid="{72F61BD1-75B1-4082-BCF0-F09B0A4179AF}" name="takes" dataDxfId="502">
      <calculatedColumnFormula>COUNTIF(Scenario4[winner1-ability4],LightbringerAbilities4Scenario4[[#This Row],[ability]])+COUNTIF(Scenario4[loser1-ability4],LightbringerAbilities4Scenario4[[#This Row],[ability]])+COUNTIF(Scenario4[loser2-ability4],LightbringerAbilities4Scenario4[[#This Row],[ability]])+COUNTIF(Scenario4[loser3-ability4],LightbringerAbilities4Scenario4[[#This Row],[ability]])</calculatedColumnFormula>
    </tableColumn>
    <tableColumn id="3" xr3:uid="{0AD96460-701E-423A-8C0E-755559F3E9E3}" name="wins" dataDxfId="501">
      <calculatedColumnFormula>COUNTIF(Scenario4[winner1-ability4],LightbringerAbilities4Scenario4[[#This Row],[ability]])</calculatedColumnFormula>
    </tableColumn>
    <tableColumn id="4" xr3:uid="{EFC8BBAB-2D7F-4055-9E8D-A279EDB458FC}" name="battles-take-rate" dataDxfId="500">
      <calculatedColumnFormula>IF(SUM(LightbringerAbilities4Scenario4[[#This Row],[takes]]) &gt; 0,LightbringerAbilities4Scenario4[[#This Row],[takes]]/SUM(LightbringerAbilities4Scenario4[takes]),0)</calculatedColumnFormula>
    </tableColumn>
    <tableColumn id="5" xr3:uid="{A06B4A88-67E4-49BA-832F-653BBD804796}" name="take-win-rate" dataDxfId="499">
      <calculatedColumnFormula>IF(LightbringerAbilities4Scenario4[[#This Row],[takes]]&gt;0,LightbringerAbilities4Scenario4[[#This Row],[wins]]/LightbringerAbilities4Scenario4[[#This Row],[takes]],0)</calculatedColumnFormula>
    </tableColumn>
  </tableColumns>
  <tableStyleInfo name="TableStyleMedium2" showFirstColumn="0" showLastColumn="0" showRowStripes="1" showColumnStripes="0"/>
</table>
</file>

<file path=xl/tables/table2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9" xr:uid="{4FAA8F81-EE81-4212-B751-4E5BF3C05695}" name="LightbringerEquipScenario4" displayName="LightbringerEquipScenario4" ref="Q86:S89" totalsRowShown="0">
  <autoFilter ref="Q86:S89" xr:uid="{4FAA8F81-EE81-4212-B751-4E5BF3C05695}"/>
  <tableColumns count="3">
    <tableColumn id="1" xr3:uid="{AAF80707-B889-48AF-AAB3-DB3FD72669F3}" name="level"/>
    <tableColumn id="2" xr3:uid="{4F6394F6-4F36-417C-9D11-045D7F910BA7}" name="hammer" dataDxfId="498">
      <calculatedColumnFormula>COUNTIFS(Scenario4[winner1],"lightbringer",Scenario4[winner1-pw],LightbringerEquipScenario4[[#This Row],[level]])+COUNTIFS(Scenario4[loser1],"lightbringer",Scenario4[loser1-pw],LightbringerEquipScenario4[[#This Row],[level]])+COUNTIFS(Scenario4[loser2],"lightbringer",Scenario4[loser2-pw],LightbringerEquipScenario4[[#This Row],[level]])+COUNTIFS(Scenario4[loser3],"lightbringer",Scenario4[loser3-pw],LightbringerEquipScenario4[[#This Row],[level]])</calculatedColumnFormula>
    </tableColumn>
    <tableColumn id="4" xr3:uid="{9FA648ED-B50C-413D-B04A-13CEDA00807F}" name="chestpiece" dataDxfId="497">
      <calculatedColumnFormula>COUNTIFS(Scenario4[winner1],"lightbringer",Scenario4[winner1-cp],LightbringerEquipScenario4[[#This Row],[level]])+COUNTIFS(Scenario4[loser1],"lightbringer",Scenario4[loser1-cp],LightbringerEquipScenario4[[#This Row],[level]])+COUNTIFS(Scenario4[loser2],"lightbringer",Scenario4[loser2-cp],LightbringerEquipScenario4[[#This Row],[level]])+COUNTIFS(Scenario4[loser3],"lightbringer",Scenario4[loser3-cp],LightbringerEquipScenario4[[#This Row],[level]])</calculatedColumnFormula>
    </tableColumn>
  </tableColumns>
  <tableStyleInfo name="TableStyleMedium2" showFirstColumn="0" showLastColumn="0" showRowStripes="1" showColumnStripes="0"/>
</table>
</file>

<file path=xl/tables/table2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8" xr:uid="{D3919796-2925-407E-AA1B-D4D0AD893173}" name="LightbringerAbilities1Scenario5" displayName="LightbringerAbilities1Scenario5" ref="K107:O110" totalsRowShown="0">
  <autoFilter ref="K107:O110" xr:uid="{D3919796-2925-407E-AA1B-D4D0AD893173}"/>
  <tableColumns count="5">
    <tableColumn id="2" xr3:uid="{6E94E567-5D30-472A-B808-E2F125E9A03A}" name="ability"/>
    <tableColumn id="6" xr3:uid="{220C3D40-5718-44F2-95F4-CDB83D5E8AF3}" name="takes" dataDxfId="496">
      <calculatedColumnFormula>COUNTIF(Scenario5[winner1-ability1],LightbringerAbilities1Scenario5[[#This Row],[ability]])+COUNTIF(Scenario5[winner2-ability1],LightbringerAbilities1Scenario5[[#This Row],[ability]])+COUNTIF(Scenario5[loser1-ability1],LightbringerAbilities1Scenario5[[#This Row],[ability]])+COUNTIF(Scenario5[loser2-ability1],LightbringerAbilities1Scenario5[[#This Row],[ability]])</calculatedColumnFormula>
    </tableColumn>
    <tableColumn id="4" xr3:uid="{F82A0C31-4129-4E9F-AF8C-6A90D6110911}" name="wins" dataDxfId="495">
      <calculatedColumnFormula>COUNTIF(Scenario5[winner1-ability1],LightbringerAbilities1Scenario5[[#This Row],[ability]])+COUNTIF(Scenario5[winner2-ability1],LightbringerAbilities1Scenario5[[#This Row],[ability]])</calculatedColumnFormula>
    </tableColumn>
    <tableColumn id="5" xr3:uid="{CEAF9246-63A3-4AE9-B599-EE3035D9E99A}" name="battles-take-rate" dataDxfId="494">
      <calculatedColumnFormula>IF(SUM(LightbringerAbilities1Scenario5[[#This Row],[takes]]) &gt; 0,LightbringerAbilities1Scenario5[[#This Row],[takes]]/SUM(LightbringerAbilities1Scenario5[takes]),0)</calculatedColumnFormula>
    </tableColumn>
    <tableColumn id="7" xr3:uid="{2ADE0021-D82A-4172-AD04-99525C7B914A}" name="take-win-rate" dataDxfId="493">
      <calculatedColumnFormula>IF(LightbringerAbilities1Scenario5[[#This Row],[takes]]&gt;0,LightbringerAbilities1Scenario5[[#This Row],[wins]]/LightbringerAbilities1Scenario5[[#This Row],[takes]],0)</calculatedColumnFormula>
    </tableColumn>
  </tableColumns>
  <tableStyleInfo name="TableStyleMedium2" showFirstColumn="0" showLastColumn="0" showRowStripes="1" showColumnStripes="0"/>
</table>
</file>

<file path=xl/tables/table2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9" xr:uid="{59C9578F-58C4-4FFD-B7BD-BB4F23F77E26}" name="LightbringerAbilities2Scenario5" displayName="LightbringerAbilities2Scenario5" ref="K112:O115" totalsRowShown="0" headerRowDxfId="492" headerRowBorderDxfId="491" tableBorderDxfId="490" totalsRowBorderDxfId="489">
  <autoFilter ref="K112:O115" xr:uid="{59C9578F-58C4-4FFD-B7BD-BB4F23F77E26}"/>
  <tableColumns count="5">
    <tableColumn id="1" xr3:uid="{EB612310-5F0E-4933-B95C-006BBB8CB807}" name="ability"/>
    <tableColumn id="2" xr3:uid="{8173D447-E95C-4723-B6CF-9A7B03B71F11}" name="takes" dataDxfId="488">
      <calculatedColumnFormula>COUNTIF(Scenario5[winner1-ability2],LightbringerAbilities2Scenario5[[#This Row],[ability]])+COUNTIF(Scenario5[winner2-ability2],LightbringerAbilities2Scenario5[[#This Row],[ability]])+COUNTIF(Scenario5[loser1-ability2],LightbringerAbilities2Scenario5[[#This Row],[ability]])+COUNTIF(Scenario5[loser2-ability2],LightbringerAbilities2Scenario5[[#This Row],[ability]])</calculatedColumnFormula>
    </tableColumn>
    <tableColumn id="3" xr3:uid="{2F5C190B-78D5-4B38-87C6-A51AA6E48ED0}" name="wins" dataDxfId="487">
      <calculatedColumnFormula>COUNTIF(Scenario5[winner1-ability2],LightbringerAbilities2Scenario5[[#This Row],[ability]])+COUNTIF(Scenario5[winner2-ability2],LightbringerAbilities2Scenario5[[#This Row],[ability]])</calculatedColumnFormula>
    </tableColumn>
    <tableColumn id="4" xr3:uid="{7776F8A1-49ED-4A1A-9839-9FB013D32130}" name="battles-take-rate" dataDxfId="486">
      <calculatedColumnFormula>IF(SUM(LightbringerAbilities2Scenario5[[#This Row],[takes]]) &gt; 0,LightbringerAbilities2Scenario5[[#This Row],[takes]]/SUM(LightbringerAbilities2Scenario5[takes]),0)</calculatedColumnFormula>
    </tableColumn>
    <tableColumn id="5" xr3:uid="{97845D62-BE7D-4C60-BD69-2BD0CF96E2EC}" name="take-win-rate" dataDxfId="485">
      <calculatedColumnFormula>IF(LightbringerAbilities2Scenario5[[#This Row],[takes]]&gt;0,LightbringerAbilities2Scenario5[[#This Row],[wins]]/LightbringerAbilities2Scenario5[[#This Row],[takes]],0)</calculatedColumnFormula>
    </tableColumn>
  </tableColumns>
  <tableStyleInfo name="TableStyleMedium2" showFirstColumn="0" showLastColumn="0" showRowStripes="1" showColumnStripes="0"/>
</table>
</file>

<file path=xl/tables/table2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0" xr:uid="{10D791F8-4755-4EAA-949C-E4A5FA795A25}" name="LightbringerAbilities3Scenario5" displayName="LightbringerAbilities3Scenario5" ref="K117:O120" totalsRowShown="0" headerRowDxfId="484" headerRowBorderDxfId="483" tableBorderDxfId="482" totalsRowBorderDxfId="481">
  <autoFilter ref="K117:O120" xr:uid="{10D791F8-4755-4EAA-949C-E4A5FA795A25}"/>
  <tableColumns count="5">
    <tableColumn id="1" xr3:uid="{0C09DE1B-5BE3-403C-B3EA-E82FCFA9955B}" name="ability"/>
    <tableColumn id="2" xr3:uid="{0FAAD5B6-1331-4AA2-9553-8708D068DC70}" name="takes" dataDxfId="480">
      <calculatedColumnFormula>COUNTIF(Scenario5[winner1-ability3],LightbringerAbilities3Scenario5[[#This Row],[ability]])+COUNTIF(Scenario5[winner2-ability3],LightbringerAbilities3Scenario5[[#This Row],[ability]])+COUNTIF(Scenario5[loser1-ability3],LightbringerAbilities3Scenario5[[#This Row],[ability]])+COUNTIF(Scenario5[loser2-ability3],LightbringerAbilities3Scenario5[[#This Row],[ability]])</calculatedColumnFormula>
    </tableColumn>
    <tableColumn id="3" xr3:uid="{7F3B17DF-C1DB-4719-836A-BD9915F49D42}" name="wins" dataDxfId="479">
      <calculatedColumnFormula>COUNTIF(Scenario5[winner1-ability3],LightbringerAbilities3Scenario5[[#This Row],[ability]])+COUNTIF(Scenario5[winner2-ability3],LightbringerAbilities3Scenario5[[#This Row],[ability]])</calculatedColumnFormula>
    </tableColumn>
    <tableColumn id="4" xr3:uid="{B656AD39-B61A-4A8C-A910-9B41EE835B3A}" name="battles-take-rate" dataDxfId="478">
      <calculatedColumnFormula>IF(SUM(LightbringerAbilities3Scenario5[[#This Row],[takes]]) &gt; 0,LightbringerAbilities3Scenario5[[#This Row],[takes]]/SUM(LightbringerAbilities3Scenario5[takes]),0)</calculatedColumnFormula>
    </tableColumn>
    <tableColumn id="5" xr3:uid="{9ADFE9E4-DA06-45D6-9A70-2D280CF39A85}" name="take-win-rate" dataDxfId="477">
      <calculatedColumnFormula>IF(LightbringerAbilities3Scenario5[[#This Row],[takes]]&gt;0,LightbringerAbilities3Scenario5[[#This Row],[wins]]/LightbringerAbilities3Scenario5[[#This Row],[takes]],0)</calculatedColumnFormula>
    </tableColumn>
  </tableColumns>
  <tableStyleInfo name="TableStyleMedium2" showFirstColumn="0" showLastColumn="0" showRowStripes="1" showColumnStripes="0"/>
</table>
</file>

<file path=xl/tables/table2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1" xr:uid="{1A744E4A-3571-459A-BF22-53EBC8CB38DE}" name="LightbringerAbilities4Scenario5" displayName="LightbringerAbilities4Scenario5" ref="K122:O125" totalsRowShown="0" headerRowDxfId="476" headerRowBorderDxfId="475" tableBorderDxfId="474" totalsRowBorderDxfId="473">
  <autoFilter ref="K122:O125" xr:uid="{1A744E4A-3571-459A-BF22-53EBC8CB38DE}"/>
  <tableColumns count="5">
    <tableColumn id="1" xr3:uid="{979953D5-0824-493D-B92F-3E4881005717}" name="ability" dataDxfId="472"/>
    <tableColumn id="2" xr3:uid="{4ED6C1EE-CA65-44BD-8EB5-9DEE908DECE5}" name="takes" dataDxfId="471">
      <calculatedColumnFormula>COUNTIF(Scenario5[winner1-ability4],LightbringerAbilities4Scenario5[[#This Row],[ability]])+COUNTIF(Scenario5[winner2-ability4],LightbringerAbilities4Scenario5[[#This Row],[ability]])+COUNTIF(Scenario5[loser1-ability4],LightbringerAbilities4Scenario5[[#This Row],[ability]])+COUNTIF(Scenario5[loser2-ability4],LightbringerAbilities4Scenario5[[#This Row],[ability]])</calculatedColumnFormula>
    </tableColumn>
    <tableColumn id="3" xr3:uid="{91D324BB-E78E-4AD4-9EEC-96E80F697378}" name="wins" dataDxfId="470">
      <calculatedColumnFormula>COUNTIF(Scenario5[winner1-ability4],LightbringerAbilities4Scenario5[[#This Row],[ability]])+COUNTIF(Scenario5[winner2-ability4],LightbringerAbilities4Scenario5[[#This Row],[ability]])</calculatedColumnFormula>
    </tableColumn>
    <tableColumn id="4" xr3:uid="{782A1EFD-1559-43A9-88D1-F5011F075EB4}" name="battles-take-rate" dataDxfId="469">
      <calculatedColumnFormula>IF(SUM(LightbringerAbilities4Scenario5[[#This Row],[takes]]) &gt; 0,LightbringerAbilities4Scenario5[[#This Row],[takes]]/SUM(LightbringerAbilities4Scenario5[takes]),0)</calculatedColumnFormula>
    </tableColumn>
    <tableColumn id="5" xr3:uid="{3F8A5364-5D16-4F7C-9388-50CC4333B356}" name="take-win-rate" dataDxfId="468">
      <calculatedColumnFormula>IF(LightbringerAbilities4Scenario5[[#This Row],[takes]]&gt;0,LightbringerAbilities4Scenario5[[#This Row],[wins]]/LightbringerAbilities4Scenario5[[#This Row],[takes]],0)</calculatedColumnFormula>
    </tableColumn>
  </tableColumns>
  <tableStyleInfo name="TableStyleMedium2" showFirstColumn="0" showLastColumn="0" showRowStripes="1" showColumnStripes="0"/>
</table>
</file>

<file path=xl/tables/table2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2" xr:uid="{B5B76F21-ADA4-4D86-9762-A5A6EF4D9E68}" name="LightbringerEquipScenario5" displayName="LightbringerEquipScenario5" ref="Q107:S110" totalsRowShown="0">
  <autoFilter ref="Q107:S110" xr:uid="{B5B76F21-ADA4-4D86-9762-A5A6EF4D9E68}"/>
  <tableColumns count="3">
    <tableColumn id="1" xr3:uid="{5564E2E8-143B-459E-8F9E-BDCC1F9FBFF6}" name="level"/>
    <tableColumn id="2" xr3:uid="{047FC288-8223-4EFF-8E97-305EDD307F49}" name="hammer" dataDxfId="467">
      <calculatedColumnFormula>COUNTIFS(Scenario5[winner1],"lightbringer",Scenario5[winner1-pw],LightbringerEquipScenario5[[#This Row],[level]])+COUNTIFS(Scenario5[winner2],"lightbringer",Scenario5[winner2-pw],LightbringerEquipScenario5[[#This Row],[level]])+COUNTIFS(Scenario5[loser1],"lightbringer",Scenario5[loser1-pw],LightbringerEquipScenario5[[#This Row],[level]])+COUNTIFS(Scenario5[loser2],"lightbringer",Scenario5[loser2-pw],LightbringerEquipScenario5[[#This Row],[level]])</calculatedColumnFormula>
    </tableColumn>
    <tableColumn id="4" xr3:uid="{4ED5C65E-950E-4A8A-AF93-97BEB82E0169}" name="chestpiece" dataDxfId="466">
      <calculatedColumnFormula>COUNTIFS(Scenario5[winner1],"lightbringer",Scenario5[winner1-cp],LightbringerEquipScenario5[[#This Row],[level]])+COUNTIFS(Scenario5[winner2],"lightbringer",Scenario5[winner2-cp],LightbringerEquipScenario5[[#This Row],[level]])+COUNTIFS(Scenario5[loser1],"lightbringer",Scenario5[loser1-cp],LightbringerEquipScenario5[[#This Row],[level]])+COUNTIFS(Scenario5[loser2],"lightbringer",Scenario5[loser2-cp],LightbringerEquipScenario5[[#This Row],[level]])</calculatedColumnFormula>
    </tableColumn>
  </tableColumns>
  <tableStyleInfo name="TableStyleMedium2" showFirstColumn="0" showLastColumn="0" showRowStripes="1" showColumnStripes="0"/>
</table>
</file>

<file path=xl/tables/table2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xr:uid="{2F143F6A-33A1-423E-9345-995F9DF4A3CE}" name="AvengerAbilities1" displayName="AvengerAbilities1" ref="A2:E5" totalsRowShown="0">
  <autoFilter ref="A2:E5" xr:uid="{DCA301F1-E0F8-4700-BEE5-2688AF43F23A}"/>
  <tableColumns count="5">
    <tableColumn id="2" xr3:uid="{6CAF2FBB-F49B-4ACC-A9D4-0D6B8548174D}" name="ability"/>
    <tableColumn id="6" xr3:uid="{965AAA94-89E6-4C03-BC75-94A000E5C1E4}" name="takes" dataDxfId="465">
      <calculatedColumnFormula>M3+M24+M45+M66+M87+M108</calculatedColumnFormula>
    </tableColumn>
    <tableColumn id="4" xr3:uid="{CDAB9E23-22AA-4C01-8C82-A6CA62B02527}" name="wins" dataDxfId="464">
      <calculatedColumnFormula>N3+N24+N45+N66+N87+N108</calculatedColumnFormula>
    </tableColumn>
    <tableColumn id="5" xr3:uid="{10E225D8-ED8B-4DEA-B697-D56C9AC10EDE}" name="battles-take-rate" dataDxfId="463">
      <calculatedColumnFormula>IF(SUM(AvengerAbilities1[[#This Row],[takes]]) &gt; 0,AvengerAbilities1[[#This Row],[takes]]/SUM(AvengerAbilities1[takes]),0)</calculatedColumnFormula>
    </tableColumn>
    <tableColumn id="7" xr3:uid="{24208BF5-9BB0-4200-8862-7B2A2A79E720}" name="take-win-rate" dataDxfId="462">
      <calculatedColumnFormula>IF(AvengerAbilities1[[#This Row],[takes]]&gt;0,AvengerAbilities1[[#This Row],[wins]]/AvengerAbilities1[[#This Row],[takes]],0)</calculatedColumnFormula>
    </tableColumn>
  </tableColumns>
  <tableStyleInfo name="TableStyleMedium2" showFirstColumn="0" showLastColumn="0" showRowStripes="1" showColumnStripes="0"/>
</table>
</file>

<file path=xl/tables/table2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xr:uid="{69EC67BB-B09D-4C4C-981A-209F503DC5AB}" name="AvengerAbilities2" displayName="AvengerAbilities2" ref="A7:E10" totalsRowShown="0" headerRowDxfId="461" headerRowBorderDxfId="460" tableBorderDxfId="459" totalsRowBorderDxfId="458">
  <autoFilter ref="A7:E10" xr:uid="{8ADAEE31-4DDA-4DF2-9EAD-04808D53FFC1}"/>
  <tableColumns count="5">
    <tableColumn id="1" xr3:uid="{A81E0846-1D0F-4692-937D-86858B014037}" name="ability"/>
    <tableColumn id="2" xr3:uid="{7E62D3F3-92BC-479D-AC35-BE29BF7B8C01}" name="takes" dataDxfId="457">
      <calculatedColumnFormula>M8+M29+M50+M71+M92+M113</calculatedColumnFormula>
    </tableColumn>
    <tableColumn id="3" xr3:uid="{B90DED9A-FB36-4010-A0F2-A4F4295C587D}" name="wins" dataDxfId="456">
      <calculatedColumnFormula>N8+N29+N50+N71+N92+N113</calculatedColumnFormula>
    </tableColumn>
    <tableColumn id="4" xr3:uid="{BE0E10ED-A980-43A5-9BDF-619C73B41AFB}" name="battles-take-rate" dataDxfId="455">
      <calculatedColumnFormula>IF(SUM(AvengerAbilities2[[#This Row],[takes]]) &gt; 0,AvengerAbilities2[[#This Row],[takes]]/SUM(AvengerAbilities2[takes]),0)</calculatedColumnFormula>
    </tableColumn>
    <tableColumn id="5" xr3:uid="{0F7B94EB-246F-46AC-91EC-A1F63146C467}" name="take-win-rate" dataDxfId="454">
      <calculatedColumnFormula>IF(AvengerAbilities2[[#This Row],[takes]]&gt;0,AvengerAbilities2[[#This Row],[wins]]/AvengerAbilities2[[#This Row],[takes]],0)</calculatedColumnFormula>
    </tableColumn>
  </tableColumns>
  <tableStyleInfo name="TableStyleMedium2" showFirstColumn="0" showLastColumn="0" showRowStripes="1" showColumnStripes="0"/>
</table>
</file>

<file path=xl/tables/table2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xr:uid="{EFEAADFD-234A-447F-95EA-36D751FF6A9E}" name="AvengerAbilities3" displayName="AvengerAbilities3" ref="A12:E15" totalsRowShown="0" headerRowDxfId="453" headerRowBorderDxfId="452" tableBorderDxfId="451" totalsRowBorderDxfId="450">
  <autoFilter ref="A12:E15" xr:uid="{1B0EA3CA-FA8E-4345-B52C-471D5C94AD38}"/>
  <tableColumns count="5">
    <tableColumn id="1" xr3:uid="{6930CC83-4CEA-4F11-86CA-F42307EEA0FE}" name="ability"/>
    <tableColumn id="2" xr3:uid="{814A53D4-87B9-46ED-A827-D3E7AB8BC530}" name="takes" dataDxfId="449">
      <calculatedColumnFormula>M13+M34+M55+M76+M97+M118</calculatedColumnFormula>
    </tableColumn>
    <tableColumn id="3" xr3:uid="{4F19BEBF-12CE-4B6C-A863-4DF3FEA28027}" name="wins" dataDxfId="448">
      <calculatedColumnFormula>N13+N34+N55+N76+N97+N118</calculatedColumnFormula>
    </tableColumn>
    <tableColumn id="4" xr3:uid="{797719FB-C470-4B00-B35C-54DF472BB4A2}" name="battles-take-rate" dataDxfId="447">
      <calculatedColumnFormula>IF(SUM(AvengerAbilities3[[#This Row],[takes]]) &gt; 0,AvengerAbilities3[[#This Row],[takes]]/SUM(AvengerAbilities3[takes]),0)</calculatedColumnFormula>
    </tableColumn>
    <tableColumn id="5" xr3:uid="{7AAC8CCB-A1B3-47B1-B9E7-26A5AAAA4B5F}" name="take-win-rate" dataDxfId="446">
      <calculatedColumnFormula>IF(AvengerAbilities3[[#This Row],[takes]]&gt;0,AvengerAbilities3[[#This Row],[wins]]/AvengerAbilities3[[#This Row],[takes]],0)</calculatedColumnFormula>
    </tableColumn>
  </tableColumns>
  <tableStyleInfo name="TableStyleMedium2" showFirstColumn="0" showLastColumn="0" showRowStripes="1" showColumnStripes="0"/>
</table>
</file>

<file path=xl/tables/table2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xr:uid="{C9C5652D-EA2C-4078-9DFF-0AD0CCBAE24E}" name="AvengerAbilities4" displayName="AvengerAbilities4" ref="A17:E20" totalsRowShown="0" headerRowDxfId="445" headerRowBorderDxfId="444" tableBorderDxfId="443" totalsRowBorderDxfId="442">
  <autoFilter ref="A17:E20" xr:uid="{2AADA4A0-2F4A-4009-8ECF-0BECA693390C}"/>
  <tableColumns count="5">
    <tableColumn id="1" xr3:uid="{797653A4-EDCA-4C4D-A3D4-CD6135488CE9}" name="ability" dataDxfId="441"/>
    <tableColumn id="2" xr3:uid="{9958885A-546E-4B41-BF74-36A6885A316D}" name="takes" dataDxfId="440">
      <calculatedColumnFormula>M18+M39+M60+M81+M102+M123</calculatedColumnFormula>
    </tableColumn>
    <tableColumn id="3" xr3:uid="{F49FD5D1-7963-494A-BE27-74BE85A96B9D}" name="wins" dataDxfId="439">
      <calculatedColumnFormula>N18+N39+N60+N81+N102+N123</calculatedColumnFormula>
    </tableColumn>
    <tableColumn id="4" xr3:uid="{F7EC00D3-61D4-46E7-BE58-31BDB9ED271A}" name="battles-take-rate" dataDxfId="438">
      <calculatedColumnFormula>IF(SUM(AvengerAbilities4[[#This Row],[takes]]) &gt; 0,AvengerAbilities4[[#This Row],[takes]]/SUM(AvengerAbilities4[takes]),0)</calculatedColumnFormula>
    </tableColumn>
    <tableColumn id="5" xr3:uid="{2D4BBF56-D463-4A1E-9A76-CF0B9E50570C}" name="take-win-rate" dataDxfId="437">
      <calculatedColumnFormula>IF(AvengerAbilities4[[#This Row],[takes]]&gt;0,AvengerAbilities4[[#This Row],[wins]]/AvengerAbilities4[[#This Row],[takes]],0)</calculatedColumnFormula>
    </tableColumn>
  </tableColumns>
  <tableStyleInfo name="TableStyleMedium2" showFirstColumn="0" showLastColumn="0" showRowStripes="1" showColumnStripes="0"/>
</table>
</file>

<file path=xl/tables/table2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xr:uid="{CB961E94-293F-435F-A3F5-48B9830ABB7F}" name="AvengerEquip" displayName="AvengerEquip" ref="G2:J5" totalsRowShown="0">
  <autoFilter ref="G2:J5" xr:uid="{C15024E5-2A00-4F8B-BBEB-0FE7A036BC54}"/>
  <tableColumns count="4">
    <tableColumn id="1" xr3:uid="{D4CD8621-B0A8-4756-91CE-613C615C8962}" name="level"/>
    <tableColumn id="2" xr3:uid="{331AFE36-6923-4E96-9FB8-9E84801A8E5E}" name="sabre" dataDxfId="436">
      <calculatedColumnFormula>S3+S24+S45+S66+S87+S108</calculatedColumnFormula>
    </tableColumn>
    <tableColumn id="3" xr3:uid="{39E8DCAE-D493-4A26-A9B3-9996C564CEE7}" name="blade" dataDxfId="435">
      <calculatedColumnFormula>T3+T24+T45+T66+T87+T108</calculatedColumnFormula>
    </tableColumn>
    <tableColumn id="4" xr3:uid="{F082B021-59DE-4852-B1B3-0AA25C478097}" name="chestpiece" dataDxfId="434">
      <calculatedColumnFormula>U3+U24+U45+U66+U87+U108</calculatedColumnFormula>
    </tableColumn>
  </tableColumns>
  <tableStyleInfo name="TableStyleMedium2" showFirstColumn="0" showLastColumn="0" showRowStripes="1" showColumnStripes="0"/>
</table>
</file>

<file path=xl/tables/table2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xr:uid="{EE4EC880-01E8-41B0-9F7E-F047CA739E9C}" name="AvengerAbilities1Scenario0" displayName="AvengerAbilities1Scenario0" ref="L2:P5" totalsRowShown="0">
  <autoFilter ref="L2:P5" xr:uid="{4CDFB74F-734F-4444-929B-80D3797B5492}"/>
  <tableColumns count="5">
    <tableColumn id="2" xr3:uid="{A392A0AF-3F8E-4E7B-BD3D-1E54C96FACC7}" name="ability"/>
    <tableColumn id="6" xr3:uid="{7A3B5F47-CC74-4130-B4D2-E190F41044B3}" name="takes" dataDxfId="433">
      <calculatedColumnFormula>COUNTIF(Scenario0[winner1-ability1],AvengerAbilities1Scenario0[[#This Row],[ability]])+COUNTIF(Scenario0[winner2-ability1],AvengerAbilities1Scenario0[[#This Row],[ability]])+COUNTIF(Scenario0[loser1-ability1],AvengerAbilities1Scenario0[[#This Row],[ability]])+COUNTIF(Scenario0[loser2-ability1],AvengerAbilities1Scenario0[[#This Row],[ability]])</calculatedColumnFormula>
    </tableColumn>
    <tableColumn id="4" xr3:uid="{D59802DD-7F23-4496-A821-8F56F8CCD409}" name="wins" dataDxfId="432">
      <calculatedColumnFormula>COUNTIF(Scenario0[winner1-ability1],AvengerAbilities1Scenario0[[#This Row],[ability]])+COUNTIF(Scenario0[winner2-ability1],AvengerAbilities1Scenario0[[#This Row],[ability]])</calculatedColumnFormula>
    </tableColumn>
    <tableColumn id="5" xr3:uid="{180BE22E-9A3D-438F-A028-922D6607F144}" name="battles-take-rate" dataDxfId="431">
      <calculatedColumnFormula>IF(SUM(AvengerAbilities1Scenario0[[#This Row],[takes]]) &gt; 0,AvengerAbilities1Scenario0[[#This Row],[takes]]/SUM(AvengerAbilities1Scenario0[takes]),0)</calculatedColumnFormula>
    </tableColumn>
    <tableColumn id="7" xr3:uid="{461453E8-32CB-454F-9B1C-C4DE73E4E3F8}" name="take-win-rate" dataDxfId="430">
      <calculatedColumnFormula>IF(AvengerAbilities1Scenario0[[#This Row],[takes]]&gt;0,AvengerAbilities1Scenario0[[#This Row],[wins]]/AvengerAbilities1Scenario0[[#This Row],[takes]],0)</calculatedColumnFormula>
    </tableColumn>
  </tableColumns>
  <tableStyleInfo name="TableStyleMedium2" showFirstColumn="0" showLastColumn="0" showRowStripes="1" showColumnStripes="0"/>
</table>
</file>

<file path=xl/tables/table2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xr:uid="{6FFBA9F2-4ABF-438F-B0BF-F65A76F3A2A9}" name="AvengerAbilities2Scenario0" displayName="AvengerAbilities2Scenario0" ref="L7:P10" totalsRowShown="0" headerRowDxfId="429" headerRowBorderDxfId="428" tableBorderDxfId="427" totalsRowBorderDxfId="426">
  <autoFilter ref="L7:P10" xr:uid="{07F4368A-34C9-4286-BBA2-89F699718525}"/>
  <tableColumns count="5">
    <tableColumn id="1" xr3:uid="{7BA6702F-9AF3-490B-A47A-1A6175200DFB}" name="ability"/>
    <tableColumn id="2" xr3:uid="{54CC73DF-6E8C-4236-BE3A-0DB76A584B61}" name="takes" dataDxfId="425">
      <calculatedColumnFormula>COUNTIF(Scenario0[winner1-ability2],AvengerAbilities2Scenario0[[#This Row],[ability]])+COUNTIF(Scenario0[winner2-ability2],AvengerAbilities2Scenario0[[#This Row],[ability]])+COUNTIF(Scenario0[loser1-ability2],AvengerAbilities2Scenario0[[#This Row],[ability]])+COUNTIF(Scenario0[loser2-ability2],AvengerAbilities2Scenario0[[#This Row],[ability]])</calculatedColumnFormula>
    </tableColumn>
    <tableColumn id="3" xr3:uid="{A12D6DA3-A9E2-41D5-B962-695B35E18E3A}" name="wins" dataDxfId="424">
      <calculatedColumnFormula>COUNTIF(Scenario0[winner1-ability2],AvengerAbilities2Scenario0[[#This Row],[ability]])+COUNTIF(Scenario0[winner2-ability2],AvengerAbilities2Scenario0[[#This Row],[ability]])</calculatedColumnFormula>
    </tableColumn>
    <tableColumn id="4" xr3:uid="{551D54AB-A81C-493F-8C06-835E7D6324D9}" name="battles-take-rate" dataDxfId="423">
      <calculatedColumnFormula>IF(SUM(AvengerAbilities2Scenario0[[#This Row],[takes]]) &gt; 0,AvengerAbilities2Scenario0[[#This Row],[takes]]/SUM(AvengerAbilities2Scenario0[takes]),0)</calculatedColumnFormula>
    </tableColumn>
    <tableColumn id="5" xr3:uid="{E38E2133-2814-457E-B74D-620E3AA7A65E}" name="take-win-rate" dataDxfId="422">
      <calculatedColumnFormula>IF(AvengerAbilities2Scenario0[[#This Row],[takes]]&gt;0,AvengerAbilities2Scenario0[[#This Row],[wins]]/AvengerAbilities2Scenario0[[#This Row],[takes]],0)</calculatedColumnFormula>
    </tableColumn>
  </tableColumns>
  <tableStyleInfo name="TableStyleMedium2" showFirstColumn="0" showLastColumn="0" showRowStripes="1" showColumnStripes="0"/>
</table>
</file>

<file path=xl/tables/table2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xr:uid="{6358844C-302F-4A8B-83E7-F8BBEF3DD205}" name="AvengerAbilities3Scenario0" displayName="AvengerAbilities3Scenario0" ref="L12:P15" totalsRowShown="0" headerRowDxfId="421" headerRowBorderDxfId="420" tableBorderDxfId="419" totalsRowBorderDxfId="418">
  <autoFilter ref="L12:P15" xr:uid="{E8520742-705B-4A78-A5FD-1F57726A369B}"/>
  <tableColumns count="5">
    <tableColumn id="1" xr3:uid="{ADF0C342-15BB-47FF-8D91-8A96E2809CE0}" name="ability"/>
    <tableColumn id="2" xr3:uid="{58BC4ED4-CE9E-45B4-B255-0EFBFB61D5A0}" name="takes" dataDxfId="417">
      <calculatedColumnFormula>COUNTIF(Scenario0[winner1-ability3],AvengerAbilities3Scenario0[[#This Row],[ability]])+COUNTIF(Scenario0[winner2-ability3],AvengerAbilities3Scenario0[[#This Row],[ability]])+COUNTIF(Scenario0[loser1-ability3],AvengerAbilities3Scenario0[[#This Row],[ability]])+COUNTIF(Scenario0[loser2-ability3],AvengerAbilities3Scenario0[[#This Row],[ability]])</calculatedColumnFormula>
    </tableColumn>
    <tableColumn id="3" xr3:uid="{8C4B4ACA-79F4-467D-8DE5-970B7AC630E2}" name="wins" dataDxfId="416">
      <calculatedColumnFormula>COUNTIF(Scenario0[winner1-ability3],AvengerAbilities3Scenario0[[#This Row],[ability]])+COUNTIF(Scenario0[winner2-ability3],AvengerAbilities3Scenario0[[#This Row],[ability]])</calculatedColumnFormula>
    </tableColumn>
    <tableColumn id="4" xr3:uid="{7A736A26-82EF-44E5-8A0B-7659BA4878C6}" name="battles-take-rate" dataDxfId="415">
      <calculatedColumnFormula>IF(SUM(AvengerAbilities3Scenario0[[#This Row],[takes]]) &gt; 0,AvengerAbilities3Scenario0[[#This Row],[takes]]/SUM(AvengerAbilities3Scenario0[takes]),0)</calculatedColumnFormula>
    </tableColumn>
    <tableColumn id="5" xr3:uid="{F9A0694A-68A8-4EFD-A24A-6DCA2A420EFC}" name="take-win-rate" dataDxfId="414">
      <calculatedColumnFormula>IF(AvengerAbilities3Scenario0[[#This Row],[takes]]&gt;0,AvengerAbilities3Scenario0[[#This Row],[wins]]/AvengerAbilities3Scenario0[[#This Row],[takes]],0)</calculatedColumnFormula>
    </tableColumn>
  </tableColumns>
  <tableStyleInfo name="TableStyleMedium2" showFirstColumn="0" showLastColumn="0" showRowStripes="1" showColumnStripes="0"/>
</table>
</file>

<file path=xl/tables/table2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xr:uid="{2889A0D6-4CF3-44F6-B045-A03BC4B77A3C}" name="AvengerAbilities4Scenario0" displayName="AvengerAbilities4Scenario0" ref="L17:P20" totalsRowShown="0" headerRowDxfId="413" headerRowBorderDxfId="412" tableBorderDxfId="411" totalsRowBorderDxfId="410">
  <autoFilter ref="L17:P20" xr:uid="{01E0B516-A92C-45D4-946B-0FCF2F31D98A}"/>
  <tableColumns count="5">
    <tableColumn id="1" xr3:uid="{E980F6C0-E93A-4FFA-8E1B-7186BE3B4D2B}" name="ability" dataDxfId="409"/>
    <tableColumn id="2" xr3:uid="{387091C3-7426-4F2A-A753-72A1D81097AE}" name="takes" dataDxfId="408">
      <calculatedColumnFormula>COUNTIF(Scenario0[winner1-ability4],AvengerAbilities4Scenario0[[#This Row],[ability]])+COUNTIF(Scenario0[winner2-ability4],AvengerAbilities4Scenario0[[#This Row],[ability]])+COUNTIF(Scenario0[loser1-ability4],AvengerAbilities4Scenario0[[#This Row],[ability]])+COUNTIF(Scenario0[loser2-ability4],AvengerAbilities4Scenario0[[#This Row],[ability]])</calculatedColumnFormula>
    </tableColumn>
    <tableColumn id="3" xr3:uid="{027F7A48-FDF1-49B9-AEF6-2D0B509C81B3}" name="wins" dataDxfId="407">
      <calculatedColumnFormula>COUNTIF(Scenario0[winner1-ability4],AvengerAbilities4Scenario0[[#This Row],[ability]])+COUNTIF(Scenario0[winner2-ability4],AvengerAbilities4Scenario0[[#This Row],[ability]])</calculatedColumnFormula>
    </tableColumn>
    <tableColumn id="4" xr3:uid="{9264C2CD-5BD5-4E48-B79C-91C415037922}" name="battles-take-rate" dataDxfId="406">
      <calculatedColumnFormula>IF(SUM(AvengerAbilities4Scenario0[[#This Row],[takes]]) &gt; 0,AvengerAbilities4Scenario0[[#This Row],[takes]]/SUM(AvengerAbilities4Scenario0[takes]),0)</calculatedColumnFormula>
    </tableColumn>
    <tableColumn id="5" xr3:uid="{961169CF-7838-4E98-B5BB-DDCEA7F72CD9}" name="take-win-rate" dataDxfId="405">
      <calculatedColumnFormula>IF(AvengerAbilities4Scenario0[[#This Row],[takes]]&gt;0,AvengerAbilities4Scenario0[[#This Row],[wins]]/AvengerAbilities4Scenario0[[#This Row],[takes]],0)</calculatedColumnFormula>
    </tableColumn>
  </tableColumns>
  <tableStyleInfo name="TableStyleMedium2" showFirstColumn="0" showLastColumn="0" showRowStripes="1" showColumnStripes="0"/>
</table>
</file>

<file path=xl/tables/table2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xr:uid="{114BF14B-1E24-4156-B594-2FE6F385EEE4}" name="AvengerEquipScenario0" displayName="AvengerEquipScenario0" ref="R2:U5" totalsRowShown="0">
  <autoFilter ref="R2:U5" xr:uid="{E84D91C4-DFF3-43B9-932F-3FEFFBEA9FF1}"/>
  <tableColumns count="4">
    <tableColumn id="1" xr3:uid="{F210911E-B9B8-47C5-9902-5EC56E06C17A}" name="level"/>
    <tableColumn id="2" xr3:uid="{A0C1A817-B47A-49AB-9954-C99F52E509EB}" name="sabre" dataDxfId="404">
      <calculatedColumnFormula>COUNTIFS(Scenario0[winner1],"avenger",Scenario0[winner1-pw],AvengerEquipScenario0[[#This Row],[level]])+COUNTIFS(Scenario0[winner2],"avenger",Scenario0[winner2-pw],AvengerEquipScenario0[[#This Row],[level]])+COUNTIFS(Scenario0[loser1],"avenger",Scenario0[loser1-pw],AvengerEquipScenario0[[#This Row],[level]])+COUNTIFS(Scenario0[loser2],"avenger",Scenario0[loser2-pw],AvengerEquipScenario0[[#This Row],[level]])</calculatedColumnFormula>
    </tableColumn>
    <tableColumn id="3" xr3:uid="{E207A56E-E760-4666-A16D-6509D4B1A5CC}" name="blade" dataDxfId="403">
      <calculatedColumnFormula>COUNTIFS(Scenario0[winner1],"avenger",Scenario0[winner1-sw],AvengerEquipScenario0[[#This Row],[level]])+COUNTIFS(Scenario0[winner2],"avenger",Scenario0[winner2-sw],AvengerEquipScenario0[[#This Row],[level]])+COUNTIFS(Scenario0[loser1],"avenger",Scenario0[loser1-sw],AvengerEquipScenario0[[#This Row],[level]])+COUNTIFS(Scenario0[loser2],"avenger",Scenario0[loser2-sw],AvengerEquipScenario0[[#This Row],[level]])</calculatedColumnFormula>
    </tableColumn>
    <tableColumn id="4" xr3:uid="{434271AA-8C3F-4E13-BFF4-FEC0DA6AF92A}" name="chestpiece" dataDxfId="402">
      <calculatedColumnFormula>COUNTIFS(Scenario0[winner1],"avenger",Scenario0[winner1-cp],AvengerEquipScenario0[[#This Row],[level]])+COUNTIFS(Scenario0[winner2],"avenger",Scenario0[winner2-cp],AvengerEquipScenario0[[#This Row],[level]])+COUNTIFS(Scenario0[loser1],"avenger",Scenario0[loser1-cp],AvengerEquipScenario0[[#This Row],[level]])+COUNTIFS(Scenario0[loser2],"avenger",Scenario0[loser2-cp],AvengerEquipScenario0[[#This Row],[level]])</calculatedColumnFormula>
    </tableColumn>
  </tableColumns>
  <tableStyleInfo name="TableStyleMedium2" showFirstColumn="0" showLastColumn="0" showRowStripes="1" showColumnStripes="0"/>
</table>
</file>

<file path=xl/tables/table2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xr:uid="{EFEBAC4C-EDD1-48CF-A0CE-27A2F6F50C72}" name="AvengerAbilities1Scenario1" displayName="AvengerAbilities1Scenario1" ref="L23:P26" totalsRowShown="0">
  <autoFilter ref="L23:P26" xr:uid="{A0A97CA7-01BF-4D92-A7D1-F51028CD7758}"/>
  <tableColumns count="5">
    <tableColumn id="2" xr3:uid="{36C7E1E6-20D4-4BD6-8C83-FAB277E8743B}" name="ability"/>
    <tableColumn id="6" xr3:uid="{7A343123-7680-4E3D-A1BE-7215ECE50551}" name="takes" dataDxfId="401">
      <calculatedColumnFormula>COUNTIF(Scenario1[winner1-ability1],AvengerAbilities1Scenario1[[#This Row],[ability]])+COUNTIF(Scenario1[winner2-ability1],AvengerAbilities1Scenario1[[#This Row],[ability]])+COUNTIF(Scenario1[loser1-ability1],AvengerAbilities1Scenario1[[#This Row],[ability]])+COUNTIF(Scenario1[loser2-ability1],AvengerAbilities1Scenario1[[#This Row],[ability]])</calculatedColumnFormula>
    </tableColumn>
    <tableColumn id="4" xr3:uid="{905E2429-5D29-48A6-B412-3C6BCE0639A6}" name="wins" dataDxfId="400">
      <calculatedColumnFormula>COUNTIF(Scenario1[winner1-ability1],AvengerAbilities1Scenario1[[#This Row],[ability]])+COUNTIF(Scenario1[winner2-ability1],AvengerAbilities1Scenario1[[#This Row],[ability]])</calculatedColumnFormula>
    </tableColumn>
    <tableColumn id="5" xr3:uid="{EA946A4B-7601-42EC-972C-B033ADF7C244}" name="battles-take-rate" dataDxfId="399">
      <calculatedColumnFormula>IF(SUM(AvengerAbilities1Scenario1[[#This Row],[takes]]) &gt; 0,AvengerAbilities1Scenario1[[#This Row],[takes]]/SUM(AvengerAbilities1Scenario1[takes]),0)</calculatedColumnFormula>
    </tableColumn>
    <tableColumn id="7" xr3:uid="{641C62DB-2EE5-4B71-8202-6E32D82AAA13}" name="take-win-rate" dataDxfId="398">
      <calculatedColumnFormula>IF(AvengerAbilities1Scenario1[[#This Row],[takes]]&gt;0,AvengerAbilities1Scenario1[[#This Row],[wins]]/AvengerAbilities1Scenario1[[#This Row],[takes]],0)</calculatedColumnFormula>
    </tableColumn>
  </tableColumns>
  <tableStyleInfo name="TableStyleMedium2" showFirstColumn="0" showLastColumn="0" showRowStripes="1" showColumnStripes="0"/>
</table>
</file>

<file path=xl/tables/table2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xr:uid="{6FE78E7E-CF41-4D88-8056-31CC90E93DD1}" name="AvengerAbilities2Scenario1" displayName="AvengerAbilities2Scenario1" ref="L28:P31" totalsRowShown="0" headerRowDxfId="397" headerRowBorderDxfId="396" tableBorderDxfId="395" totalsRowBorderDxfId="394">
  <autoFilter ref="L28:P31" xr:uid="{A29CF70A-0B84-46BB-A412-712C2F594795}"/>
  <tableColumns count="5">
    <tableColumn id="1" xr3:uid="{1A083687-017B-48CC-A61B-DD706576B86D}" name="ability"/>
    <tableColumn id="2" xr3:uid="{C06CD689-9294-42DF-A29E-AE1B5EF1FAAA}" name="takes" dataDxfId="393">
      <calculatedColumnFormula>COUNTIF(Scenario1[winner1-ability2],AvengerAbilities2Scenario1[[#This Row],[ability]])+COUNTIF(Scenario1[winner2-ability2],AvengerAbilities2Scenario1[[#This Row],[ability]])+COUNTIF(Scenario1[loser1-ability2],AvengerAbilities2Scenario1[[#This Row],[ability]])+COUNTIF(Scenario1[loser2-ability2],AvengerAbilities2Scenario1[[#This Row],[ability]])</calculatedColumnFormula>
    </tableColumn>
    <tableColumn id="3" xr3:uid="{61E015C1-3EBD-4221-9B69-FBD7E8C9F344}" name="wins" dataDxfId="392">
      <calculatedColumnFormula>COUNTIF(Scenario1[winner1-ability2],AvengerAbilities2Scenario1[[#This Row],[ability]])+COUNTIF(Scenario1[winner2-ability2],AvengerAbilities2Scenario1[[#This Row],[ability]])</calculatedColumnFormula>
    </tableColumn>
    <tableColumn id="4" xr3:uid="{EEDD9520-D02F-4130-B011-95A0E10A176D}" name="battles-take-rate" dataDxfId="391">
      <calculatedColumnFormula>IF(SUM(AvengerAbilities2Scenario1[[#This Row],[takes]]) &gt; 0,AvengerAbilities2Scenario1[[#This Row],[takes]]/SUM(AvengerAbilities2Scenario1[takes]),0)</calculatedColumnFormula>
    </tableColumn>
    <tableColumn id="5" xr3:uid="{DE5944F4-EE02-4CEF-8C5C-838FFB490FC8}" name="take-win-rate" dataDxfId="390">
      <calculatedColumnFormula>IF(AvengerAbilities2Scenario1[[#This Row],[takes]]&gt;0,AvengerAbilities2Scenario1[[#This Row],[wins]]/AvengerAbilities2Scenario1[[#This Row],[takes]],0)</calculatedColumnFormula>
    </tableColumn>
  </tableColumns>
  <tableStyleInfo name="TableStyleMedium2" showFirstColumn="0" showLastColumn="0" showRowStripes="1" showColumnStripes="0"/>
</table>
</file>

<file path=xl/tables/table2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xr:uid="{FC9E6A3A-AD53-401A-B71D-1A98C0C96000}" name="AvengerAbilities3Scenario1" displayName="AvengerAbilities3Scenario1" ref="L33:P36" totalsRowShown="0" headerRowDxfId="389" headerRowBorderDxfId="388" tableBorderDxfId="387" totalsRowBorderDxfId="386">
  <autoFilter ref="L33:P36" xr:uid="{CBC18F4E-86CD-4BE3-9377-2B862ED3B826}"/>
  <tableColumns count="5">
    <tableColumn id="1" xr3:uid="{0988311D-8E89-4D7D-B753-DBCCDC4EDDB9}" name="ability"/>
    <tableColumn id="2" xr3:uid="{16A77E0C-1D6E-4992-B081-4AA1E4B9B88C}" name="takes" dataDxfId="385">
      <calculatedColumnFormula>COUNTIF(Scenario1[winner1-ability3],AvengerAbilities3Scenario1[[#This Row],[ability]])+COUNTIF(Scenario1[winner2-ability3],AvengerAbilities3Scenario1[[#This Row],[ability]])+COUNTIF(Scenario1[loser1-ability3],AvengerAbilities3Scenario1[[#This Row],[ability]])+COUNTIF(Scenario1[loser2-ability3],AvengerAbilities3Scenario1[[#This Row],[ability]])</calculatedColumnFormula>
    </tableColumn>
    <tableColumn id="3" xr3:uid="{0461014A-0735-496B-AB4A-D72C964AC89A}" name="wins" dataDxfId="384">
      <calculatedColumnFormula>COUNTIF(Scenario1[winner1-ability3],AvengerAbilities3Scenario1[[#This Row],[ability]])+COUNTIF(Scenario1[winner2-ability3],AvengerAbilities3Scenario1[[#This Row],[ability]])</calculatedColumnFormula>
    </tableColumn>
    <tableColumn id="4" xr3:uid="{A309DA0B-3B27-4B25-93FC-53698682A72A}" name="battles-take-rate" dataDxfId="383">
      <calculatedColumnFormula>IF(SUM(AvengerAbilities3Scenario1[[#This Row],[takes]]) &gt; 0,AvengerAbilities3Scenario1[[#This Row],[takes]]/SUM(AvengerAbilities3Scenario1[takes]),0)</calculatedColumnFormula>
    </tableColumn>
    <tableColumn id="5" xr3:uid="{2F3C0C99-08BB-45D8-B34D-FE2C5A7E2E0D}" name="take-win-rate" dataDxfId="382">
      <calculatedColumnFormula>IF(AvengerAbilities3Scenario1[[#This Row],[takes]]&gt;0,AvengerAbilities3Scenario1[[#This Row],[wins]]/AvengerAbilities3Scenario1[[#This Row],[takes]],0)</calculatedColumnFormula>
    </tableColumn>
  </tableColumns>
  <tableStyleInfo name="TableStyleMedium2" showFirstColumn="0" showLastColumn="0" showRowStripes="1" showColumnStripes="0"/>
</table>
</file>

<file path=xl/tables/table2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xr:uid="{C9AAFAF7-4D9B-4251-A917-11C23185C79A}" name="AvengerAbilities4Scenario1" displayName="AvengerAbilities4Scenario1" ref="L38:P41" totalsRowShown="0" headerRowDxfId="381" headerRowBorderDxfId="380" tableBorderDxfId="379" totalsRowBorderDxfId="378">
  <autoFilter ref="L38:P41" xr:uid="{A1F38E75-59DE-4DB4-B81C-C0322397F6F7}"/>
  <tableColumns count="5">
    <tableColumn id="1" xr3:uid="{B108F2DF-4A32-4ECF-B16B-02A49181826D}" name="ability" dataDxfId="377"/>
    <tableColumn id="2" xr3:uid="{A47622D9-162B-4188-B077-F04987EF9266}" name="takes" dataDxfId="376">
      <calculatedColumnFormula>COUNTIF(Scenario1[winner1-ability4],AvengerAbilities4Scenario1[[#This Row],[ability]])+COUNTIF(Scenario1[winner2-ability4],AvengerAbilities4Scenario1[[#This Row],[ability]])+COUNTIF(Scenario1[loser1-ability4],AvengerAbilities4Scenario1[[#This Row],[ability]])+COUNTIF(Scenario1[loser2-ability4],AvengerAbilities4Scenario1[[#This Row],[ability]])</calculatedColumnFormula>
    </tableColumn>
    <tableColumn id="3" xr3:uid="{8A53D2B1-F305-4C7C-8C37-4340DA20B7F2}" name="wins" dataDxfId="375">
      <calculatedColumnFormula>COUNTIF(Scenario1[winner1-ability4],AvengerAbilities4Scenario1[[#This Row],[ability]])+COUNTIF(Scenario1[winner2-ability4],AvengerAbilities4Scenario1[[#This Row],[ability]])</calculatedColumnFormula>
    </tableColumn>
    <tableColumn id="4" xr3:uid="{37588A20-DD8A-470B-A6FB-9447FDEE3BD9}" name="battles-take-rate" dataDxfId="374">
      <calculatedColumnFormula>IF(SUM(AvengerAbilities4Scenario1[[#This Row],[takes]]) &gt; 0,AvengerAbilities4Scenario1[[#This Row],[takes]]/SUM(AvengerAbilities4Scenario1[takes]),0)</calculatedColumnFormula>
    </tableColumn>
    <tableColumn id="5" xr3:uid="{5DE42850-8CF7-449B-85B3-E3445E067DB9}" name="take-win-rate" dataDxfId="373">
      <calculatedColumnFormula>IF(AvengerAbilities4Scenario1[[#This Row],[takes]]&gt;0,AvengerAbilities4Scenario1[[#This Row],[wins]]/AvengerAbilities4Scenario1[[#This Row],[takes]],0)</calculatedColumnFormula>
    </tableColumn>
  </tableColumns>
  <tableStyleInfo name="TableStyleMedium2" showFirstColumn="0" showLastColumn="0" showRowStripes="1" showColumnStripes="0"/>
</table>
</file>

<file path=xl/tables/table2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xr:uid="{78AA6484-58BD-4ADA-92E7-AAE85656E6ED}" name="AvengerEquipScenario1" displayName="AvengerEquipScenario1" ref="R23:U26" totalsRowShown="0">
  <autoFilter ref="R23:U26" xr:uid="{18EECD25-0AE5-4756-B5E1-492D523A2929}"/>
  <tableColumns count="4">
    <tableColumn id="1" xr3:uid="{4CC25019-AB32-4049-A65F-E98B84B6F001}" name="level"/>
    <tableColumn id="2" xr3:uid="{EE9611FF-4507-4DF4-B88C-26CAB56EED71}" name="sabre" dataDxfId="372">
      <calculatedColumnFormula>COUNTIFS(Scenario1[winner1],"avenger",Scenario1[winner1-pw],AvengerEquipScenario1[[#This Row],[level]])+COUNTIFS(Scenario1[winner2],"avenger",Scenario1[winner2-pw],AvengerEquipScenario1[[#This Row],[level]])+COUNTIFS(Scenario1[loser1],"avenger",Scenario1[loser1-pw],AvengerEquipScenario1[[#This Row],[level]])+COUNTIFS(Scenario1[loser2],"avenger",Scenario1[loser2-pw],AvengerEquipScenario1[[#This Row],[level]])</calculatedColumnFormula>
    </tableColumn>
    <tableColumn id="3" xr3:uid="{24C148F8-8894-4FA7-9C65-FF096096F445}" name="blade" dataDxfId="371">
      <calculatedColumnFormula>COUNTIFS(Scenario1[winner1],"avenger",Scenario1[winner1-sw],AvengerEquipScenario1[[#This Row],[level]])+COUNTIFS(Scenario1[winner2],"avenger",Scenario1[winner2-sw],AvengerEquipScenario1[[#This Row],[level]])+COUNTIFS(Scenario1[loser1],"avenger",Scenario1[loser1-sw],AvengerEquipScenario1[[#This Row],[level]])+COUNTIFS(Scenario1[loser2],"avenger",Scenario1[loser2-sw],AvengerEquipScenario1[[#This Row],[level]])</calculatedColumnFormula>
    </tableColumn>
    <tableColumn id="4" xr3:uid="{D35611D0-436B-4B03-BBC8-4FEE3C1B1A77}" name="chestpiece" dataDxfId="370">
      <calculatedColumnFormula>COUNTIFS(Scenario1[winner1],"avenger",Scenario1[winner1-cp],AvengerEquipScenario1[[#This Row],[level]])+COUNTIFS(Scenario1[winner2],"avenger",Scenario1[winner2-cp],AvengerEquipScenario1[[#This Row],[level]])+COUNTIFS(Scenario1[loser1],"avenger",Scenario1[loser1-cp],AvengerEquipScenario1[[#This Row],[level]])+COUNTIFS(Scenario1[loser2],"avenger",Scenario1[loser2-cp],AvengerEquipScenario1[[#This Row],[level]])</calculatedColumnFormula>
    </tableColumn>
  </tableColumns>
  <tableStyleInfo name="TableStyleMedium2" showFirstColumn="0" showLastColumn="0" showRowStripes="1" showColumnStripes="0"/>
</table>
</file>

<file path=xl/tables/table2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xr:uid="{19BED038-8AED-4DBE-9EF5-F40566C87B4E}" name="AvengerAbilities1Scenario2" displayName="AvengerAbilities1Scenario2" ref="L44:P47" totalsRowShown="0">
  <autoFilter ref="L44:P47" xr:uid="{81D76695-EE53-4A07-9351-842AC55F2540}"/>
  <tableColumns count="5">
    <tableColumn id="2" xr3:uid="{AE15F6ED-F0A2-4DA5-98BB-52C7060188E0}" name="ability"/>
    <tableColumn id="6" xr3:uid="{A145C374-5965-45D9-AAA1-20E57CC5F3A6}" name="takes" dataDxfId="369">
      <calculatedColumnFormula>COUNTIF(Scenario2[winner1-ability1],AvengerAbilities1Scenario2[[#This Row],[ability]])+COUNTIF(Scenario2[loser1-ability1],AvengerAbilities1Scenario2[[#This Row],[ability]])</calculatedColumnFormula>
    </tableColumn>
    <tableColumn id="4" xr3:uid="{8F3E1C0D-2E17-4A48-A065-1D8BA18168C6}" name="wins" dataDxfId="368">
      <calculatedColumnFormula>COUNTIF(Scenario2[winner1-ability1],AvengerAbilities1Scenario2[[#This Row],[ability]])</calculatedColumnFormula>
    </tableColumn>
    <tableColumn id="5" xr3:uid="{9DB36862-AC92-48F0-8B86-87B94516CEAF}" name="battles-take-rate" dataDxfId="367">
      <calculatedColumnFormula>IF(SUM(AvengerAbilities1Scenario2[[#This Row],[takes]]) &gt; 0,AvengerAbilities1Scenario2[[#This Row],[takes]]/SUM(AvengerAbilities1Scenario2[takes]),0)</calculatedColumnFormula>
    </tableColumn>
    <tableColumn id="7" xr3:uid="{51A4CC56-8D94-4CC1-88AD-DE213E872D63}" name="take-win-rate" dataDxfId="366">
      <calculatedColumnFormula>IF(AvengerAbilities1Scenario2[[#This Row],[takes]]&gt;0,AvengerAbilities1Scenario2[[#This Row],[wins]]/AvengerAbilities1Scenario2[[#This Row],[takes]],0)</calculatedColumnFormula>
    </tableColumn>
  </tableColumns>
  <tableStyleInfo name="TableStyleMedium2" showFirstColumn="0" showLastColumn="0" showRowStripes="1" showColumnStripes="0"/>
</table>
</file>

<file path=xl/tables/table2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xr:uid="{A7D80F2A-8719-4D9B-A1A5-856AA58F328E}" name="AvengerAbilities2Scenario2" displayName="AvengerAbilities2Scenario2" ref="L49:P52" totalsRowShown="0" headerRowDxfId="365" headerRowBorderDxfId="364" tableBorderDxfId="363" totalsRowBorderDxfId="362">
  <autoFilter ref="L49:P52" xr:uid="{B5828340-8DA1-4B65-ACEB-BDDDED872E64}"/>
  <tableColumns count="5">
    <tableColumn id="1" xr3:uid="{6CF11031-457F-4AE2-88CE-A39F60B8D8DD}" name="ability"/>
    <tableColumn id="2" xr3:uid="{7B341BA8-11FD-4476-BBDD-967987284FFC}" name="takes" dataDxfId="361">
      <calculatedColumnFormula>COUNTIF(Scenario2[winner1-ability2],AvengerAbilities2Scenario2[[#This Row],[ability]])+COUNTIF(Scenario2[loser1-ability2],AvengerAbilities2Scenario2[[#This Row],[ability]])</calculatedColumnFormula>
    </tableColumn>
    <tableColumn id="3" xr3:uid="{BDB38DDD-AD0F-447F-831D-F973FB317D01}" name="wins" dataDxfId="360">
      <calculatedColumnFormula>COUNTIF(Scenario2[winner1-ability2],AvengerAbilities2Scenario2[[#This Row],[ability]])</calculatedColumnFormula>
    </tableColumn>
    <tableColumn id="4" xr3:uid="{16676FDF-F72D-4A46-9456-4F4E86ACEDE3}" name="battles-take-rate" dataDxfId="359">
      <calculatedColumnFormula>IF(SUM(AvengerAbilities2Scenario2[[#This Row],[takes]]) &gt; 0,AvengerAbilities2Scenario2[[#This Row],[takes]]/SUM(AvengerAbilities2Scenario2[takes]),0)</calculatedColumnFormula>
    </tableColumn>
    <tableColumn id="5" xr3:uid="{7AA140AD-2F84-4876-B2F8-44AF2F45A344}" name="take-win-rate" dataDxfId="358">
      <calculatedColumnFormula>IF(AvengerAbilities2Scenario2[[#This Row],[takes]]&gt;0,AvengerAbilities2Scenario2[[#This Row],[wins]]/AvengerAbilities2Scenario2[[#This Row],[takes]],0)</calculatedColumnFormula>
    </tableColumn>
  </tableColumns>
  <tableStyleInfo name="TableStyleMedium2" showFirstColumn="0" showLastColumn="0" showRowStripes="1" showColumnStripes="0"/>
</table>
</file>

<file path=xl/tables/table2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xr:uid="{69265BD1-AB04-4793-BE9D-3531E114940C}" name="AvengerAbilities3Scenario2" displayName="AvengerAbilities3Scenario2" ref="L54:P57" totalsRowShown="0" headerRowDxfId="357" headerRowBorderDxfId="356" tableBorderDxfId="355" totalsRowBorderDxfId="354">
  <autoFilter ref="L54:P57" xr:uid="{34ED10E5-B169-4BBA-8F2C-73FF473D0922}"/>
  <tableColumns count="5">
    <tableColumn id="1" xr3:uid="{531A92B5-14D6-4563-A5EC-AF2057C8AC2E}" name="ability"/>
    <tableColumn id="2" xr3:uid="{516D7538-4F69-429B-8436-E0A9FCA9D16A}" name="takes" dataDxfId="353">
      <calculatedColumnFormula>COUNTIF(Scenario2[winner1-ability3],AvengerAbilities3Scenario2[[#This Row],[ability]])+COUNTIF(Scenario2[loser1-ability3],AvengerAbilities3Scenario2[[#This Row],[ability]])</calculatedColumnFormula>
    </tableColumn>
    <tableColumn id="3" xr3:uid="{0A744090-4119-4EE5-9B45-DD6ECD56AFCE}" name="wins" dataDxfId="352">
      <calculatedColumnFormula>COUNTIF(Scenario2[winner1-ability3],AvengerAbilities3Scenario2[[#This Row],[ability]])</calculatedColumnFormula>
    </tableColumn>
    <tableColumn id="4" xr3:uid="{6EA1CE83-F097-4979-BAF4-5E5DD321C889}" name="battles-take-rate" dataDxfId="351">
      <calculatedColumnFormula>IF(SUM(AvengerAbilities3Scenario2[[#This Row],[takes]]) &gt; 0,AvengerAbilities3Scenario2[[#This Row],[takes]]/SUM(AvengerAbilities3Scenario2[takes]),0)</calculatedColumnFormula>
    </tableColumn>
    <tableColumn id="5" xr3:uid="{0613051B-3AC3-464B-B90E-FF147B97D174}" name="take-win-rate" dataDxfId="350">
      <calculatedColumnFormula>IF(AvengerAbilities3Scenario2[[#This Row],[takes]]&gt;0,AvengerAbilities3Scenario2[[#This Row],[wins]]/AvengerAbilities3Scenario2[[#This Row],[takes]],0)</calculatedColumnFormula>
    </tableColumn>
  </tableColumns>
  <tableStyleInfo name="TableStyleMedium2" showFirstColumn="0" showLastColumn="0" showRowStripes="1" showColumnStripes="0"/>
</table>
</file>

<file path=xl/tables/table2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xr:uid="{1DDA2498-8AD9-4A7B-9180-0D7CA7884EFE}" name="AvengerAbilities4Scenario2" displayName="AvengerAbilities4Scenario2" ref="L59:P62" totalsRowShown="0" headerRowDxfId="349" headerRowBorderDxfId="348" tableBorderDxfId="347" totalsRowBorderDxfId="346">
  <autoFilter ref="L59:P62" xr:uid="{DDB7F110-02A6-4F67-8266-251AF48CB7C0}"/>
  <tableColumns count="5">
    <tableColumn id="1" xr3:uid="{0228B3A4-F54D-4604-AAB4-26F241807E53}" name="ability" dataDxfId="345"/>
    <tableColumn id="2" xr3:uid="{BE2ED41F-9201-4A8E-B960-2268FAC34946}" name="takes" dataDxfId="344">
      <calculatedColumnFormula>COUNTIF(Scenario2[winner1-ability4],AvengerAbilities4Scenario2[[#This Row],[ability]])+COUNTIF(Scenario2[loser1-ability4],AvengerAbilities4Scenario2[[#This Row],[ability]])</calculatedColumnFormula>
    </tableColumn>
    <tableColumn id="3" xr3:uid="{F18159D6-C5B8-4BD7-9D29-043A7BB6F2ED}" name="wins" dataDxfId="343">
      <calculatedColumnFormula>COUNTIF(Scenario2[winner1-ability4],AvengerAbilities4Scenario2[[#This Row],[ability]])</calculatedColumnFormula>
    </tableColumn>
    <tableColumn id="4" xr3:uid="{5D2EF02F-DEB6-4E46-A7E5-3F277ED38E6B}" name="battles-take-rate" dataDxfId="342">
      <calculatedColumnFormula>IF(SUM(AvengerAbilities4Scenario2[[#This Row],[takes]]) &gt; 0,AvengerAbilities4Scenario2[[#This Row],[takes]]/SUM(AvengerAbilities4Scenario2[takes]),0)</calculatedColumnFormula>
    </tableColumn>
    <tableColumn id="5" xr3:uid="{8C278A5A-3050-46F4-84FB-A7AF3505AA1E}" name="take-win-rate" dataDxfId="341">
      <calculatedColumnFormula>IF(AvengerAbilities4Scenario2[[#This Row],[takes]]&gt;0,AvengerAbilities4Scenario2[[#This Row],[wins]]/AvengerAbilities4Scenario2[[#This Row],[takes]],0)</calculatedColumnFormula>
    </tableColumn>
  </tableColumns>
  <tableStyleInfo name="TableStyleMedium2" showFirstColumn="0" showLastColumn="0" showRowStripes="1" showColumnStripes="0"/>
</table>
</file>

<file path=xl/tables/table2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xr:uid="{1CE1CC82-01BA-4DE2-BEE5-68C61C0D655C}" name="AvengerEquipScenario2" displayName="AvengerEquipScenario2" ref="R44:U47" totalsRowShown="0">
  <autoFilter ref="R44:U47" xr:uid="{BDEC3E9D-FA56-4E08-A52D-2A8BEB87833A}"/>
  <tableColumns count="4">
    <tableColumn id="1" xr3:uid="{2204119C-D511-416E-A82E-C2705014E21D}" name="level"/>
    <tableColumn id="2" xr3:uid="{C83C673F-6264-4726-ACC8-5DC02EC0E935}" name="sabre" dataDxfId="340">
      <calculatedColumnFormula>COUNTIFS(Scenario2[winner1],"avenger",Scenario2[winner1-pw],AvengerEquipScenario2[[#This Row],[level]])+COUNTIFS(Scenario2[loser1],"avenger",Scenario2[loser1-pw],AvengerEquipScenario2[[#This Row],[level]])</calculatedColumnFormula>
    </tableColumn>
    <tableColumn id="3" xr3:uid="{0A633C65-D412-43AD-A581-457DD3B90677}" name="blade" dataDxfId="339">
      <calculatedColumnFormula>COUNTIFS(Scenario2[winner1],"avenger",Scenario2[winner1-sw],AvengerEquipScenario2[[#This Row],[level]])+COUNTIFS(Scenario2[loser1],"avenger",Scenario2[loser1-sw],AvengerEquipScenario2[[#This Row],[level]])</calculatedColumnFormula>
    </tableColumn>
    <tableColumn id="4" xr3:uid="{38EEE023-9CA7-4DC5-AD62-1304929A42BB}" name="chestpiece" dataDxfId="338">
      <calculatedColumnFormula>COUNTIFS(Scenario2[winner1],"avenger",Scenario2[winner1-cp],AvengerEquipScenario2[[#This Row],[level]])+COUNTIFS(Scenario2[loser1],"avenger",Scenario2[loser1-cp],AvengerEquipScenario2[[#This Row],[level]])</calculatedColumnFormula>
    </tableColumn>
  </tableColumns>
  <tableStyleInfo name="TableStyleMedium2" showFirstColumn="0" showLastColumn="0" showRowStripes="1" showColumnStripes="0"/>
</table>
</file>

<file path=xl/tables/table2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12BB833-8AB0-4DDF-BBA3-11AC313A3C95}" name="UpgradeStatistics1926" displayName="UpgradeStatistics1926" ref="W1:X11" totalsRowShown="0">
  <autoFilter ref="W1:X11" xr:uid="{212BB833-8AB0-4DDF-BBA3-11AC313A3C95}"/>
  <tableColumns count="2">
    <tableColumn id="1" xr3:uid="{066227EC-5930-4EA3-8060-DA47E2F6F0FA}" name="upgrade"/>
    <tableColumn id="3" xr3:uid="{338E05EA-26EF-456A-B84A-CDDB81878176}" name="rate" dataDxfId="337"/>
  </tableColumns>
  <tableStyleInfo name="TableStyleMedium2" showFirstColumn="0" showLastColumn="0" showRowStripes="1" showColumnStripes="0"/>
</table>
</file>

<file path=xl/tables/table2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xr:uid="{2C9EEF2E-AFFC-479E-AF80-7B9FC063A95B}" name="AvengerAbilities1Scenario3" displayName="AvengerAbilities1Scenario3" ref="L65:P68" totalsRowShown="0">
  <autoFilter ref="L65:P68" xr:uid="{2C9EEF2E-AFFC-479E-AF80-7B9FC063A95B}"/>
  <tableColumns count="5">
    <tableColumn id="2" xr3:uid="{340F1230-B9EC-47C7-839A-F75B04DBDF60}" name="ability"/>
    <tableColumn id="6" xr3:uid="{D3408A9B-477F-45E2-B15E-7311D888D9A4}" name="takes" dataDxfId="336">
      <calculatedColumnFormula>COUNTIF(Scenario3[winner1-ability1],AvengerAbilities1Scenario3[[#This Row],[ability]])+COUNTIF(Scenario3[loser1-ability1],AvengerAbilities1Scenario3[[#This Row],[ability]])+COUNTIF(Scenario3[loser2-ability1],AvengerAbilities1Scenario3[[#This Row],[ability]])</calculatedColumnFormula>
    </tableColumn>
    <tableColumn id="4" xr3:uid="{E561545C-1EB9-4812-B86D-44448EAF6918}" name="wins" dataDxfId="335">
      <calculatedColumnFormula>COUNTIF(Scenario3[winner1-ability1],AvengerAbilities1Scenario3[[#This Row],[ability]])</calculatedColumnFormula>
    </tableColumn>
    <tableColumn id="5" xr3:uid="{925E1B42-8A3A-40EE-9A46-817810CDD8FB}" name="battles-take-rate" dataDxfId="334">
      <calculatedColumnFormula>IF(SUM(AvengerAbilities1Scenario3[[#This Row],[takes]]) &gt; 0,AvengerAbilities1Scenario3[[#This Row],[takes]]/SUM(AvengerAbilities1Scenario3[takes]),0)</calculatedColumnFormula>
    </tableColumn>
    <tableColumn id="7" xr3:uid="{278F8FFD-5543-4405-93D8-E1EB5086BC97}" name="take-win-rate" dataDxfId="333">
      <calculatedColumnFormula>IF(AvengerAbilities1Scenario3[[#This Row],[takes]]&gt;0,AvengerAbilities1Scenario3[[#This Row],[wins]]/AvengerAbilities1Scenario3[[#This Row],[takes]],0)</calculatedColumnFormula>
    </tableColumn>
  </tableColumns>
  <tableStyleInfo name="TableStyleMedium2" showFirstColumn="0" showLastColumn="0" showRowStripes="1" showColumnStripes="0"/>
</table>
</file>

<file path=xl/tables/table2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xr:uid="{01CFC75A-EE6F-42E4-A473-DC7F977FD41C}" name="AvengerAbilities2Scenario3" displayName="AvengerAbilities2Scenario3" ref="L70:P73" totalsRowShown="0" headerRowDxfId="332" headerRowBorderDxfId="331" tableBorderDxfId="330" totalsRowBorderDxfId="329">
  <autoFilter ref="L70:P73" xr:uid="{01CFC75A-EE6F-42E4-A473-DC7F977FD41C}"/>
  <tableColumns count="5">
    <tableColumn id="1" xr3:uid="{B9A0232F-95A6-44D5-8E17-4E469B235200}" name="ability"/>
    <tableColumn id="2" xr3:uid="{47743E3C-DE9A-42EF-BF6E-7AE382FA3F1C}" name="takes" dataDxfId="328">
      <calculatedColumnFormula>COUNTIF(Scenario3[winner1-ability2],AvengerAbilities2Scenario3[[#This Row],[ability]])+COUNTIF(Scenario3[loser1-ability2],AvengerAbilities2Scenario3[[#This Row],[ability]])+COUNTIF(Scenario3[loser2-ability2],AvengerAbilities2Scenario3[[#This Row],[ability]])</calculatedColumnFormula>
    </tableColumn>
    <tableColumn id="3" xr3:uid="{2E671075-0EC6-4B9E-8D9D-B1ABB5C5861C}" name="wins" dataDxfId="327">
      <calculatedColumnFormula>COUNTIF(Scenario3[winner1-ability2],AvengerAbilities2Scenario3[[#This Row],[ability]])</calculatedColumnFormula>
    </tableColumn>
    <tableColumn id="4" xr3:uid="{DA0323F7-D766-4C91-9345-7103E5B2B2FA}" name="battles-take-rate" dataDxfId="326">
      <calculatedColumnFormula>IF(SUM(AvengerAbilities2Scenario3[[#This Row],[takes]]) &gt; 0,AvengerAbilities2Scenario3[[#This Row],[takes]]/SUM(AvengerAbilities2Scenario3[takes]),0)</calculatedColumnFormula>
    </tableColumn>
    <tableColumn id="5" xr3:uid="{10449001-7AB4-406C-BBC6-4FAD99048774}" name="take-win-rate" dataDxfId="325">
      <calculatedColumnFormula>IF(AvengerAbilities2Scenario3[[#This Row],[takes]]&gt;0,AvengerAbilities2Scenario3[[#This Row],[wins]]/AvengerAbilities2Scenario3[[#This Row],[takes]],0)</calculatedColumnFormula>
    </tableColumn>
  </tableColumns>
  <tableStyleInfo name="TableStyleMedium2" showFirstColumn="0" showLastColumn="0" showRowStripes="1" showColumnStripes="0"/>
</table>
</file>

<file path=xl/tables/table2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xr:uid="{E0198DEC-FCBB-4FA6-B0FC-EB2F9B9D081F}" name="AvengerAbilities3Scenario3" displayName="AvengerAbilities3Scenario3" ref="L75:P78" totalsRowShown="0" headerRowDxfId="324" headerRowBorderDxfId="323" tableBorderDxfId="322" totalsRowBorderDxfId="321">
  <autoFilter ref="L75:P78" xr:uid="{E0198DEC-FCBB-4FA6-B0FC-EB2F9B9D081F}"/>
  <tableColumns count="5">
    <tableColumn id="1" xr3:uid="{392D51F3-27D7-41E5-BD0A-68660083E1C0}" name="ability"/>
    <tableColumn id="2" xr3:uid="{0973F249-1F83-42F6-B83D-6BEF8C96708E}" name="takes" dataDxfId="320">
      <calculatedColumnFormula>COUNTIF(Scenario3[winner1-ability3],AvengerAbilities3Scenario3[[#This Row],[ability]])+COUNTIF(Scenario3[loser1-ability3],AvengerAbilities3Scenario3[[#This Row],[ability]])+COUNTIF(Scenario3[loser2-ability3],AvengerAbilities3Scenario3[[#This Row],[ability]])</calculatedColumnFormula>
    </tableColumn>
    <tableColumn id="3" xr3:uid="{A3B37FD9-96EB-4593-BC97-8352D780F7BB}" name="wins" dataDxfId="319">
      <calculatedColumnFormula>COUNTIF(Scenario3[winner1-ability3],AvengerAbilities3Scenario3[[#This Row],[ability]])</calculatedColumnFormula>
    </tableColumn>
    <tableColumn id="4" xr3:uid="{DC30695C-AE61-4301-A803-CC651376959D}" name="battles-take-rate" dataDxfId="318">
      <calculatedColumnFormula>IF(SUM(AvengerAbilities3Scenario3[[#This Row],[takes]]) &gt; 0,AvengerAbilities3Scenario3[[#This Row],[takes]]/SUM(AvengerAbilities3Scenario3[takes]),0)</calculatedColumnFormula>
    </tableColumn>
    <tableColumn id="5" xr3:uid="{908928FD-15B2-4ED0-B957-C277844AC917}" name="take-win-rate" dataDxfId="317">
      <calculatedColumnFormula>IF(AvengerAbilities3Scenario3[[#This Row],[takes]]&gt;0,AvengerAbilities3Scenario3[[#This Row],[wins]]/AvengerAbilities3Scenario3[[#This Row],[takes]],0)</calculatedColumnFormula>
    </tableColumn>
  </tableColumns>
  <tableStyleInfo name="TableStyleMedium2" showFirstColumn="0" showLastColumn="0" showRowStripes="1" showColumnStripes="0"/>
</table>
</file>

<file path=xl/tables/table2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xr:uid="{DFBA6C76-2A45-4005-8A4B-B62B537356D5}" name="AvengerAbilities4Scenario3" displayName="AvengerAbilities4Scenario3" ref="L80:P83" totalsRowShown="0" headerRowDxfId="316" headerRowBorderDxfId="315" tableBorderDxfId="314" totalsRowBorderDxfId="313">
  <autoFilter ref="L80:P83" xr:uid="{DFBA6C76-2A45-4005-8A4B-B62B537356D5}"/>
  <tableColumns count="5">
    <tableColumn id="1" xr3:uid="{8C137A68-6D0C-49C3-8547-6CB48E7F2480}" name="ability" dataDxfId="312"/>
    <tableColumn id="2" xr3:uid="{BD1DED06-4C3E-47DC-8BD0-68CA34A1DA7A}" name="takes" dataDxfId="311">
      <calculatedColumnFormula>COUNTIF(Scenario3[winner1-ability4],AvengerAbilities4Scenario3[[#This Row],[ability]])+COUNTIF(Scenario3[loser1-ability4],AvengerAbilities4Scenario3[[#This Row],[ability]])+COUNTIF(Scenario3[loser2-ability4],AvengerAbilities4Scenario3[[#This Row],[ability]])</calculatedColumnFormula>
    </tableColumn>
    <tableColumn id="3" xr3:uid="{E0C1FCDE-5A84-4698-9738-1BCB97F526C3}" name="wins" dataDxfId="310">
      <calculatedColumnFormula>COUNTIF(Scenario3[winner1-ability4],AvengerAbilities4Scenario3[[#This Row],[ability]])</calculatedColumnFormula>
    </tableColumn>
    <tableColumn id="4" xr3:uid="{B8548539-0603-48EF-9DA8-3DCC5CD89D09}" name="battles-take-rate" dataDxfId="309">
      <calculatedColumnFormula>IF(SUM(AvengerAbilities4Scenario3[[#This Row],[takes]]) &gt; 0,AvengerAbilities4Scenario3[[#This Row],[takes]]/SUM(AvengerAbilities4Scenario3[takes]),0)</calculatedColumnFormula>
    </tableColumn>
    <tableColumn id="5" xr3:uid="{0EF7ECE6-B3BE-4901-861B-179060FAB7E4}" name="take-win-rate" dataDxfId="308">
      <calculatedColumnFormula>IF(AvengerAbilities4Scenario3[[#This Row],[takes]]&gt;0,AvengerAbilities4Scenario3[[#This Row],[wins]]/AvengerAbilities4Scenario3[[#This Row],[takes]],0)</calculatedColumnFormula>
    </tableColumn>
  </tableColumns>
  <tableStyleInfo name="TableStyleMedium2" showFirstColumn="0" showLastColumn="0" showRowStripes="1" showColumnStripes="0"/>
</table>
</file>

<file path=xl/tables/table2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xr:uid="{CD519AA8-2FD7-481F-8689-CC94BEAB1F4C}" name="AvengerEquipScenario3" displayName="AvengerEquipScenario3" ref="R65:U68" totalsRowShown="0">
  <autoFilter ref="R65:U68" xr:uid="{CD519AA8-2FD7-481F-8689-CC94BEAB1F4C}"/>
  <tableColumns count="4">
    <tableColumn id="1" xr3:uid="{2A21EDDD-A1E5-4030-A674-E822EEB72FDF}" name="level"/>
    <tableColumn id="2" xr3:uid="{520AB032-38EA-4F96-9EF0-771A9A7EA1B6}" name="sabre" dataDxfId="307">
      <calculatedColumnFormula>COUNTIFS(Scenario3[winner1],"avenger",Scenario3[winner1-pw],AvengerEquipScenario3[[#This Row],[level]])+COUNTIFS(Scenario3[loser1],"avenger",Scenario3[loser1-pw],AvengerEquipScenario3[[#This Row],[level]])+COUNTIFS(Scenario3[loser2],"avenger",Scenario3[loser2-pw],AvengerEquipScenario3[[#This Row],[level]])</calculatedColumnFormula>
    </tableColumn>
    <tableColumn id="3" xr3:uid="{5693F2FD-62BD-4674-92DF-D2F0FB35AE0B}" name="blade" dataDxfId="306">
      <calculatedColumnFormula>COUNTIFS(Scenario3[winner1],"avenger",Scenario3[winner1-sw],AvengerEquipScenario3[[#This Row],[level]])+COUNTIFS(Scenario3[loser1],"avenger",Scenario3[loser1-sw],AvengerEquipScenario3[[#This Row],[level]])+COUNTIFS(Scenario3[loser2],"avenger",Scenario3[loser2-sw],AvengerEquipScenario3[[#This Row],[level]])</calculatedColumnFormula>
    </tableColumn>
    <tableColumn id="4" xr3:uid="{09DA2608-866B-4D89-826F-62947B9EE33F}" name="chestpiece" dataDxfId="305">
      <calculatedColumnFormula>COUNTIFS(Scenario3[winner1],"avenger",Scenario3[winner1-cp],AvengerEquipScenario3[[#This Row],[level]])+COUNTIFS(Scenario3[loser1],"avenger",Scenario3[loser1-cp],AvengerEquipScenario3[[#This Row],[level]])+COUNTIFS(Scenario3[loser2],"avenger",Scenario3[loser2-cp],AvengerEquipScenario3[[#This Row],[level]])</calculatedColumnFormula>
    </tableColumn>
  </tableColumns>
  <tableStyleInfo name="TableStyleMedium2" showFirstColumn="0" showLastColumn="0" showRowStripes="1" showColumnStripes="0"/>
</table>
</file>

<file path=xl/tables/table2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0" xr:uid="{3062414F-0307-4E31-869D-F4935D589A75}" name="AvengerAbilities1Scenario4" displayName="AvengerAbilities1Scenario4" ref="L86:P89" totalsRowShown="0">
  <autoFilter ref="L86:P89" xr:uid="{3062414F-0307-4E31-869D-F4935D589A75}"/>
  <tableColumns count="5">
    <tableColumn id="2" xr3:uid="{6CAA90B7-F55C-41E9-81E6-5AB489CAB25E}" name="ability"/>
    <tableColumn id="6" xr3:uid="{18A75B8D-11A2-4BF0-B453-3B522016FB6A}" name="takes" dataDxfId="304">
      <calculatedColumnFormula>COUNTIF(Scenario4[winner1-ability1],AvengerAbilities1Scenario4[[#This Row],[ability]])+COUNTIF(Scenario4[loser1-ability1],AvengerAbilities1Scenario4[[#This Row],[ability]])+COUNTIF(Scenario4[loser2-ability1],AvengerAbilities1Scenario4[[#This Row],[ability]])+COUNTIF(Scenario4[loser3-ability1],AvengerAbilities1Scenario4[[#This Row],[ability]])</calculatedColumnFormula>
    </tableColumn>
    <tableColumn id="4" xr3:uid="{C1B1F8A2-8783-4CDD-8B20-32ABED590457}" name="wins" dataDxfId="303">
      <calculatedColumnFormula>COUNTIF(Scenario4[winner1-ability1],AvengerAbilities1Scenario4[[#This Row],[ability]])</calculatedColumnFormula>
    </tableColumn>
    <tableColumn id="5" xr3:uid="{2B01D9E4-5C78-4A53-A8EA-8D87E0149485}" name="battles-take-rate" dataDxfId="302">
      <calculatedColumnFormula>IF(SUM(AvengerAbilities1Scenario4[[#This Row],[takes]]) &gt; 0,AvengerAbilities1Scenario4[[#This Row],[takes]]/SUM(AvengerAbilities1Scenario4[takes]),0)</calculatedColumnFormula>
    </tableColumn>
    <tableColumn id="7" xr3:uid="{7106F70F-163C-42C6-904A-4A27693DA5AB}" name="take-win-rate" dataDxfId="301">
      <calculatedColumnFormula>IF(AvengerAbilities1Scenario4[[#This Row],[takes]]&gt;0,AvengerAbilities1Scenario4[[#This Row],[wins]]/AvengerAbilities1Scenario4[[#This Row],[takes]],0)</calculatedColumnFormula>
    </tableColumn>
  </tableColumns>
  <tableStyleInfo name="TableStyleMedium2" showFirstColumn="0" showLastColumn="0" showRowStripes="1" showColumnStripes="0"/>
</table>
</file>

<file path=xl/tables/table2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1" xr:uid="{E4C1192C-838B-412B-8856-5A65351BD147}" name="AvengerAbilities2Scenario4" displayName="AvengerAbilities2Scenario4" ref="L91:P94" totalsRowShown="0" headerRowDxfId="300" headerRowBorderDxfId="299" tableBorderDxfId="298" totalsRowBorderDxfId="297">
  <autoFilter ref="L91:P94" xr:uid="{E4C1192C-838B-412B-8856-5A65351BD147}"/>
  <tableColumns count="5">
    <tableColumn id="1" xr3:uid="{AF9A24FC-EC75-40D7-8E41-2C735857AA01}" name="ability"/>
    <tableColumn id="2" xr3:uid="{820F573A-87B3-40D8-AB97-5524318E368C}" name="takes" dataDxfId="296">
      <calculatedColumnFormula>COUNTIF(Scenario4[winner1-ability2],AvengerAbilities2Scenario4[[#This Row],[ability]])+COUNTIF(Scenario4[loser1-ability2],AvengerAbilities2Scenario4[[#This Row],[ability]])+COUNTIF(Scenario4[loser2-ability2],AvengerAbilities2Scenario4[[#This Row],[ability]])+COUNTIF(Scenario4[loser3-ability2],AvengerAbilities2Scenario4[[#This Row],[ability]])</calculatedColumnFormula>
    </tableColumn>
    <tableColumn id="3" xr3:uid="{B1A9734A-4CE3-488C-A6CC-64E876EEA30D}" name="wins" dataDxfId="295">
      <calculatedColumnFormula>COUNTIF(Scenario4[winner1-ability2],AvengerAbilities2Scenario4[[#This Row],[ability]])</calculatedColumnFormula>
    </tableColumn>
    <tableColumn id="4" xr3:uid="{0CB5E9F8-1096-4C85-BE7F-5AA7B8C01603}" name="battles-take-rate" dataDxfId="294">
      <calculatedColumnFormula>IF(SUM(AvengerAbilities2Scenario4[[#This Row],[takes]]) &gt; 0,AvengerAbilities2Scenario4[[#This Row],[takes]]/SUM(AvengerAbilities2Scenario4[takes]),0)</calculatedColumnFormula>
    </tableColumn>
    <tableColumn id="5" xr3:uid="{24EB9163-C4A5-4829-9D91-30F3BF6E0F6E}" name="take-win-rate" dataDxfId="293">
      <calculatedColumnFormula>IF(AvengerAbilities2Scenario4[[#This Row],[takes]]&gt;0,AvengerAbilities2Scenario4[[#This Row],[wins]]/AvengerAbilities2Scenario4[[#This Row],[takes]],0)</calculatedColumnFormula>
    </tableColumn>
  </tableColumns>
  <tableStyleInfo name="TableStyleMedium2" showFirstColumn="0" showLastColumn="0" showRowStripes="1" showColumnStripes="0"/>
</table>
</file>

<file path=xl/tables/table3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2" xr:uid="{73CD5CF4-EB8D-4510-9AD9-31A7E1F0585E}" name="AvengerAbilities3Scenario4" displayName="AvengerAbilities3Scenario4" ref="L96:P99" totalsRowShown="0" headerRowDxfId="292" headerRowBorderDxfId="291" tableBorderDxfId="290" totalsRowBorderDxfId="289">
  <autoFilter ref="L96:P99" xr:uid="{73CD5CF4-EB8D-4510-9AD9-31A7E1F0585E}"/>
  <tableColumns count="5">
    <tableColumn id="1" xr3:uid="{2A240571-D871-4365-84C9-B610D4D4B55E}" name="ability"/>
    <tableColumn id="2" xr3:uid="{4E85BDEC-7BE2-4F03-90A6-CE4C1B5E91B1}" name="takes" dataDxfId="288">
      <calculatedColumnFormula>COUNTIF(Scenario4[winner1-ability3],AvengerAbilities3Scenario4[[#This Row],[ability]])+COUNTIF(Scenario4[loser1-ability3],AvengerAbilities3Scenario4[[#This Row],[ability]])+COUNTIF(Scenario4[loser2-ability3],AvengerAbilities3Scenario4[[#This Row],[ability]])+COUNTIF(Scenario4[loser3-ability3],AvengerAbilities3Scenario4[[#This Row],[ability]])</calculatedColumnFormula>
    </tableColumn>
    <tableColumn id="3" xr3:uid="{D269348A-C502-4799-B35A-DB462BFE8FC6}" name="wins" dataDxfId="287">
      <calculatedColumnFormula>COUNTIF(Scenario4[winner1-ability3],AvengerAbilities3Scenario4[[#This Row],[ability]])</calculatedColumnFormula>
    </tableColumn>
    <tableColumn id="4" xr3:uid="{C7BFDFBD-FC68-477D-8FFA-2D300E1AA89D}" name="battles-take-rate" dataDxfId="286">
      <calculatedColumnFormula>IF(SUM(AvengerAbilities3Scenario4[[#This Row],[takes]]) &gt; 0,AvengerAbilities3Scenario4[[#This Row],[takes]]/SUM(AvengerAbilities3Scenario4[takes]),0)</calculatedColumnFormula>
    </tableColumn>
    <tableColumn id="5" xr3:uid="{C78BA6D8-8272-4407-84C1-CF311E84A704}" name="take-win-rate" dataDxfId="285">
      <calculatedColumnFormula>IF(AvengerAbilities3Scenario4[[#This Row],[takes]]&gt;0,AvengerAbilities3Scenario4[[#This Row],[wins]]/AvengerAbilities3Scenario4[[#This Row],[takes]],0)</calculatedColumnFormula>
    </tableColumn>
  </tableColumns>
  <tableStyleInfo name="TableStyleMedium2" showFirstColumn="0" showLastColumn="0" showRowStripes="1" showColumnStripes="0"/>
</table>
</file>

<file path=xl/tables/table3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3" xr:uid="{E0C2D5AA-63BE-4431-96B6-ED61F1B43B2C}" name="AvengerAbilities4Scenario4" displayName="AvengerAbilities4Scenario4" ref="L101:P104" totalsRowShown="0" headerRowDxfId="284" headerRowBorderDxfId="283" tableBorderDxfId="282" totalsRowBorderDxfId="281">
  <autoFilter ref="L101:P104" xr:uid="{E0C2D5AA-63BE-4431-96B6-ED61F1B43B2C}"/>
  <tableColumns count="5">
    <tableColumn id="1" xr3:uid="{69A79FA2-C7FA-4C00-84A3-F37C8FA60546}" name="ability" dataDxfId="280"/>
    <tableColumn id="2" xr3:uid="{E2E7B263-F388-4826-AF29-E7140D39D1AF}" name="takes" dataDxfId="279">
      <calculatedColumnFormula>COUNTIF(Scenario4[winner1-ability4],AvengerAbilities4Scenario4[[#This Row],[ability]])+COUNTIF(Scenario4[loser1-ability4],AvengerAbilities4Scenario4[[#This Row],[ability]])+COUNTIF(Scenario4[loser2-ability4],AvengerAbilities4Scenario4[[#This Row],[ability]])+COUNTIF(Scenario4[loser3-ability4],AvengerAbilities4Scenario4[[#This Row],[ability]])</calculatedColumnFormula>
    </tableColumn>
    <tableColumn id="3" xr3:uid="{962C4A4C-711B-415B-8DB6-44C475598361}" name="wins" dataDxfId="278">
      <calculatedColumnFormula>COUNTIF(Scenario4[winner1-ability4],AvengerAbilities4Scenario4[[#This Row],[ability]])</calculatedColumnFormula>
    </tableColumn>
    <tableColumn id="4" xr3:uid="{4AF24253-BE96-42B9-8264-BF3FCEE7A29E}" name="battles-take-rate" dataDxfId="277">
      <calculatedColumnFormula>IF(SUM(AvengerAbilities4Scenario4[[#This Row],[takes]]) &gt; 0,AvengerAbilities4Scenario4[[#This Row],[takes]]/SUM(AvengerAbilities4Scenario4[takes]),0)</calculatedColumnFormula>
    </tableColumn>
    <tableColumn id="5" xr3:uid="{F0DF66EF-1A81-447A-A028-4C5327861469}" name="take-win-rate" dataDxfId="276">
      <calculatedColumnFormula>IF(AvengerAbilities4Scenario4[[#This Row],[takes]]&gt;0,AvengerAbilities4Scenario4[[#This Row],[wins]]/AvengerAbilities4Scenario4[[#This Row],[takes]],0)</calculatedColumnFormula>
    </tableColumn>
  </tableColumns>
  <tableStyleInfo name="TableStyleMedium2" showFirstColumn="0" showLastColumn="0" showRowStripes="1" showColumnStripes="0"/>
</table>
</file>

<file path=xl/tables/table3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4" xr:uid="{C0AB1F27-C48F-49FC-A367-088923D74917}" name="AvengerEquipScenario4" displayName="AvengerEquipScenario4" ref="R86:U89" totalsRowShown="0">
  <autoFilter ref="R86:U89" xr:uid="{C0AB1F27-C48F-49FC-A367-088923D74917}"/>
  <tableColumns count="4">
    <tableColumn id="1" xr3:uid="{6EC63002-D7AC-4943-A3B4-B8EF7A2460BC}" name="level"/>
    <tableColumn id="2" xr3:uid="{4E9F6186-425D-4CA0-81DA-3DFD5AAC3578}" name="sabre" dataDxfId="275">
      <calculatedColumnFormula>COUNTIFS(Scenario4[winner1],"avenger",Scenario4[winner1-pw],AvengerEquipScenario4[[#This Row],[level]])+COUNTIFS(Scenario4[loser1],"avenger",Scenario4[loser1-pw],AvengerEquipScenario4[[#This Row],[level]])+COUNTIFS(Scenario4[loser2],"avenger",Scenario4[loser2-pw],AvengerEquipScenario4[[#This Row],[level]])+COUNTIFS(Scenario4[loser3],"avenger",Scenario4[loser3-pw],AvengerEquipScenario4[[#This Row],[level]])</calculatedColumnFormula>
    </tableColumn>
    <tableColumn id="3" xr3:uid="{0D56E722-96AF-4483-931F-3C4F669DEE76}" name="blade" dataDxfId="274">
      <calculatedColumnFormula>COUNTIFS(Scenario4[winner1],"avenger",Scenario4[winner1-sw],AvengerEquipScenario4[[#This Row],[level]])+COUNTIFS(Scenario4[loser1],"avenger",Scenario4[loser1-sw],AvengerEquipScenario4[[#This Row],[level]])+COUNTIFS(Scenario4[loser2],"avenger",Scenario4[loser2-sw],AvengerEquipScenario4[[#This Row],[level]])+COUNTIFS(Scenario4[loser3],"avenger",Scenario4[loser3-sw],AvengerEquipScenario4[[#This Row],[level]])</calculatedColumnFormula>
    </tableColumn>
    <tableColumn id="4" xr3:uid="{B4441936-1793-4D67-A544-FC28E016C475}" name="chestpiece" dataDxfId="273">
      <calculatedColumnFormula>COUNTIFS(Scenario4[winner1],"avenger",Scenario4[winner1-cp],AvengerEquipScenario4[[#This Row],[level]])+COUNTIFS(Scenario4[loser1],"avenger",Scenario4[loser1-cp],AvengerEquipScenario4[[#This Row],[level]])+COUNTIFS(Scenario4[loser2],"avenger",Scenario4[loser2-cp],AvengerEquipScenario4[[#This Row],[level]])+COUNTIFS(Scenario4[loser3],"avenger",Scenario4[loser3-cp],AvengerEquipScenario4[[#This Row],[level]])</calculatedColumnFormula>
    </tableColumn>
  </tableColumns>
  <tableStyleInfo name="TableStyleMedium2" showFirstColumn="0" showLastColumn="0" showRowStripes="1" showColumnStripes="0"/>
</table>
</file>

<file path=xl/tables/table3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3" xr:uid="{A63FB71A-E28D-4CA6-97AB-031ADA5AAAE2}" name="AvengerAbilities1Scenario5" displayName="AvengerAbilities1Scenario5" ref="L107:P110" totalsRowShown="0">
  <autoFilter ref="L107:P110" xr:uid="{A63FB71A-E28D-4CA6-97AB-031ADA5AAAE2}"/>
  <tableColumns count="5">
    <tableColumn id="2" xr3:uid="{CC2537FB-DE6F-411F-A388-DE9344A403A4}" name="ability"/>
    <tableColumn id="6" xr3:uid="{16491E86-9F68-4A4F-A4DA-DD05F62E1879}" name="takes" dataDxfId="272">
      <calculatedColumnFormula>COUNTIF(Scenario5[winner1-ability1],AvengerAbilities1Scenario5[[#This Row],[ability]])+COUNTIF(Scenario5[winner2-ability1],AvengerAbilities1Scenario5[[#This Row],[ability]])+COUNTIF(Scenario5[loser1-ability1],AvengerAbilities1Scenario5[[#This Row],[ability]])+COUNTIF(Scenario5[loser2-ability1],AvengerAbilities1Scenario5[[#This Row],[ability]])</calculatedColumnFormula>
    </tableColumn>
    <tableColumn id="4" xr3:uid="{14BD1005-8B41-4F99-9252-5DE51EE1FC7B}" name="wins" dataDxfId="271">
      <calculatedColumnFormula>COUNTIF(Scenario5[winner1-ability1],AvengerAbilities1Scenario5[[#This Row],[ability]])+COUNTIF(Scenario5[winner2-ability1],AvengerAbilities1Scenario5[[#This Row],[ability]])</calculatedColumnFormula>
    </tableColumn>
    <tableColumn id="5" xr3:uid="{EED122D2-EA08-42EE-A265-2C80B4AEF87C}" name="battles-take-rate" dataDxfId="270">
      <calculatedColumnFormula>IF(SUM(AvengerAbilities1Scenario5[[#This Row],[takes]]) &gt; 0,AvengerAbilities1Scenario5[[#This Row],[takes]]/SUM(AvengerAbilities1Scenario5[takes]),0)</calculatedColumnFormula>
    </tableColumn>
    <tableColumn id="7" xr3:uid="{68FE12D0-C156-4854-BBA9-578F0B48EAFD}" name="take-win-rate" dataDxfId="269">
      <calculatedColumnFormula>IF(AvengerAbilities1Scenario5[[#This Row],[takes]]&gt;0,AvengerAbilities1Scenario5[[#This Row],[wins]]/AvengerAbilities1Scenario5[[#This Row],[takes]],0)</calculatedColumnFormula>
    </tableColumn>
  </tableColumns>
  <tableStyleInfo name="TableStyleMedium2" showFirstColumn="0" showLastColumn="0" showRowStripes="1" showColumnStripes="0"/>
</table>
</file>

<file path=xl/tables/table3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4" xr:uid="{C98A1175-5CEA-4F11-8BEB-DB6DE0ABD439}" name="AvengerAbilities2Scenario5" displayName="AvengerAbilities2Scenario5" ref="L112:P115" totalsRowShown="0" headerRowDxfId="268" headerRowBorderDxfId="267" tableBorderDxfId="266" totalsRowBorderDxfId="265">
  <autoFilter ref="L112:P115" xr:uid="{C98A1175-5CEA-4F11-8BEB-DB6DE0ABD439}"/>
  <tableColumns count="5">
    <tableColumn id="1" xr3:uid="{7BD92734-C503-4EF2-BF8D-F31A8B1D1C00}" name="ability"/>
    <tableColumn id="2" xr3:uid="{DB15F2C0-4AAC-40BF-A841-762049EB61CE}" name="takes" dataDxfId="264">
      <calculatedColumnFormula>COUNTIF(Scenario5[winner1-ability2],AvengerAbilities2Scenario5[[#This Row],[ability]])+COUNTIF(Scenario5[winner2-ability2],AvengerAbilities2Scenario5[[#This Row],[ability]])+COUNTIF(Scenario5[loser1-ability2],AvengerAbilities2Scenario5[[#This Row],[ability]])+COUNTIF(Scenario5[loser2-ability2],AvengerAbilities2Scenario5[[#This Row],[ability]])</calculatedColumnFormula>
    </tableColumn>
    <tableColumn id="3" xr3:uid="{41C1A9C4-C63C-4E38-9700-12FF8907E5EB}" name="wins" dataDxfId="263">
      <calculatedColumnFormula>COUNTIF(Scenario5[winner1-ability2],AvengerAbilities2Scenario5[[#This Row],[ability]])+COUNTIF(Scenario5[winner2-ability2],AvengerAbilities2Scenario5[[#This Row],[ability]])</calculatedColumnFormula>
    </tableColumn>
    <tableColumn id="4" xr3:uid="{38E1E195-77D0-44F7-9B11-A8A01E59D2B7}" name="battles-take-rate" dataDxfId="262">
      <calculatedColumnFormula>IF(SUM(AvengerAbilities2Scenario5[[#This Row],[takes]]) &gt; 0,AvengerAbilities2Scenario5[[#This Row],[takes]]/SUM(AvengerAbilities2Scenario5[takes]),0)</calculatedColumnFormula>
    </tableColumn>
    <tableColumn id="5" xr3:uid="{A24CAA09-1AD5-4A2E-A9EB-F7CB17E31F1B}" name="take-win-rate" dataDxfId="261">
      <calculatedColumnFormula>IF(AvengerAbilities2Scenario5[[#This Row],[takes]]&gt;0,AvengerAbilities2Scenario5[[#This Row],[wins]]/AvengerAbilities2Scenario5[[#This Row],[takes]],0)</calculatedColumnFormula>
    </tableColumn>
  </tableColumns>
  <tableStyleInfo name="TableStyleMedium2" showFirstColumn="0" showLastColumn="0" showRowStripes="1" showColumnStripes="0"/>
</table>
</file>

<file path=xl/tables/table3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5" xr:uid="{AB91CA97-A290-47BB-8CFE-C37C508952F2}" name="AvengerAbilities3Scenario5" displayName="AvengerAbilities3Scenario5" ref="L117:P120" totalsRowShown="0" headerRowDxfId="260" headerRowBorderDxfId="259" tableBorderDxfId="258" totalsRowBorderDxfId="257">
  <autoFilter ref="L117:P120" xr:uid="{AB91CA97-A290-47BB-8CFE-C37C508952F2}"/>
  <tableColumns count="5">
    <tableColumn id="1" xr3:uid="{976471E8-853D-4643-A4A0-2A62AE2F9A54}" name="ability"/>
    <tableColumn id="2" xr3:uid="{629E8CB4-F66C-4218-9F36-724397A9C826}" name="takes" dataDxfId="256">
      <calculatedColumnFormula>COUNTIF(Scenario5[winner1-ability3],AvengerAbilities3Scenario5[[#This Row],[ability]])+COUNTIF(Scenario5[winner2-ability3],AvengerAbilities3Scenario5[[#This Row],[ability]])+COUNTIF(Scenario5[loser1-ability3],AvengerAbilities3Scenario5[[#This Row],[ability]])+COUNTIF(Scenario5[loser2-ability3],AvengerAbilities3Scenario5[[#This Row],[ability]])</calculatedColumnFormula>
    </tableColumn>
    <tableColumn id="3" xr3:uid="{67FD14ED-0F5E-44BD-A6A2-5B535C27C248}" name="wins" dataDxfId="255">
      <calculatedColumnFormula>COUNTIF(Scenario5[winner1-ability3],AvengerAbilities3Scenario5[[#This Row],[ability]])+COUNTIF(Scenario5[winner2-ability3],AvengerAbilities3Scenario5[[#This Row],[ability]])</calculatedColumnFormula>
    </tableColumn>
    <tableColumn id="4" xr3:uid="{D7986FD5-E62D-4AB1-93ED-DF14192CF1E8}" name="battles-take-rate" dataDxfId="254">
      <calculatedColumnFormula>IF(SUM(AvengerAbilities3Scenario5[[#This Row],[takes]]) &gt; 0,AvengerAbilities3Scenario5[[#This Row],[takes]]/SUM(AvengerAbilities3Scenario5[takes]),0)</calculatedColumnFormula>
    </tableColumn>
    <tableColumn id="5" xr3:uid="{9C2DC939-D30A-4F18-9A18-6300C84ED6A5}" name="take-win-rate" dataDxfId="253">
      <calculatedColumnFormula>IF(AvengerAbilities3Scenario5[[#This Row],[takes]]&gt;0,AvengerAbilities3Scenario5[[#This Row],[wins]]/AvengerAbilities3Scenario5[[#This Row],[takes]],0)</calculatedColumnFormula>
    </tableColumn>
  </tableColumns>
  <tableStyleInfo name="TableStyleMedium2" showFirstColumn="0" showLastColumn="0" showRowStripes="1" showColumnStripes="0"/>
</table>
</file>

<file path=xl/tables/table3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6" xr:uid="{F160D1D4-E2CA-4D0C-84EC-AA2A7E301211}" name="AvengerAbilities4Scenario5" displayName="AvengerAbilities4Scenario5" ref="L122:P125" totalsRowShown="0" headerRowDxfId="252" headerRowBorderDxfId="251" tableBorderDxfId="250" totalsRowBorderDxfId="249">
  <autoFilter ref="L122:P125" xr:uid="{F160D1D4-E2CA-4D0C-84EC-AA2A7E301211}"/>
  <tableColumns count="5">
    <tableColumn id="1" xr3:uid="{F60168F8-23AE-4CFB-A091-D964CDF9CCBB}" name="ability" dataDxfId="248"/>
    <tableColumn id="2" xr3:uid="{3A51F650-A9B5-4C31-8F09-AC78E854A77D}" name="takes" dataDxfId="247">
      <calculatedColumnFormula>COUNTIF(Scenario5[winner1-ability4],AvengerAbilities4Scenario5[[#This Row],[ability]])+COUNTIF(Scenario5[winner2-ability4],AvengerAbilities4Scenario5[[#This Row],[ability]])+COUNTIF(Scenario5[loser1-ability4],AvengerAbilities4Scenario5[[#This Row],[ability]])+COUNTIF(Scenario5[loser2-ability4],AvengerAbilities4Scenario5[[#This Row],[ability]])</calculatedColumnFormula>
    </tableColumn>
    <tableColumn id="3" xr3:uid="{0F22BC4C-B164-4FC3-B5B0-802DFB85E271}" name="wins" dataDxfId="246">
      <calculatedColumnFormula>COUNTIF(Scenario5[winner1-ability4],AvengerAbilities4Scenario5[[#This Row],[ability]])+COUNTIF(Scenario5[winner2-ability4],AvengerAbilities4Scenario5[[#This Row],[ability]])</calculatedColumnFormula>
    </tableColumn>
    <tableColumn id="4" xr3:uid="{D2846692-4D12-4EED-B196-6EDDA2CC9123}" name="battles-take-rate" dataDxfId="245">
      <calculatedColumnFormula>IF(SUM(AvengerAbilities4Scenario5[[#This Row],[takes]]) &gt; 0,AvengerAbilities4Scenario5[[#This Row],[takes]]/SUM(AvengerAbilities4Scenario5[takes]),0)</calculatedColumnFormula>
    </tableColumn>
    <tableColumn id="5" xr3:uid="{1A30A94F-BCBD-4546-95D2-D8B7E2CE47C8}" name="take-win-rate" dataDxfId="244">
      <calculatedColumnFormula>IF(AvengerAbilities4Scenario5[[#This Row],[takes]]&gt;0,AvengerAbilities4Scenario5[[#This Row],[wins]]/AvengerAbilities4Scenario5[[#This Row],[takes]],0)</calculatedColumnFormula>
    </tableColumn>
  </tableColumns>
  <tableStyleInfo name="TableStyleMedium2" showFirstColumn="0" showLastColumn="0" showRowStripes="1" showColumnStripes="0"/>
</table>
</file>

<file path=xl/tables/table3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7" xr:uid="{90CBCC98-52A2-41AF-9A51-EA670E4041FF}" name="AvengerEquipScenario5" displayName="AvengerEquipScenario5" ref="R107:U110" totalsRowShown="0">
  <autoFilter ref="R107:U110" xr:uid="{90CBCC98-52A2-41AF-9A51-EA670E4041FF}"/>
  <tableColumns count="4">
    <tableColumn id="1" xr3:uid="{ED4CE097-BD52-464C-8773-EC5ABEE59A36}" name="level"/>
    <tableColumn id="2" xr3:uid="{7A158F9E-1D85-4933-9962-5DDD4A6420B7}" name="sabre" dataDxfId="243">
      <calculatedColumnFormula>COUNTIFS(Scenario5[winner1],"avenger",Scenario5[winner1-pw],AvengerEquipScenario5[[#This Row],[level]])+COUNTIFS(Scenario5[winner2],"avenger",Scenario5[winner2-pw],AvengerEquipScenario5[[#This Row],[level]])+COUNTIFS(Scenario5[loser1],"avenger",Scenario5[loser1-pw],AvengerEquipScenario5[[#This Row],[level]])+COUNTIFS(Scenario5[loser2],"avenger",Scenario5[loser2-pw],AvengerEquipScenario5[[#This Row],[level]])</calculatedColumnFormula>
    </tableColumn>
    <tableColumn id="3" xr3:uid="{A7EADE81-94D4-4245-9A5C-CDB539947E07}" name="blade" dataDxfId="242">
      <calculatedColumnFormula>COUNTIFS(Scenario5[winner1],"avenger",Scenario5[winner1-sw],AvengerEquipScenario5[[#This Row],[level]])+COUNTIFS(Scenario5[winner2],"avenger",Scenario5[winner2-sw],AvengerEquipScenario5[[#This Row],[level]])+COUNTIFS(Scenario5[loser1],"avenger",Scenario5[loser1-sw],AvengerEquipScenario5[[#This Row],[level]])+COUNTIFS(Scenario5[loser2],"avenger",Scenario5[loser2-sw],AvengerEquipScenario5[[#This Row],[level]])</calculatedColumnFormula>
    </tableColumn>
    <tableColumn id="4" xr3:uid="{05B4C137-294B-43B2-8727-7708338B0F50}" name="chestpiece" dataDxfId="241">
      <calculatedColumnFormula>COUNTIFS(Scenario5[winner1],"avenger",Scenario5[winner1-cp],AvengerEquipScenario5[[#This Row],[level]])+COUNTIFS(Scenario5[winner2],"avenger",Scenario5[winner2-cp],AvengerEquipScenario5[[#This Row],[level]])+COUNTIFS(Scenario5[loser1],"avenger",Scenario5[loser1-cp],AvengerEquipScenario5[[#This Row],[level]])+COUNTIFS(Scenario5[loser2],"avenger",Scenario5[loser2-cp],AvengerEquipScenario5[[#This Row],[level]])</calculatedColumnFormula>
    </tableColumn>
  </tableColumns>
  <tableStyleInfo name="TableStyleMedium2" showFirstColumn="0" showLastColumn="0" showRowStripes="1" showColumnStripes="0"/>
</table>
</file>

<file path=xl/tables/table3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8" xr:uid="{6A658BF5-3106-4DAA-9E0D-4FA9744FA7C6}" name="AvengerAbilities1309" displayName="AvengerAbilities1309" ref="A2:E5" totalsRowShown="0">
  <autoFilter ref="A2:E5" xr:uid="{DCA301F1-E0F8-4700-BEE5-2688AF43F23A}"/>
  <tableColumns count="5">
    <tableColumn id="2" xr3:uid="{AD5CBA40-229D-4B58-9AEB-2897A2299101}" name="ability"/>
    <tableColumn id="6" xr3:uid="{0526A825-78AA-49F2-9BD7-A4AADFA11EE6}" name="takes" dataDxfId="240">
      <calculatedColumnFormula>M3+M24+M45+M66+M87+M108</calculatedColumnFormula>
    </tableColumn>
    <tableColumn id="4" xr3:uid="{148F9E79-105E-4062-BCCF-7078A48D319B}" name="wins" dataDxfId="239">
      <calculatedColumnFormula>N3+N24+N45+N66+N87+N108</calculatedColumnFormula>
    </tableColumn>
    <tableColumn id="5" xr3:uid="{00508383-5597-4E29-BB6B-6D0FAAFA951A}" name="battles-take-rate" dataDxfId="238">
      <calculatedColumnFormula>IF(SUM(AvengerAbilities1309[[#This Row],[takes]]) &gt; 0,AvengerAbilities1309[[#This Row],[takes]]/SUM(AvengerAbilities1309[takes]),0)</calculatedColumnFormula>
    </tableColumn>
    <tableColumn id="7" xr3:uid="{0EEE16AC-2498-4903-A7D3-CF5D8EBD54F8}" name="take-win-rate" dataDxfId="237">
      <calculatedColumnFormula>IF(AvengerAbilities1309[[#This Row],[takes]]&gt;0,AvengerAbilities1309[[#This Row],[wins]]/AvengerAbilities1309[[#This Row],[takes]],0)</calculatedColumnFormula>
    </tableColumn>
  </tableColumns>
  <tableStyleInfo name="TableStyleMedium2" showFirstColumn="0" showLastColumn="0" showRowStripes="1" showColumnStripes="0"/>
</table>
</file>

<file path=xl/tables/table3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9" xr:uid="{59CD0609-47A7-40E8-8975-491FAD233904}" name="AvengerAbilities2310" displayName="AvengerAbilities2310" ref="A7:E10" totalsRowShown="0" headerRowDxfId="236" headerRowBorderDxfId="235" tableBorderDxfId="234" totalsRowBorderDxfId="233">
  <autoFilter ref="A7:E10" xr:uid="{8ADAEE31-4DDA-4DF2-9EAD-04808D53FFC1}"/>
  <tableColumns count="5">
    <tableColumn id="1" xr3:uid="{9E15FF7A-68C3-44D7-9DC3-2DE32A21A7E0}" name="ability"/>
    <tableColumn id="2" xr3:uid="{3EBE7AD4-F1DA-44EB-AA4A-A406DEFDF300}" name="takes" dataDxfId="232">
      <calculatedColumnFormula>M8+M29+M50+M71+M92+M113</calculatedColumnFormula>
    </tableColumn>
    <tableColumn id="3" xr3:uid="{971C0626-644F-408A-ADA7-1D389A0CECFE}" name="wins" dataDxfId="231">
      <calculatedColumnFormula>N8+N29+N50+N71+N92+N113</calculatedColumnFormula>
    </tableColumn>
    <tableColumn id="4" xr3:uid="{5218E7ED-58A4-4A49-951E-ACBC4C4314D2}" name="battles-take-rate" dataDxfId="230">
      <calculatedColumnFormula>IF(SUM(AvengerAbilities2310[[#This Row],[takes]]) &gt; 0,AvengerAbilities2310[[#This Row],[takes]]/SUM(AvengerAbilities2310[takes]),0)</calculatedColumnFormula>
    </tableColumn>
    <tableColumn id="5" xr3:uid="{B7C663A0-4DAC-4941-9D1B-DA130BC98013}" name="take-win-rate" dataDxfId="229">
      <calculatedColumnFormula>IF(AvengerAbilities2310[[#This Row],[takes]]&gt;0,AvengerAbilities2310[[#This Row],[wins]]/AvengerAbilities2310[[#This Row],[takes]],0)</calculatedColumnFormula>
    </tableColumn>
  </tableColumns>
  <tableStyleInfo name="TableStyleMedium2" showFirstColumn="0" showLastColumn="0" showRowStripes="1" showColumnStripes="0"/>
</table>
</file>

<file path=xl/tables/table3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0" xr:uid="{0E0CAE74-EED8-4F42-B291-552E6A055848}" name="AvengerAbilities3311" displayName="AvengerAbilities3311" ref="A12:E15" totalsRowShown="0" headerRowDxfId="228" headerRowBorderDxfId="227" tableBorderDxfId="226" totalsRowBorderDxfId="225">
  <autoFilter ref="A12:E15" xr:uid="{1B0EA3CA-FA8E-4345-B52C-471D5C94AD38}"/>
  <tableColumns count="5">
    <tableColumn id="1" xr3:uid="{3E467C58-1F07-47A8-BED5-2A12AED49BEF}" name="ability"/>
    <tableColumn id="2" xr3:uid="{10FFB8EA-96BB-461C-8CAF-26865B7EA68D}" name="takes" dataDxfId="224">
      <calculatedColumnFormula>M13+M34+M55+M76+M97+M118</calculatedColumnFormula>
    </tableColumn>
    <tableColumn id="3" xr3:uid="{DD3B1868-85F8-4442-AB9F-48E1B64E0697}" name="wins" dataDxfId="223">
      <calculatedColumnFormula>N13+N34+N55+N76+N97+N118</calculatedColumnFormula>
    </tableColumn>
    <tableColumn id="4" xr3:uid="{ECF5A773-90B3-40AF-B185-CE707C190C1D}" name="battles-take-rate" dataDxfId="222">
      <calculatedColumnFormula>IF(SUM(AvengerAbilities3311[[#This Row],[takes]]) &gt; 0,AvengerAbilities3311[[#This Row],[takes]]/SUM(AvengerAbilities3311[takes]),0)</calculatedColumnFormula>
    </tableColumn>
    <tableColumn id="5" xr3:uid="{D65134D0-C04D-4AF1-9132-2A092D07A78C}" name="take-win-rate" dataDxfId="221">
      <calculatedColumnFormula>IF(AvengerAbilities3311[[#This Row],[takes]]&gt;0,AvengerAbilities3311[[#This Row],[wins]]/AvengerAbilities3311[[#This Row],[takes]],0)</calculatedColumnFormula>
    </tableColumn>
  </tableColumns>
  <tableStyleInfo name="TableStyleMedium2" showFirstColumn="0" showLastColumn="0" showRowStripes="1" showColumnStripes="0"/>
</table>
</file>

<file path=xl/tables/table3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1" xr:uid="{E08C3541-37B4-4E01-99E0-8960E22316FF}" name="AvengerAbilities4312" displayName="AvengerAbilities4312" ref="A17:E20" totalsRowShown="0" headerRowDxfId="220" headerRowBorderDxfId="219" tableBorderDxfId="218" totalsRowBorderDxfId="217">
  <autoFilter ref="A17:E20" xr:uid="{2AADA4A0-2F4A-4009-8ECF-0BECA693390C}"/>
  <tableColumns count="5">
    <tableColumn id="1" xr3:uid="{5ADE635E-C89B-49B6-B9C4-203C96F3FF29}" name="ability" dataDxfId="216"/>
    <tableColumn id="2" xr3:uid="{9A986794-20C5-4090-85C5-3A58FCE72D5A}" name="takes" dataDxfId="215">
      <calculatedColumnFormula>M18+M39+M60+M81+M102+M123</calculatedColumnFormula>
    </tableColumn>
    <tableColumn id="3" xr3:uid="{3BB5DBF2-40A1-46C5-99C5-3E880D124F3A}" name="wins" dataDxfId="214">
      <calculatedColumnFormula>N18+N39+N60+N81+N102+N123</calculatedColumnFormula>
    </tableColumn>
    <tableColumn id="4" xr3:uid="{958D8B67-C464-42E3-B105-4458077BF215}" name="battles-take-rate" dataDxfId="213">
      <calculatedColumnFormula>IF(SUM(AvengerAbilities4312[[#This Row],[takes]]) &gt; 0,AvengerAbilities4312[[#This Row],[takes]]/SUM(AvengerAbilities4312[takes]),0)</calculatedColumnFormula>
    </tableColumn>
    <tableColumn id="5" xr3:uid="{1E34F870-A6EA-4054-87B4-88E04AB45EC3}" name="take-win-rate" dataDxfId="212">
      <calculatedColumnFormula>IF(AvengerAbilities4312[[#This Row],[takes]]&gt;0,AvengerAbilities4312[[#This Row],[wins]]/AvengerAbilities4312[[#This Row],[takes]],0)</calculatedColumnFormula>
    </tableColumn>
  </tableColumns>
  <tableStyleInfo name="TableStyleMedium2" showFirstColumn="0" showLastColumn="0" showRowStripes="1" showColumnStripes="0"/>
</table>
</file>

<file path=xl/tables/table3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2" xr:uid="{8C91E791-714D-4D3E-BE17-A4160FC79644}" name="AvengerEquip313" displayName="AvengerEquip313" ref="G2:J5" totalsRowShown="0">
  <autoFilter ref="G2:J5" xr:uid="{C15024E5-2A00-4F8B-BBEB-0FE7A036BC54}"/>
  <tableColumns count="4">
    <tableColumn id="1" xr3:uid="{39BAC21D-7CC3-41A1-AAA8-B66D5E15531F}" name="level"/>
    <tableColumn id="2" xr3:uid="{0546C67A-DE2B-400F-BBCB-4AB99454F6EA}" name="kopis" dataDxfId="211">
      <calculatedColumnFormula>S3+S24+S45+S66+S87+S108</calculatedColumnFormula>
    </tableColumn>
    <tableColumn id="3" xr3:uid="{FA028547-6F6C-4190-9DC7-21612EA1F305}" name="gun" dataDxfId="210">
      <calculatedColumnFormula>T3+T24+T45+T66+T87+T108</calculatedColumnFormula>
    </tableColumn>
    <tableColumn id="4" xr3:uid="{07D35E94-0D8B-4CF5-BC55-D062523209B3}" name="chestpiece" dataDxfId="209">
      <calculatedColumnFormula>U3+U24+U45+U66+U87+U108</calculatedColumnFormula>
    </tableColumn>
  </tableColumns>
  <tableStyleInfo name="TableStyleMedium2" showFirstColumn="0" showLastColumn="0" showRowStripes="1" showColumnStripes="0"/>
</table>
</file>

<file path=xl/tables/table3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3" xr:uid="{6227EF30-DD4C-4DEF-9971-19469847BCE6}" name="AvengerAbilities1Scenario0314" displayName="AvengerAbilities1Scenario0314" ref="L2:P5" totalsRowShown="0">
  <autoFilter ref="L2:P5" xr:uid="{4CDFB74F-734F-4444-929B-80D3797B5492}"/>
  <tableColumns count="5">
    <tableColumn id="2" xr3:uid="{B9AA29D9-097B-4ECE-AA70-EFC66F98355E}" name="ability"/>
    <tableColumn id="6" xr3:uid="{07369A94-AD31-4B0B-A21F-4915DB3ECAFB}" name="takes" dataDxfId="208">
      <calculatedColumnFormula>COUNTIF(Scenario0[winner1-ability1],AvengerAbilities1Scenario0314[[#This Row],[ability]])+COUNTIF(Scenario0[winner2-ability1],AvengerAbilities1Scenario0314[[#This Row],[ability]])+COUNTIF(Scenario0[loser1-ability1],AvengerAbilities1Scenario0314[[#This Row],[ability]])+COUNTIF(Scenario0[loser2-ability1],AvengerAbilities1Scenario0314[[#This Row],[ability]])</calculatedColumnFormula>
    </tableColumn>
    <tableColumn id="4" xr3:uid="{1BFFB4EB-1368-408E-8E3C-BCA8DB4DE001}" name="wins" dataDxfId="207">
      <calculatedColumnFormula>COUNTIF(Scenario0[winner1-ability1],AvengerAbilities1Scenario0314[[#This Row],[ability]])+COUNTIF(Scenario0[winner2-ability1],AvengerAbilities1Scenario0314[[#This Row],[ability]])</calculatedColumnFormula>
    </tableColumn>
    <tableColumn id="5" xr3:uid="{21CCD308-9B87-4609-9AC5-9D4CF750F493}" name="battles-take-rate" dataDxfId="206">
      <calculatedColumnFormula>IF(SUM(AvengerAbilities1Scenario0314[[#This Row],[takes]]) &gt; 0,AvengerAbilities1Scenario0314[[#This Row],[takes]]/SUM(AvengerAbilities1Scenario0314[takes]),0)</calculatedColumnFormula>
    </tableColumn>
    <tableColumn id="7" xr3:uid="{AEAA413B-5538-4D94-A9B4-B7FB3C00D3A5}" name="take-win-rate" dataDxfId="205">
      <calculatedColumnFormula>IF(AvengerAbilities1Scenario0314[[#This Row],[takes]]&gt;0,AvengerAbilities1Scenario0314[[#This Row],[wins]]/AvengerAbilities1Scenario0314[[#This Row],[takes]],0)</calculatedColumnFormula>
    </tableColumn>
  </tableColumns>
  <tableStyleInfo name="TableStyleMedium2" showFirstColumn="0" showLastColumn="0" showRowStripes="1" showColumnStripes="0"/>
</table>
</file>

<file path=xl/tables/table3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4" xr:uid="{91405AC4-1226-470C-B4A0-CC847A67416A}" name="AvengerAbilities2Scenario0315" displayName="AvengerAbilities2Scenario0315" ref="L7:P10" totalsRowShown="0" headerRowDxfId="204" headerRowBorderDxfId="203" tableBorderDxfId="202" totalsRowBorderDxfId="201">
  <autoFilter ref="L7:P10" xr:uid="{07F4368A-34C9-4286-BBA2-89F699718525}"/>
  <tableColumns count="5">
    <tableColumn id="1" xr3:uid="{05166176-C6E4-4134-9BAE-52606568F34F}" name="ability"/>
    <tableColumn id="2" xr3:uid="{D2FBBE64-425C-41C1-8739-536E97264BAD}" name="takes" dataDxfId="200">
      <calculatedColumnFormula>COUNTIF(Scenario0[winner1-ability2],AvengerAbilities2Scenario0315[[#This Row],[ability]])+COUNTIF(Scenario0[winner2-ability2],AvengerAbilities2Scenario0315[[#This Row],[ability]])+COUNTIF(Scenario0[loser1-ability2],AvengerAbilities2Scenario0315[[#This Row],[ability]])+COUNTIF(Scenario0[loser2-ability2],AvengerAbilities2Scenario0315[[#This Row],[ability]])</calculatedColumnFormula>
    </tableColumn>
    <tableColumn id="3" xr3:uid="{59D87518-7245-4476-A2CD-4F8533C95D6F}" name="wins" dataDxfId="199">
      <calculatedColumnFormula>COUNTIF(Scenario0[winner1-ability2],AvengerAbilities2Scenario0315[[#This Row],[ability]])+COUNTIF(Scenario0[winner2-ability2],AvengerAbilities2Scenario0315[[#This Row],[ability]])</calculatedColumnFormula>
    </tableColumn>
    <tableColumn id="4" xr3:uid="{BEE6BA8F-0784-42B5-B6CA-2613E01972D4}" name="battles-take-rate" dataDxfId="198">
      <calculatedColumnFormula>IF(SUM(AvengerAbilities2Scenario0315[[#This Row],[takes]]) &gt; 0,AvengerAbilities2Scenario0315[[#This Row],[takes]]/SUM(AvengerAbilities2Scenario0315[takes]),0)</calculatedColumnFormula>
    </tableColumn>
    <tableColumn id="5" xr3:uid="{342960E0-6AD8-4918-87FE-B90CF32F714C}" name="take-win-rate" dataDxfId="197">
      <calculatedColumnFormula>IF(AvengerAbilities2Scenario0315[[#This Row],[takes]]&gt;0,AvengerAbilities2Scenario0315[[#This Row],[wins]]/AvengerAbilities2Scenario0315[[#This Row],[takes]],0)</calculatedColumnFormula>
    </tableColumn>
  </tableColumns>
  <tableStyleInfo name="TableStyleMedium2" showFirstColumn="0" showLastColumn="0" showRowStripes="1" showColumnStripes="0"/>
</table>
</file>

<file path=xl/tables/table3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5" xr:uid="{9F341C33-88FB-4A6A-A956-130D27E3893D}" name="AvengerAbilities3Scenario0316" displayName="AvengerAbilities3Scenario0316" ref="L12:P15" totalsRowShown="0" headerRowDxfId="196" headerRowBorderDxfId="195" tableBorderDxfId="194" totalsRowBorderDxfId="193">
  <autoFilter ref="L12:P15" xr:uid="{E8520742-705B-4A78-A5FD-1F57726A369B}"/>
  <tableColumns count="5">
    <tableColumn id="1" xr3:uid="{D25D3C6C-B817-4BEF-9677-1C67630ACAC5}" name="ability"/>
    <tableColumn id="2" xr3:uid="{A905A74A-4F9F-4785-ABF6-DAF3BF3B7C0F}" name="takes" dataDxfId="192">
      <calculatedColumnFormula>COUNTIF(Scenario0[winner1-ability3],AvengerAbilities3Scenario0316[[#This Row],[ability]])+COUNTIF(Scenario0[winner2-ability3],AvengerAbilities3Scenario0316[[#This Row],[ability]])+COUNTIF(Scenario0[loser1-ability3],AvengerAbilities3Scenario0316[[#This Row],[ability]])+COUNTIF(Scenario0[loser2-ability3],AvengerAbilities3Scenario0316[[#This Row],[ability]])</calculatedColumnFormula>
    </tableColumn>
    <tableColumn id="3" xr3:uid="{D1CB7175-5CF2-4634-84E5-C60F32B33E1F}" name="wins" dataDxfId="191">
      <calculatedColumnFormula>COUNTIF(Scenario0[winner1-ability3],AvengerAbilities3Scenario0316[[#This Row],[ability]])+COUNTIF(Scenario0[winner2-ability3],AvengerAbilities3Scenario0316[[#This Row],[ability]])</calculatedColumnFormula>
    </tableColumn>
    <tableColumn id="4" xr3:uid="{840A0805-98B5-4C47-8C36-0AFFCF73B881}" name="battles-take-rate" dataDxfId="190">
      <calculatedColumnFormula>IF(SUM(AvengerAbilities3Scenario0316[[#This Row],[takes]]) &gt; 0,AvengerAbilities3Scenario0316[[#This Row],[takes]]/SUM(AvengerAbilities3Scenario0316[takes]),0)</calculatedColumnFormula>
    </tableColumn>
    <tableColumn id="5" xr3:uid="{EB332549-25DE-44DD-B350-9C9D42F324E1}" name="take-win-rate" dataDxfId="189">
      <calculatedColumnFormula>IF(AvengerAbilities3Scenario0316[[#This Row],[takes]]&gt;0,AvengerAbilities3Scenario0316[[#This Row],[wins]]/AvengerAbilities3Scenario0316[[#This Row],[takes]],0)</calculatedColumnFormula>
    </tableColumn>
  </tableColumns>
  <tableStyleInfo name="TableStyleMedium2" showFirstColumn="0" showLastColumn="0" showRowStripes="1" showColumnStripes="0"/>
</table>
</file>

<file path=xl/tables/table3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6" xr:uid="{67A7C5DF-25AA-48D3-A2A8-6B81FB0D84B4}" name="AvengerAbilities4Scenario0317" displayName="AvengerAbilities4Scenario0317" ref="L17:P20" totalsRowShown="0" headerRowDxfId="188" headerRowBorderDxfId="187" tableBorderDxfId="186" totalsRowBorderDxfId="185">
  <autoFilter ref="L17:P20" xr:uid="{01E0B516-A92C-45D4-946B-0FCF2F31D98A}"/>
  <tableColumns count="5">
    <tableColumn id="1" xr3:uid="{2221B5AA-184D-4547-AE38-49FBBDC771A8}" name="ability" dataDxfId="184"/>
    <tableColumn id="2" xr3:uid="{979CE9DB-153B-4F9D-B7F8-C980FF001F50}" name="takes" dataDxfId="183">
      <calculatedColumnFormula>COUNTIF(Scenario0[winner1-ability4],AvengerAbilities4Scenario0317[[#This Row],[ability]])+COUNTIF(Scenario0[winner2-ability4],AvengerAbilities4Scenario0317[[#This Row],[ability]])+COUNTIF(Scenario0[loser1-ability4],AvengerAbilities4Scenario0317[[#This Row],[ability]])+COUNTIF(Scenario0[loser2-ability4],AvengerAbilities4Scenario0317[[#This Row],[ability]])</calculatedColumnFormula>
    </tableColumn>
    <tableColumn id="3" xr3:uid="{EB051B27-FD84-471B-945C-1EB632176955}" name="wins" dataDxfId="182">
      <calculatedColumnFormula>COUNTIF(Scenario0[winner1-ability4],AvengerAbilities4Scenario0317[[#This Row],[ability]])+COUNTIF(Scenario0[winner2-ability4],AvengerAbilities4Scenario0317[[#This Row],[ability]])</calculatedColumnFormula>
    </tableColumn>
    <tableColumn id="4" xr3:uid="{38A24405-FA05-495E-83BC-1B032F5E5972}" name="battles-take-rate" dataDxfId="181">
      <calculatedColumnFormula>IF(SUM(AvengerAbilities4Scenario0317[[#This Row],[takes]]) &gt; 0,AvengerAbilities4Scenario0317[[#This Row],[takes]]/SUM(AvengerAbilities4Scenario0317[takes]),0)</calculatedColumnFormula>
    </tableColumn>
    <tableColumn id="5" xr3:uid="{AAFA2A43-5E78-4C96-B179-69CF55EC1E47}" name="take-win-rate" dataDxfId="180">
      <calculatedColumnFormula>IF(AvengerAbilities4Scenario0317[[#This Row],[takes]]&gt;0,AvengerAbilities4Scenario0317[[#This Row],[wins]]/AvengerAbilities4Scenario0317[[#This Row],[takes]],0)</calculatedColumnFormula>
    </tableColumn>
  </tableColumns>
  <tableStyleInfo name="TableStyleMedium2" showFirstColumn="0" showLastColumn="0" showRowStripes="1" showColumnStripes="0"/>
</table>
</file>

<file path=xl/tables/table3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7" xr:uid="{5B0CE861-D9AE-420E-AA4C-89456EA006D5}" name="AvengerEquipScenario0318" displayName="AvengerEquipScenario0318" ref="R2:U5" totalsRowShown="0">
  <autoFilter ref="R2:U5" xr:uid="{E84D91C4-DFF3-43B9-932F-3FEFFBEA9FF1}"/>
  <tableColumns count="4">
    <tableColumn id="1" xr3:uid="{CB023770-9C37-4EA3-8727-E648E273BC0D}" name="level"/>
    <tableColumn id="2" xr3:uid="{5D426DA4-FD2A-4505-93DA-6E28AA437010}" name="kopis" dataDxfId="179">
      <calculatedColumnFormula>COUNTIFS(Scenario0[winner1],"navarch",Scenario0[winner1-pw],AvengerEquipScenario0318[[#This Row],[level]])+COUNTIFS(Scenario0[winner2],"navarch",Scenario0[winner2-pw],AvengerEquipScenario0318[[#This Row],[level]])+COUNTIFS(Scenario0[loser1],"navarch",Scenario0[loser1-pw],AvengerEquipScenario0318[[#This Row],[level]])+COUNTIFS(Scenario0[loser2],"navarch",Scenario0[loser2-pw],AvengerEquipScenario0318[[#This Row],[level]])</calculatedColumnFormula>
    </tableColumn>
    <tableColumn id="3" xr3:uid="{B1CF9B0B-9BAD-4D09-8297-A700CCC47A1B}" name="gun" dataDxfId="178">
      <calculatedColumnFormula>COUNTIFS(Scenario0[winner1],"navarch",Scenario0[winner1-sw],AvengerEquipScenario0318[[#This Row],[level]])+COUNTIFS(Scenario0[winner2],"navarch",Scenario0[winner2-sw],AvengerEquipScenario0318[[#This Row],[level]])+COUNTIFS(Scenario0[loser1],"navarch",Scenario0[loser1-sw],AvengerEquipScenario0318[[#This Row],[level]])+COUNTIFS(Scenario0[loser2],"navarch",Scenario0[loser2-sw],AvengerEquipScenario0318[[#This Row],[level]])</calculatedColumnFormula>
    </tableColumn>
    <tableColumn id="4" xr3:uid="{C2D3945B-5437-4265-A691-AA4208B51C5F}" name="chestpiece" dataDxfId="177">
      <calculatedColumnFormula>COUNTIFS(Scenario0[winner1],"navarch",Scenario0[winner1-cp],AvengerEquipScenario0318[[#This Row],[level]])+COUNTIFS(Scenario0[winner2],"navarch",Scenario0[winner2-cp],AvengerEquipScenario0318[[#This Row],[level]])+COUNTIFS(Scenario0[loser1],"navarch",Scenario0[loser1-cp],AvengerEquipScenario0318[[#This Row],[level]])+COUNTIFS(Scenario0[loser2],"navarch",Scenario0[loser2-cp],AvengerEquipScenario0318[[#This Row],[level]])</calculatedColumnFormula>
    </tableColumn>
  </tableColumns>
  <tableStyleInfo name="TableStyleMedium2" showFirstColumn="0" showLastColumn="0" showRowStripes="1" showColumnStripes="0"/>
</table>
</file>

<file path=xl/tables/table3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8" xr:uid="{B48315C6-1854-4E2C-9AAE-DA83DDC21431}" name="AvengerAbilities1Scenario1319" displayName="AvengerAbilities1Scenario1319" ref="L23:P26" totalsRowShown="0">
  <autoFilter ref="L23:P26" xr:uid="{A0A97CA7-01BF-4D92-A7D1-F51028CD7758}"/>
  <tableColumns count="5">
    <tableColumn id="2" xr3:uid="{48D63609-92E2-4450-853C-D1E86547660C}" name="ability"/>
    <tableColumn id="6" xr3:uid="{A4CA92C9-1F1D-41A6-847C-935816151FAD}" name="takes" dataDxfId="176">
      <calculatedColumnFormula>COUNTIF(Scenario1[winner1-ability1],AvengerAbilities1Scenario1319[[#This Row],[ability]])+COUNTIF(Scenario1[winner2-ability1],AvengerAbilities1Scenario1319[[#This Row],[ability]])+COUNTIF(Scenario1[loser1-ability1],AvengerAbilities1Scenario1319[[#This Row],[ability]])+COUNTIF(Scenario1[loser2-ability1],AvengerAbilities1Scenario1319[[#This Row],[ability]])</calculatedColumnFormula>
    </tableColumn>
    <tableColumn id="4" xr3:uid="{DC13F8BA-E5BD-4379-AADE-8F38DE8E5431}" name="wins" dataDxfId="175">
      <calculatedColumnFormula>COUNTIF(Scenario1[winner1-ability1],AvengerAbilities1Scenario1319[[#This Row],[ability]])+COUNTIF(Scenario1[winner2-ability1],AvengerAbilities1Scenario1319[[#This Row],[ability]])</calculatedColumnFormula>
    </tableColumn>
    <tableColumn id="5" xr3:uid="{12C9ADAF-E786-483C-9DF9-11C4FC6F87ED}" name="battles-take-rate" dataDxfId="174">
      <calculatedColumnFormula>IF(SUM(AvengerAbilities1Scenario1319[[#This Row],[takes]]) &gt; 0,AvengerAbilities1Scenario1319[[#This Row],[takes]]/SUM(AvengerAbilities1Scenario1319[takes]),0)</calculatedColumnFormula>
    </tableColumn>
    <tableColumn id="7" xr3:uid="{41926A09-020F-48D3-9872-A93ED4198FFF}" name="take-win-rate" dataDxfId="173">
      <calculatedColumnFormula>IF(AvengerAbilities1Scenario1319[[#This Row],[takes]]&gt;0,AvengerAbilities1Scenario1319[[#This Row],[wins]]/AvengerAbilities1Scenario1319[[#This Row],[takes]],0)</calculatedColumnFormula>
    </tableColumn>
  </tableColumns>
  <tableStyleInfo name="TableStyleMedium2" showFirstColumn="0" showLastColumn="0" showRowStripes="1" showColumnStripes="0"/>
</table>
</file>

<file path=xl/tables/table3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9" xr:uid="{248F15F3-DEDB-448D-A9DB-5AC3406EF469}" name="AvengerAbilities2Scenario1320" displayName="AvengerAbilities2Scenario1320" ref="L28:P31" totalsRowShown="0" headerRowDxfId="172" headerRowBorderDxfId="171" tableBorderDxfId="170" totalsRowBorderDxfId="169">
  <autoFilter ref="L28:P31" xr:uid="{A29CF70A-0B84-46BB-A412-712C2F594795}"/>
  <tableColumns count="5">
    <tableColumn id="1" xr3:uid="{CA1EA67D-F538-41B1-B35C-61A1F76C8A8B}" name="ability"/>
    <tableColumn id="2" xr3:uid="{9F58019F-2AD8-4464-8501-937474BAB75A}" name="takes" dataDxfId="168">
      <calculatedColumnFormula>COUNTIF(Scenario1[winner1-ability2],AvengerAbilities2Scenario1320[[#This Row],[ability]])+COUNTIF(Scenario1[winner2-ability2],AvengerAbilities2Scenario1320[[#This Row],[ability]])+COUNTIF(Scenario1[loser1-ability2],AvengerAbilities2Scenario1320[[#This Row],[ability]])+COUNTIF(Scenario1[loser2-ability2],AvengerAbilities2Scenario1320[[#This Row],[ability]])</calculatedColumnFormula>
    </tableColumn>
    <tableColumn id="3" xr3:uid="{79536D49-B924-461A-980E-B68895C49885}" name="wins" dataDxfId="167">
      <calculatedColumnFormula>COUNTIF(Scenario1[winner1-ability2],AvengerAbilities2Scenario1320[[#This Row],[ability]])+COUNTIF(Scenario1[winner2-ability2],AvengerAbilities2Scenario1320[[#This Row],[ability]])</calculatedColumnFormula>
    </tableColumn>
    <tableColumn id="4" xr3:uid="{82AFF21E-0A03-4DAC-9D0D-F7B357065CFE}" name="battles-take-rate" dataDxfId="166">
      <calculatedColumnFormula>IF(SUM(AvengerAbilities2Scenario1320[[#This Row],[takes]]) &gt; 0,AvengerAbilities2Scenario1320[[#This Row],[takes]]/SUM(AvengerAbilities2Scenario1320[takes]),0)</calculatedColumnFormula>
    </tableColumn>
    <tableColumn id="5" xr3:uid="{B84D28DF-098C-4878-ABDF-C2E297A647CB}" name="take-win-rate" dataDxfId="165">
      <calculatedColumnFormula>IF(AvengerAbilities2Scenario1320[[#This Row],[takes]]&gt;0,AvengerAbilities2Scenario1320[[#This Row],[wins]]/AvengerAbilities2Scenario1320[[#This Row],[takes]],0)</calculatedColumnFormula>
    </tableColumn>
  </tableColumns>
  <tableStyleInfo name="TableStyleMedium2" showFirstColumn="0" showLastColumn="0" showRowStripes="1" showColumnStripes="0"/>
</table>
</file>

<file path=xl/tables/table3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0" xr:uid="{91D15A78-57F6-4311-9D61-941AC88C6AEC}" name="AvengerAbilities3Scenario1321" displayName="AvengerAbilities3Scenario1321" ref="L33:P36" totalsRowShown="0" headerRowDxfId="164" headerRowBorderDxfId="163" tableBorderDxfId="162" totalsRowBorderDxfId="161">
  <autoFilter ref="L33:P36" xr:uid="{CBC18F4E-86CD-4BE3-9377-2B862ED3B826}"/>
  <tableColumns count="5">
    <tableColumn id="1" xr3:uid="{E68D90AC-0663-41CB-9D40-FE56AB8F3E44}" name="ability"/>
    <tableColumn id="2" xr3:uid="{969FE619-BE38-41E1-94B1-0BA89351A8B7}" name="takes" dataDxfId="160">
      <calculatedColumnFormula>COUNTIF(Scenario1[winner1-ability3],AvengerAbilities3Scenario1321[[#This Row],[ability]])+COUNTIF(Scenario1[winner2-ability3],AvengerAbilities3Scenario1321[[#This Row],[ability]])+COUNTIF(Scenario1[loser1-ability3],AvengerAbilities3Scenario1321[[#This Row],[ability]])+COUNTIF(Scenario1[loser2-ability3],AvengerAbilities3Scenario1321[[#This Row],[ability]])</calculatedColumnFormula>
    </tableColumn>
    <tableColumn id="3" xr3:uid="{AF981F20-666F-47F0-8BF3-71DBD9B4D74B}" name="wins" dataDxfId="159">
      <calculatedColumnFormula>COUNTIF(Scenario1[winner1-ability3],AvengerAbilities3Scenario1321[[#This Row],[ability]])+COUNTIF(Scenario1[winner2-ability3],AvengerAbilities3Scenario1321[[#This Row],[ability]])</calculatedColumnFormula>
    </tableColumn>
    <tableColumn id="4" xr3:uid="{410B7DA7-FF24-46A8-88D7-6755125E1705}" name="battles-take-rate" dataDxfId="158">
      <calculatedColumnFormula>IF(SUM(AvengerAbilities3Scenario1321[[#This Row],[takes]]) &gt; 0,AvengerAbilities3Scenario1321[[#This Row],[takes]]/SUM(AvengerAbilities3Scenario1321[takes]),0)</calculatedColumnFormula>
    </tableColumn>
    <tableColumn id="5" xr3:uid="{2137D0C4-4F35-42E2-8A3D-2725F2E6EFCB}" name="take-win-rate" dataDxfId="157">
      <calculatedColumnFormula>IF(AvengerAbilities3Scenario1321[[#This Row],[takes]]&gt;0,AvengerAbilities3Scenario1321[[#This Row],[wins]]/AvengerAbilities3Scenario1321[[#This Row],[takes]],0)</calculatedColumnFormula>
    </tableColumn>
  </tableColumns>
  <tableStyleInfo name="TableStyleMedium2" showFirstColumn="0" showLastColumn="0" showRowStripes="1" showColumnStripes="0"/>
</table>
</file>

<file path=xl/tables/table3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1" xr:uid="{17D5814E-ACC3-4A0D-ADE9-852706D11389}" name="AvengerAbilities4Scenario1322" displayName="AvengerAbilities4Scenario1322" ref="L38:P41" totalsRowShown="0" headerRowDxfId="156" headerRowBorderDxfId="155" tableBorderDxfId="154" totalsRowBorderDxfId="153">
  <autoFilter ref="L38:P41" xr:uid="{A1F38E75-59DE-4DB4-B81C-C0322397F6F7}"/>
  <tableColumns count="5">
    <tableColumn id="1" xr3:uid="{BAC705CF-7A36-4711-8265-C8B5856901E0}" name="ability" dataDxfId="152"/>
    <tableColumn id="2" xr3:uid="{F1E28D8D-D41C-4847-9F95-DD8758371DB7}" name="takes" dataDxfId="151">
      <calculatedColumnFormula>COUNTIF(Scenario1[winner1-ability4],AvengerAbilities4Scenario1322[[#This Row],[ability]])+COUNTIF(Scenario1[winner2-ability4],AvengerAbilities4Scenario1322[[#This Row],[ability]])+COUNTIF(Scenario1[loser1-ability4],AvengerAbilities4Scenario1322[[#This Row],[ability]])+COUNTIF(Scenario1[loser2-ability4],AvengerAbilities4Scenario1322[[#This Row],[ability]])</calculatedColumnFormula>
    </tableColumn>
    <tableColumn id="3" xr3:uid="{63F79A2D-0156-4D0B-A1D2-20A22194D7A2}" name="wins" dataDxfId="150">
      <calculatedColumnFormula>COUNTIF(Scenario1[winner1-ability4],AvengerAbilities4Scenario1322[[#This Row],[ability]])+COUNTIF(Scenario1[winner2-ability4],AvengerAbilities4Scenario1322[[#This Row],[ability]])</calculatedColumnFormula>
    </tableColumn>
    <tableColumn id="4" xr3:uid="{C09D80C6-8E23-4684-A737-BBFEBD4714EF}" name="battles-take-rate" dataDxfId="149">
      <calculatedColumnFormula>IF(SUM(AvengerAbilities4Scenario1322[[#This Row],[takes]]) &gt; 0,AvengerAbilities4Scenario1322[[#This Row],[takes]]/SUM(AvengerAbilities4Scenario1322[takes]),0)</calculatedColumnFormula>
    </tableColumn>
    <tableColumn id="5" xr3:uid="{EFC21A6E-F0A4-4C8E-8A93-B0C075825D53}" name="take-win-rate" dataDxfId="148">
      <calculatedColumnFormula>IF(AvengerAbilities4Scenario1322[[#This Row],[takes]]&gt;0,AvengerAbilities4Scenario1322[[#This Row],[wins]]/AvengerAbilities4Scenario1322[[#This Row],[takes]],0)</calculatedColumnFormula>
    </tableColumn>
  </tableColumns>
  <tableStyleInfo name="TableStyleMedium2" showFirstColumn="0" showLastColumn="0" showRowStripes="1" showColumnStripes="0"/>
</table>
</file>

<file path=xl/tables/table3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2" xr:uid="{0B1589B1-4E5A-4BC8-A705-7B482625FF52}" name="AvengerEquipScenario1323" displayName="AvengerEquipScenario1323" ref="R23:U26" totalsRowShown="0">
  <autoFilter ref="R23:U26" xr:uid="{18EECD25-0AE5-4756-B5E1-492D523A2929}"/>
  <tableColumns count="4">
    <tableColumn id="1" xr3:uid="{81FB099B-9444-4725-AA2D-B7CFECDEEAD8}" name="level"/>
    <tableColumn id="2" xr3:uid="{B6AC7BDB-8438-492B-86A1-0E1A9E63CDB9}" name="kopis" dataDxfId="147">
      <calculatedColumnFormula>COUNTIFS(Scenario1[winner1],"navarch",Scenario1[winner1-pw],AvengerEquipScenario1323[[#This Row],[level]])+COUNTIFS(Scenario1[winner2],"navarch",Scenario1[winner2-pw],AvengerEquipScenario1323[[#This Row],[level]])+COUNTIFS(Scenario1[loser1],"navarch",Scenario1[loser1-pw],AvengerEquipScenario1323[[#This Row],[level]])+COUNTIFS(Scenario1[loser2],"navarch",Scenario1[loser2-pw],AvengerEquipScenario1323[[#This Row],[level]])</calculatedColumnFormula>
    </tableColumn>
    <tableColumn id="3" xr3:uid="{68740EF8-9F63-4DC7-8E23-C0E7286744DB}" name="gun" dataDxfId="146">
      <calculatedColumnFormula>COUNTIFS(Scenario1[winner1],"navarch",Scenario1[winner1-sw],AvengerEquipScenario1323[[#This Row],[level]])+COUNTIFS(Scenario1[winner2],"navarch",Scenario1[winner2-sw],AvengerEquipScenario1323[[#This Row],[level]])+COUNTIFS(Scenario1[loser1],"navarch",Scenario1[loser1-sw],AvengerEquipScenario1323[[#This Row],[level]])+COUNTIFS(Scenario1[loser2],"navarch",Scenario1[loser2-sw],AvengerEquipScenario1323[[#This Row],[level]])</calculatedColumnFormula>
    </tableColumn>
    <tableColumn id="4" xr3:uid="{D0430705-CD0E-471A-85AE-4A5294D4713E}" name="chestpiece" dataDxfId="145">
      <calculatedColumnFormula>COUNTIFS(Scenario1[winner1],"navarch",Scenario1[winner1-cp],AvengerEquipScenario1323[[#This Row],[level]])+COUNTIFS(Scenario1[winner2],"navarch",Scenario1[winner2-cp],AvengerEquipScenario1323[[#This Row],[level]])+COUNTIFS(Scenario1[loser1],"navarch",Scenario1[loser1-cp],AvengerEquipScenario1323[[#This Row],[level]])+COUNTIFS(Scenario1[loser2],"navarch",Scenario1[loser2-cp],AvengerEquipScenario1323[[#This Row],[level]])</calculatedColumnFormula>
    </tableColumn>
  </tableColumns>
  <tableStyleInfo name="TableStyleMedium2" showFirstColumn="0" showLastColumn="0" showRowStripes="1" showColumnStripes="0"/>
</table>
</file>

<file path=xl/tables/table3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3" xr:uid="{54CE20FA-7EC7-4086-B099-E80AF5703356}" name="AvengerAbilities1Scenario2324" displayName="AvengerAbilities1Scenario2324" ref="L44:P47" totalsRowShown="0">
  <autoFilter ref="L44:P47" xr:uid="{81D76695-EE53-4A07-9351-842AC55F2540}"/>
  <tableColumns count="5">
    <tableColumn id="2" xr3:uid="{EAC6BED0-5234-49FB-84CE-EC15B29B9421}" name="ability"/>
    <tableColumn id="6" xr3:uid="{35A168CE-E29F-4C8C-A333-6B5EC71E21DE}" name="takes" dataDxfId="144">
      <calculatedColumnFormula>COUNTIF(Scenario2[winner1-ability1],AvengerAbilities1Scenario2324[[#This Row],[ability]])+COUNTIF(Scenario2[loser1-ability1],AvengerAbilities1Scenario2324[[#This Row],[ability]])</calculatedColumnFormula>
    </tableColumn>
    <tableColumn id="4" xr3:uid="{9542E516-994E-404D-9A93-056A9C188131}" name="wins" dataDxfId="143">
      <calculatedColumnFormula>COUNTIF(Scenario2[winner1-ability1],AvengerAbilities1Scenario2324[[#This Row],[ability]])</calculatedColumnFormula>
    </tableColumn>
    <tableColumn id="5" xr3:uid="{81EF5DB3-8607-49C7-9D6F-EDC8CBDBB3BD}" name="battles-take-rate" dataDxfId="142">
      <calculatedColumnFormula>IF(SUM(AvengerAbilities1Scenario2324[[#This Row],[takes]]) &gt; 0,AvengerAbilities1Scenario2324[[#This Row],[takes]]/SUM(AvengerAbilities1Scenario2324[takes]),0)</calculatedColumnFormula>
    </tableColumn>
    <tableColumn id="7" xr3:uid="{D88670B8-BC48-477A-8A8C-A6822043B32B}" name="take-win-rate" dataDxfId="141">
      <calculatedColumnFormula>IF(AvengerAbilities1Scenario2324[[#This Row],[takes]]&gt;0,AvengerAbilities1Scenario2324[[#This Row],[wins]]/AvengerAbilities1Scenario2324[[#This Row],[takes]],0)</calculatedColumnFormula>
    </tableColumn>
  </tableColumns>
  <tableStyleInfo name="TableStyleMedium2" showFirstColumn="0" showLastColumn="0" showRowStripes="1" showColumnStripes="0"/>
</table>
</file>

<file path=xl/tables/table3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4" xr:uid="{6FF34369-9C46-4285-BEF8-187CA8A45050}" name="AvengerAbilities2Scenario2325" displayName="AvengerAbilities2Scenario2325" ref="L49:P52" totalsRowShown="0" headerRowDxfId="140" headerRowBorderDxfId="139" tableBorderDxfId="138" totalsRowBorderDxfId="137">
  <autoFilter ref="L49:P52" xr:uid="{B5828340-8DA1-4B65-ACEB-BDDDED872E64}"/>
  <tableColumns count="5">
    <tableColumn id="1" xr3:uid="{B321C141-AC15-410E-BB08-A3FC36E9F861}" name="ability"/>
    <tableColumn id="2" xr3:uid="{EC136602-E049-4B82-9E18-09D785C13306}" name="takes" dataDxfId="136">
      <calculatedColumnFormula>COUNTIF(Scenario2[winner1-ability2],AvengerAbilities2Scenario2325[[#This Row],[ability]])+COUNTIF(Scenario2[loser1-ability2],AvengerAbilities2Scenario2325[[#This Row],[ability]])</calculatedColumnFormula>
    </tableColumn>
    <tableColumn id="3" xr3:uid="{61194B6A-BA3A-46A6-9BD8-2AB2BAA0DEB8}" name="wins" dataDxfId="135">
      <calculatedColumnFormula>COUNTIF(Scenario2[winner1-ability2],AvengerAbilities2Scenario2325[[#This Row],[ability]])</calculatedColumnFormula>
    </tableColumn>
    <tableColumn id="4" xr3:uid="{0428E882-AFEC-4686-A8D3-87D04423BBB2}" name="battles-take-rate" dataDxfId="134">
      <calculatedColumnFormula>IF(SUM(AvengerAbilities2Scenario2325[[#This Row],[takes]]) &gt; 0,AvengerAbilities2Scenario2325[[#This Row],[takes]]/SUM(AvengerAbilities2Scenario2325[takes]),0)</calculatedColumnFormula>
    </tableColumn>
    <tableColumn id="5" xr3:uid="{A920DD7B-16F6-4B3B-85CC-5FDEE94B8E1A}" name="take-win-rate" dataDxfId="133">
      <calculatedColumnFormula>IF(AvengerAbilities2Scenario2325[[#This Row],[takes]]&gt;0,AvengerAbilities2Scenario2325[[#This Row],[wins]]/AvengerAbilities2Scenario2325[[#This Row],[takes]],0)</calculatedColumnFormula>
    </tableColumn>
  </tableColumns>
  <tableStyleInfo name="TableStyleMedium2" showFirstColumn="0" showLastColumn="0" showRowStripes="1" showColumnStripes="0"/>
</table>
</file>

<file path=xl/tables/table3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5" xr:uid="{CA0DBBFA-59BF-4D26-8CFC-740670BD9DDD}" name="AvengerAbilities3Scenario2326" displayName="AvengerAbilities3Scenario2326" ref="L54:P57" totalsRowShown="0" headerRowDxfId="132" headerRowBorderDxfId="131" tableBorderDxfId="130" totalsRowBorderDxfId="129">
  <autoFilter ref="L54:P57" xr:uid="{34ED10E5-B169-4BBA-8F2C-73FF473D0922}"/>
  <tableColumns count="5">
    <tableColumn id="1" xr3:uid="{DCC6C822-497A-4989-8189-78A70199C263}" name="ability"/>
    <tableColumn id="2" xr3:uid="{B140446A-488E-44E8-AF7A-4F11E88E869C}" name="takes" dataDxfId="128">
      <calculatedColumnFormula>COUNTIF(Scenario2[winner1-ability3],AvengerAbilities3Scenario2326[[#This Row],[ability]])+COUNTIF(Scenario2[loser1-ability3],AvengerAbilities3Scenario2326[[#This Row],[ability]])</calculatedColumnFormula>
    </tableColumn>
    <tableColumn id="3" xr3:uid="{AF786711-417E-4014-A323-215D957B0CDC}" name="wins" dataDxfId="127">
      <calculatedColumnFormula>COUNTIF(Scenario2[winner1-ability3],AvengerAbilities3Scenario2326[[#This Row],[ability]])</calculatedColumnFormula>
    </tableColumn>
    <tableColumn id="4" xr3:uid="{53638BC7-519D-4E1A-9C27-B0ACDBBB95B0}" name="battles-take-rate" dataDxfId="126">
      <calculatedColumnFormula>IF(SUM(AvengerAbilities3Scenario2326[[#This Row],[takes]]) &gt; 0,AvengerAbilities3Scenario2326[[#This Row],[takes]]/SUM(AvengerAbilities3Scenario2326[takes]),0)</calculatedColumnFormula>
    </tableColumn>
    <tableColumn id="5" xr3:uid="{190770EF-65AA-4851-BA17-15035FFECEC0}" name="take-win-rate" dataDxfId="125">
      <calculatedColumnFormula>IF(AvengerAbilities3Scenario2326[[#This Row],[takes]]&gt;0,AvengerAbilities3Scenario2326[[#This Row],[wins]]/AvengerAbilities3Scenario2326[[#This Row],[takes]],0)</calculatedColumnFormula>
    </tableColumn>
  </tableColumns>
  <tableStyleInfo name="TableStyleMedium2" showFirstColumn="0" showLastColumn="0" showRowStripes="1" showColumnStripes="0"/>
</table>
</file>

<file path=xl/tables/table3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6" xr:uid="{EFB6A4BF-39B0-46AE-B424-F9B1C92E87DF}" name="AvengerAbilities4Scenario2327" displayName="AvengerAbilities4Scenario2327" ref="L59:P62" totalsRowShown="0" headerRowDxfId="124" headerRowBorderDxfId="123" tableBorderDxfId="122" totalsRowBorderDxfId="121">
  <autoFilter ref="L59:P62" xr:uid="{DDB7F110-02A6-4F67-8266-251AF48CB7C0}"/>
  <tableColumns count="5">
    <tableColumn id="1" xr3:uid="{AE6286A7-339B-42E8-8C41-8C6F2732A8A5}" name="ability" dataDxfId="120"/>
    <tableColumn id="2" xr3:uid="{C024E4B3-9066-4479-A3BA-513E74B161D6}" name="takes" dataDxfId="119">
      <calculatedColumnFormula>COUNTIF(Scenario2[winner1-ability4],AvengerAbilities4Scenario2327[[#This Row],[ability]])+COUNTIF(Scenario2[loser1-ability4],AvengerAbilities4Scenario2327[[#This Row],[ability]])</calculatedColumnFormula>
    </tableColumn>
    <tableColumn id="3" xr3:uid="{149946B5-92CA-455B-A3F9-660FA33436C4}" name="wins" dataDxfId="118">
      <calculatedColumnFormula>COUNTIF(Scenario2[winner1-ability4],AvengerAbilities4Scenario2327[[#This Row],[ability]])</calculatedColumnFormula>
    </tableColumn>
    <tableColumn id="4" xr3:uid="{A21B9640-9712-44D4-A6F4-DA1CE464908C}" name="battles-take-rate" dataDxfId="117">
      <calculatedColumnFormula>IF(SUM(AvengerAbilities4Scenario2327[[#This Row],[takes]]) &gt; 0,AvengerAbilities4Scenario2327[[#This Row],[takes]]/SUM(AvengerAbilities4Scenario2327[takes]),0)</calculatedColumnFormula>
    </tableColumn>
    <tableColumn id="5" xr3:uid="{145E8CFB-651E-4FA5-B03E-89BE7FE38252}" name="take-win-rate" dataDxfId="116">
      <calculatedColumnFormula>IF(AvengerAbilities4Scenario2327[[#This Row],[takes]]&gt;0,AvengerAbilities4Scenario2327[[#This Row],[wins]]/AvengerAbilities4Scenario2327[[#This Row],[takes]],0)</calculatedColumnFormula>
    </tableColumn>
  </tableColumns>
  <tableStyleInfo name="TableStyleMedium2" showFirstColumn="0" showLastColumn="0" showRowStripes="1" showColumnStripes="0"/>
</table>
</file>

<file path=xl/tables/table3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7" xr:uid="{4F2A7469-D788-4A0B-9703-26E7E5D23D2F}" name="AvengerEquipScenario2328" displayName="AvengerEquipScenario2328" ref="R44:U47" totalsRowShown="0">
  <autoFilter ref="R44:U47" xr:uid="{BDEC3E9D-FA56-4E08-A52D-2A8BEB87833A}"/>
  <tableColumns count="4">
    <tableColumn id="1" xr3:uid="{F8192ACB-F31B-4FA9-8BD6-BB1463C07171}" name="level"/>
    <tableColumn id="2" xr3:uid="{DE3DE7CD-F4AF-42D6-8C5F-6C6D48995F20}" name="kopis" dataDxfId="115">
      <calculatedColumnFormula>COUNTIFS(Scenario2[winner1],"navarch",Scenario2[winner1-pw],AvengerEquipScenario2328[[#This Row],[level]])+COUNTIFS(Scenario2[loser1],"navarch",Scenario2[loser1-pw],AvengerEquipScenario2328[[#This Row],[level]])</calculatedColumnFormula>
    </tableColumn>
    <tableColumn id="3" xr3:uid="{B35245E0-582A-42C0-B89C-EFC0D246B7DA}" name="gun" dataDxfId="114">
      <calculatedColumnFormula>COUNTIFS(Scenario2[winner1],"navarch",Scenario2[winner1-sw],AvengerEquipScenario2328[[#This Row],[level]])+COUNTIFS(Scenario2[loser1],"navarch",Scenario2[loser1-sw],AvengerEquipScenario2328[[#This Row],[level]])</calculatedColumnFormula>
    </tableColumn>
    <tableColumn id="4" xr3:uid="{4C362166-9BFF-4E60-8990-06551A95928A}" name="chestpiece" dataDxfId="113">
      <calculatedColumnFormula>COUNTIFS(Scenario2[winner1],"navarch",Scenario2[winner1-cp],AvengerEquipScenario2328[[#This Row],[level]])+COUNTIFS(Scenario2[loser1],"navarch",Scenario2[loser1-cp],AvengerEquipScenario2328[[#This Row],[level]])</calculatedColumnFormula>
    </tableColumn>
  </tableColumns>
  <tableStyleInfo name="TableStyleMedium2" showFirstColumn="0" showLastColumn="0" showRowStripes="1" showColumnStripes="0"/>
</table>
</file>

<file path=xl/tables/table3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8" xr:uid="{8300B30C-0722-4073-9BFD-0AAB2B367E1D}" name="UpgradeStatistics1926329" displayName="UpgradeStatistics1926329" ref="W1:X11" totalsRowShown="0">
  <autoFilter ref="W1:X11" xr:uid="{212BB833-8AB0-4DDF-BBA3-11AC313A3C95}"/>
  <tableColumns count="2">
    <tableColumn id="1" xr3:uid="{6C3A6A05-DDCD-434D-8A4D-C1F4BB92B0B6}" name="upgrade"/>
    <tableColumn id="3" xr3:uid="{5FC4BEB1-9DF0-455D-BE25-A07AAC472666}" name="rate" dataDxfId="112"/>
  </tableColumns>
  <tableStyleInfo name="TableStyleMedium2" showFirstColumn="0" showLastColumn="0" showRowStripes="1" showColumnStripes="0"/>
</table>
</file>

<file path=xl/tables/table3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9" xr:uid="{6FE08F54-1D60-45B6-AFCF-03098694F2AC}" name="AvengerAbilities1Scenario3330" displayName="AvengerAbilities1Scenario3330" ref="L65:P68" totalsRowShown="0">
  <autoFilter ref="L65:P68" xr:uid="{2C9EEF2E-AFFC-479E-AF80-7B9FC063A95B}"/>
  <tableColumns count="5">
    <tableColumn id="2" xr3:uid="{6FCF55F4-4034-45B7-A76D-AFFF315278F2}" name="ability"/>
    <tableColumn id="6" xr3:uid="{5CFB20D8-AE2D-4DEE-A503-B4246EFF53D7}" name="takes" dataDxfId="111">
      <calculatedColumnFormula>COUNTIF(Scenario3[winner1-ability1],AvengerAbilities1Scenario3330[[#This Row],[ability]])+COUNTIF(Scenario3[loser1-ability1],AvengerAbilities1Scenario3330[[#This Row],[ability]])+COUNTIF(Scenario3[loser2-ability1],AvengerAbilities1Scenario3330[[#This Row],[ability]])</calculatedColumnFormula>
    </tableColumn>
    <tableColumn id="4" xr3:uid="{688FA12A-9610-4854-8A00-AD8B5BEFB393}" name="wins" dataDxfId="110">
      <calculatedColumnFormula>COUNTIF(Scenario3[winner1-ability1],AvengerAbilities1Scenario3330[[#This Row],[ability]])</calculatedColumnFormula>
    </tableColumn>
    <tableColumn id="5" xr3:uid="{15B9DACA-39C9-4763-8C43-3EEFEBE9BB9B}" name="battles-take-rate" dataDxfId="109">
      <calculatedColumnFormula>IF(SUM(AvengerAbilities1Scenario3330[[#This Row],[takes]]) &gt; 0,AvengerAbilities1Scenario3330[[#This Row],[takes]]/SUM(AvengerAbilities1Scenario3330[takes]),0)</calculatedColumnFormula>
    </tableColumn>
    <tableColumn id="7" xr3:uid="{B7106313-1E9F-47DD-9EF8-71F40E430A68}" name="take-win-rate" dataDxfId="108">
      <calculatedColumnFormula>IF(AvengerAbilities1Scenario3330[[#This Row],[takes]]&gt;0,AvengerAbilities1Scenario3330[[#This Row],[wins]]/AvengerAbilities1Scenario3330[[#This Row],[takes]],0)</calculatedColumnFormula>
    </tableColumn>
  </tableColumns>
  <tableStyleInfo name="TableStyleMedium2" showFirstColumn="0" showLastColumn="0" showRowStripes="1" showColumnStripes="0"/>
</table>
</file>

<file path=xl/tables/table3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0" xr:uid="{F63AAAF0-0219-424E-937F-1EAB24846475}" name="AvengerAbilities2Scenario3331" displayName="AvengerAbilities2Scenario3331" ref="L70:P73" totalsRowShown="0" headerRowDxfId="107" headerRowBorderDxfId="106" tableBorderDxfId="105" totalsRowBorderDxfId="104">
  <autoFilter ref="L70:P73" xr:uid="{01CFC75A-EE6F-42E4-A473-DC7F977FD41C}"/>
  <tableColumns count="5">
    <tableColumn id="1" xr3:uid="{F08CB341-206A-40FA-AA7B-AC6B6DB531D6}" name="ability"/>
    <tableColumn id="2" xr3:uid="{5448B9D7-E466-4081-BF59-925D678F1C9C}" name="takes" dataDxfId="103">
      <calculatedColumnFormula>COUNTIF(Scenario3[winner1-ability2],AvengerAbilities2Scenario3331[[#This Row],[ability]])+COUNTIF(Scenario3[loser1-ability2],AvengerAbilities2Scenario3331[[#This Row],[ability]])+COUNTIF(Scenario3[loser2-ability2],AvengerAbilities2Scenario3331[[#This Row],[ability]])</calculatedColumnFormula>
    </tableColumn>
    <tableColumn id="3" xr3:uid="{E1D3D9A3-A9CD-44EC-8FB8-4D28DFFCABAF}" name="wins" dataDxfId="102">
      <calculatedColumnFormula>COUNTIF(Scenario3[winner1-ability2],AvengerAbilities2Scenario3331[[#This Row],[ability]])</calculatedColumnFormula>
    </tableColumn>
    <tableColumn id="4" xr3:uid="{E3A4E81A-DF5F-4B95-AB26-465828D28B51}" name="battles-take-rate" dataDxfId="101">
      <calculatedColumnFormula>IF(SUM(AvengerAbilities2Scenario3331[[#This Row],[takes]]) &gt; 0,AvengerAbilities2Scenario3331[[#This Row],[takes]]/SUM(AvengerAbilities2Scenario3331[takes]),0)</calculatedColumnFormula>
    </tableColumn>
    <tableColumn id="5" xr3:uid="{2096DB70-DBF4-48A5-8700-F16C44AC4201}" name="take-win-rate" dataDxfId="100">
      <calculatedColumnFormula>IF(AvengerAbilities2Scenario3331[[#This Row],[takes]]&gt;0,AvengerAbilities2Scenario3331[[#This Row],[wins]]/AvengerAbilities2Scenario3331[[#This Row],[takes]],0)</calculatedColumnFormula>
    </tableColumn>
  </tableColumns>
  <tableStyleInfo name="TableStyleMedium2" showFirstColumn="0" showLastColumn="0" showRowStripes="1" showColumnStripes="0"/>
</table>
</file>

<file path=xl/tables/table3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1" xr:uid="{2B01ED37-36DF-4CC9-A374-6113D1646395}" name="AvengerAbilities3Scenario3332" displayName="AvengerAbilities3Scenario3332" ref="L75:P78" totalsRowShown="0" headerRowDxfId="99" headerRowBorderDxfId="98" tableBorderDxfId="97" totalsRowBorderDxfId="96">
  <autoFilter ref="L75:P78" xr:uid="{E0198DEC-FCBB-4FA6-B0FC-EB2F9B9D081F}"/>
  <tableColumns count="5">
    <tableColumn id="1" xr3:uid="{9E88676F-6A64-44EF-B3C0-EC3FB05F0960}" name="ability"/>
    <tableColumn id="2" xr3:uid="{7778FC25-C25A-4A96-BFFD-13C3196F725E}" name="takes" dataDxfId="95">
      <calculatedColumnFormula>COUNTIF(Scenario3[winner1-ability3],AvengerAbilities3Scenario3332[[#This Row],[ability]])+COUNTIF(Scenario3[loser1-ability3],AvengerAbilities3Scenario3332[[#This Row],[ability]])+COUNTIF(Scenario3[loser2-ability3],AvengerAbilities3Scenario3332[[#This Row],[ability]])</calculatedColumnFormula>
    </tableColumn>
    <tableColumn id="3" xr3:uid="{BBCE30F3-A644-4564-948B-BA1243AE37CE}" name="wins" dataDxfId="94">
      <calculatedColumnFormula>COUNTIF(Scenario3[winner1-ability3],AvengerAbilities3Scenario3332[[#This Row],[ability]])</calculatedColumnFormula>
    </tableColumn>
    <tableColumn id="4" xr3:uid="{D70927FB-573F-45AE-B323-5C7B49B36C20}" name="battles-take-rate" dataDxfId="93">
      <calculatedColumnFormula>IF(SUM(AvengerAbilities3Scenario3332[[#This Row],[takes]]) &gt; 0,AvengerAbilities3Scenario3332[[#This Row],[takes]]/SUM(AvengerAbilities3Scenario3332[takes]),0)</calculatedColumnFormula>
    </tableColumn>
    <tableColumn id="5" xr3:uid="{44A296F1-8A43-4587-A69A-0292B4A77CD1}" name="take-win-rate" dataDxfId="92">
      <calculatedColumnFormula>IF(AvengerAbilities3Scenario3332[[#This Row],[takes]]&gt;0,AvengerAbilities3Scenario3332[[#This Row],[wins]]/AvengerAbilities3Scenario3332[[#This Row],[takes]],0)</calculatedColumnFormula>
    </tableColumn>
  </tableColumns>
  <tableStyleInfo name="TableStyleMedium2" showFirstColumn="0" showLastColumn="0" showRowStripes="1" showColumnStripes="0"/>
</table>
</file>

<file path=xl/tables/table3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2" xr:uid="{3C536464-FDFF-447F-B849-FA4195F42F6F}" name="AvengerAbilities4Scenario3333" displayName="AvengerAbilities4Scenario3333" ref="L80:P83" totalsRowShown="0" headerRowDxfId="91" headerRowBorderDxfId="90" tableBorderDxfId="89" totalsRowBorderDxfId="88">
  <autoFilter ref="L80:P83" xr:uid="{DFBA6C76-2A45-4005-8A4B-B62B537356D5}"/>
  <tableColumns count="5">
    <tableColumn id="1" xr3:uid="{F082A61F-846F-4BC1-B3F2-3E0624D1F22E}" name="ability" dataDxfId="87"/>
    <tableColumn id="2" xr3:uid="{B1B16773-F1FF-4B0F-878A-C523F950B8C3}" name="takes" dataDxfId="86">
      <calculatedColumnFormula>COUNTIF(Scenario3[winner1-ability4],AvengerAbilities4Scenario3333[[#This Row],[ability]])+COUNTIF(Scenario3[loser1-ability4],AvengerAbilities4Scenario3333[[#This Row],[ability]])+COUNTIF(Scenario3[loser2-ability4],AvengerAbilities4Scenario3333[[#This Row],[ability]])</calculatedColumnFormula>
    </tableColumn>
    <tableColumn id="3" xr3:uid="{74D731BB-10B2-4C9A-AB5A-99F0E8F1D12A}" name="wins" dataDxfId="85">
      <calculatedColumnFormula>COUNTIF(Scenario3[winner1-ability4],AvengerAbilities4Scenario3333[[#This Row],[ability]])</calculatedColumnFormula>
    </tableColumn>
    <tableColumn id="4" xr3:uid="{15BCF8C1-6F32-4786-B8EC-A8D430D9D69A}" name="battles-take-rate" dataDxfId="84">
      <calculatedColumnFormula>IF(SUM(AvengerAbilities4Scenario3333[[#This Row],[takes]]) &gt; 0,AvengerAbilities4Scenario3333[[#This Row],[takes]]/SUM(AvengerAbilities4Scenario3333[takes]),0)</calculatedColumnFormula>
    </tableColumn>
    <tableColumn id="5" xr3:uid="{5187B384-08D1-489F-9C3E-D80CE7A1580E}" name="take-win-rate" dataDxfId="83">
      <calculatedColumnFormula>IF(AvengerAbilities4Scenario3333[[#This Row],[takes]]&gt;0,AvengerAbilities4Scenario3333[[#This Row],[wins]]/AvengerAbilities4Scenario3333[[#This Row],[takes]],0)</calculatedColumnFormula>
    </tableColumn>
  </tableColumns>
  <tableStyleInfo name="TableStyleMedium2" showFirstColumn="0" showLastColumn="0" showRowStripes="1" showColumnStripes="0"/>
</table>
</file>

<file path=xl/tables/table3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3" xr:uid="{7594104E-07DE-4AB2-B090-0AF405083688}" name="AvengerEquipScenario3334" displayName="AvengerEquipScenario3334" ref="R65:U68" totalsRowShown="0">
  <autoFilter ref="R65:U68" xr:uid="{CD519AA8-2FD7-481F-8689-CC94BEAB1F4C}"/>
  <tableColumns count="4">
    <tableColumn id="1" xr3:uid="{BD4DD31D-0B39-4956-89CF-70FE64CB589C}" name="level"/>
    <tableColumn id="2" xr3:uid="{18AAB543-7CB6-43AC-BFD3-5F0201030043}" name="kopis" dataDxfId="82">
      <calculatedColumnFormula>COUNTIFS(Scenario3[winner1],"navarch",Scenario3[winner1-pw],AvengerEquipScenario3334[[#This Row],[level]])+COUNTIFS(Scenario3[loser1],"navarch",Scenario3[loser1-pw],AvengerEquipScenario3334[[#This Row],[level]])+COUNTIFS(Scenario3[loser2],"navarch",Scenario3[loser2-pw],AvengerEquipScenario3334[[#This Row],[level]])</calculatedColumnFormula>
    </tableColumn>
    <tableColumn id="3" xr3:uid="{5539D526-4B2D-4A5B-8EEB-272A22FD3A08}" name="gun" dataDxfId="81">
      <calculatedColumnFormula>COUNTIFS(Scenario3[winner1],"navarch",Scenario3[winner1-sw],AvengerEquipScenario3334[[#This Row],[level]])+COUNTIFS(Scenario3[loser1],"navarch",Scenario3[loser1-sw],AvengerEquipScenario3334[[#This Row],[level]])+COUNTIFS(Scenario3[loser2],"navarch",Scenario3[loser2-sw],AvengerEquipScenario3334[[#This Row],[level]])</calculatedColumnFormula>
    </tableColumn>
    <tableColumn id="4" xr3:uid="{DE3D2F80-0B01-4A75-99C0-D9B15591E0B7}" name="chestpiece" dataDxfId="80">
      <calculatedColumnFormula>COUNTIFS(Scenario3[winner1],"navarch",Scenario3[winner1-cp],AvengerEquipScenario3334[[#This Row],[level]])+COUNTIFS(Scenario3[loser1],"navarch",Scenario3[loser1-cp],AvengerEquipScenario3334[[#This Row],[level]])+COUNTIFS(Scenario3[loser2],"navarch",Scenario3[loser2-cp],AvengerEquipScenario3334[[#This Row],[level]])</calculatedColumnFormula>
    </tableColumn>
  </tableColumns>
  <tableStyleInfo name="TableStyleMedium2" showFirstColumn="0" showLastColumn="0" showRowStripes="1" showColumnStripes="0"/>
</table>
</file>

<file path=xl/tables/table3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4" xr:uid="{09A87953-45AB-4CEC-B391-A89A79EAFDD1}" name="AvengerAbilities1Scenario4335" displayName="AvengerAbilities1Scenario4335" ref="L86:P89" totalsRowShown="0">
  <autoFilter ref="L86:P89" xr:uid="{3062414F-0307-4E31-869D-F4935D589A75}"/>
  <tableColumns count="5">
    <tableColumn id="2" xr3:uid="{DD860F50-8F71-4B20-93C9-3EB42828AD22}" name="ability"/>
    <tableColumn id="6" xr3:uid="{75567355-7571-4914-8989-9B433B9A5123}" name="takes" dataDxfId="79">
      <calculatedColumnFormula>COUNTIF(Scenario4[winner1-ability1],AvengerAbilities1Scenario4335[[#This Row],[ability]])+COUNTIF(Scenario4[loser1-ability1],AvengerAbilities1Scenario4335[[#This Row],[ability]])+COUNTIF(Scenario4[loser2-ability1],AvengerAbilities1Scenario4335[[#This Row],[ability]])+COUNTIF(Scenario4[loser3-ability1],AvengerAbilities1Scenario4335[[#This Row],[ability]])</calculatedColumnFormula>
    </tableColumn>
    <tableColumn id="4" xr3:uid="{94CBC97A-2C27-40DB-A961-00ED1B11D6F0}" name="wins" dataDxfId="78">
      <calculatedColumnFormula>COUNTIF(Scenario4[winner1-ability1],AvengerAbilities1Scenario4335[[#This Row],[ability]])</calculatedColumnFormula>
    </tableColumn>
    <tableColumn id="5" xr3:uid="{AF7F2A5A-45A1-4BCD-80EF-2CBD89F960B3}" name="battles-take-rate" dataDxfId="77">
      <calculatedColumnFormula>IF(SUM(AvengerAbilities1Scenario4335[[#This Row],[takes]]) &gt; 0,AvengerAbilities1Scenario4335[[#This Row],[takes]]/SUM(AvengerAbilities1Scenario4335[takes]),0)</calculatedColumnFormula>
    </tableColumn>
    <tableColumn id="7" xr3:uid="{2303B663-D553-4154-8D00-25D1F8766BED}" name="take-win-rate" dataDxfId="76">
      <calculatedColumnFormula>IF(AvengerAbilities1Scenario4335[[#This Row],[takes]]&gt;0,AvengerAbilities1Scenario4335[[#This Row],[wins]]/AvengerAbilities1Scenario4335[[#This Row],[takes]],0)</calculatedColumnFormula>
    </tableColumn>
  </tableColumns>
  <tableStyleInfo name="TableStyleMedium2" showFirstColumn="0" showLastColumn="0" showRowStripes="1" showColumnStripes="0"/>
</table>
</file>

<file path=xl/tables/table3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5" xr:uid="{D3EC2513-A597-4C6E-A411-801E11A14AE9}" name="AvengerAbilities2Scenario4336" displayName="AvengerAbilities2Scenario4336" ref="L91:P94" totalsRowShown="0" headerRowDxfId="75" headerRowBorderDxfId="74" tableBorderDxfId="73" totalsRowBorderDxfId="72">
  <autoFilter ref="L91:P94" xr:uid="{E4C1192C-838B-412B-8856-5A65351BD147}"/>
  <tableColumns count="5">
    <tableColumn id="1" xr3:uid="{71ED32C2-7B0F-43EE-9AB4-D93FC496C9F6}" name="ability"/>
    <tableColumn id="2" xr3:uid="{EC435F40-A36E-4F61-839F-EBA7015FCF90}" name="takes" dataDxfId="71">
      <calculatedColumnFormula>COUNTIF(Scenario4[winner1-ability2],AvengerAbilities2Scenario4336[[#This Row],[ability]])+COUNTIF(Scenario4[loser1-ability2],AvengerAbilities2Scenario4336[[#This Row],[ability]])+COUNTIF(Scenario4[loser2-ability2],AvengerAbilities2Scenario4336[[#This Row],[ability]])+COUNTIF(Scenario4[loser3-ability2],AvengerAbilities2Scenario4336[[#This Row],[ability]])</calculatedColumnFormula>
    </tableColumn>
    <tableColumn id="3" xr3:uid="{99F6E76E-8F6B-46FC-B29B-820E84676126}" name="wins" dataDxfId="70">
      <calculatedColumnFormula>COUNTIF(Scenario4[winner1-ability2],AvengerAbilities2Scenario4336[[#This Row],[ability]])</calculatedColumnFormula>
    </tableColumn>
    <tableColumn id="4" xr3:uid="{3F328C44-B1E2-4305-A897-2BFA570B22AA}" name="battles-take-rate" dataDxfId="69">
      <calculatedColumnFormula>IF(SUM(AvengerAbilities2Scenario4336[[#This Row],[takes]]) &gt; 0,AvengerAbilities2Scenario4336[[#This Row],[takes]]/SUM(AvengerAbilities2Scenario4336[takes]),0)</calculatedColumnFormula>
    </tableColumn>
    <tableColumn id="5" xr3:uid="{38898A50-5957-49D4-9803-567D1355CE10}" name="take-win-rate" dataDxfId="68">
      <calculatedColumnFormula>IF(AvengerAbilities2Scenario4336[[#This Row],[takes]]&gt;0,AvengerAbilities2Scenario4336[[#This Row],[wins]]/AvengerAbilities2Scenario4336[[#This Row],[takes]],0)</calculatedColumnFormula>
    </tableColumn>
  </tableColumns>
  <tableStyleInfo name="TableStyleMedium2" showFirstColumn="0" showLastColumn="0" showRowStripes="1" showColumnStripes="0"/>
</table>
</file>

<file path=xl/tables/table3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6" xr:uid="{2AC0B0D7-09CB-41E1-8A7D-396002F73481}" name="AvengerAbilities3Scenario4337" displayName="AvengerAbilities3Scenario4337" ref="L96:P99" totalsRowShown="0" headerRowDxfId="67" headerRowBorderDxfId="66" tableBorderDxfId="65" totalsRowBorderDxfId="64">
  <autoFilter ref="L96:P99" xr:uid="{73CD5CF4-EB8D-4510-9AD9-31A7E1F0585E}"/>
  <tableColumns count="5">
    <tableColumn id="1" xr3:uid="{47C04BDC-4D37-405A-A4FC-4592A41D01E5}" name="ability"/>
    <tableColumn id="2" xr3:uid="{DD443CBF-9EE0-4186-8994-E139F58D1D64}" name="takes" dataDxfId="63">
      <calculatedColumnFormula>COUNTIF(Scenario4[winner1-ability3],AvengerAbilities3Scenario4337[[#This Row],[ability]])+COUNTIF(Scenario4[loser1-ability3],AvengerAbilities3Scenario4337[[#This Row],[ability]])+COUNTIF(Scenario4[loser2-ability3],AvengerAbilities3Scenario4337[[#This Row],[ability]])+COUNTIF(Scenario4[loser3-ability3],AvengerAbilities3Scenario4337[[#This Row],[ability]])</calculatedColumnFormula>
    </tableColumn>
    <tableColumn id="3" xr3:uid="{BBB975F7-AFA9-41A9-B2A2-FA41A36E14AB}" name="wins" dataDxfId="62">
      <calculatedColumnFormula>COUNTIF(Scenario4[winner1-ability3],AvengerAbilities3Scenario4337[[#This Row],[ability]])</calculatedColumnFormula>
    </tableColumn>
    <tableColumn id="4" xr3:uid="{8BE0E628-071A-4B10-8710-4E6CEBBD3521}" name="battles-take-rate" dataDxfId="61">
      <calculatedColumnFormula>IF(SUM(AvengerAbilities3Scenario4337[[#This Row],[takes]]) &gt; 0,AvengerAbilities3Scenario4337[[#This Row],[takes]]/SUM(AvengerAbilities3Scenario4337[takes]),0)</calculatedColumnFormula>
    </tableColumn>
    <tableColumn id="5" xr3:uid="{E7F0888D-8126-4F3E-BC9D-9F8560135B16}" name="take-win-rate" dataDxfId="60">
      <calculatedColumnFormula>IF(AvengerAbilities3Scenario4337[[#This Row],[takes]]&gt;0,AvengerAbilities3Scenario4337[[#This Row],[wins]]/AvengerAbilities3Scenario4337[[#This Row],[takes]],0)</calculatedColumnFormula>
    </tableColumn>
  </tableColumns>
  <tableStyleInfo name="TableStyleMedium2" showFirstColumn="0" showLastColumn="0" showRowStripes="1" showColumnStripes="0"/>
</table>
</file>

<file path=xl/tables/table3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7" xr:uid="{20237B98-D2A9-4B22-8BD7-D40D4FDD0180}" name="AvengerAbilities4Scenario4338" displayName="AvengerAbilities4Scenario4338" ref="L101:P104" totalsRowShown="0" headerRowDxfId="59" headerRowBorderDxfId="58" tableBorderDxfId="57" totalsRowBorderDxfId="56">
  <autoFilter ref="L101:P104" xr:uid="{E0C2D5AA-63BE-4431-96B6-ED61F1B43B2C}"/>
  <tableColumns count="5">
    <tableColumn id="1" xr3:uid="{FAABDA20-4060-4702-B3CE-C325D8A799F4}" name="ability" dataDxfId="55"/>
    <tableColumn id="2" xr3:uid="{2CD457A0-E655-45A2-AFE4-4C8FDADACF85}" name="takes" dataDxfId="54">
      <calculatedColumnFormula>COUNTIF(Scenario4[winner1-ability4],AvengerAbilities4Scenario4338[[#This Row],[ability]])+COUNTIF(Scenario4[loser1-ability4],AvengerAbilities4Scenario4338[[#This Row],[ability]])+COUNTIF(Scenario4[loser2-ability4],AvengerAbilities4Scenario4338[[#This Row],[ability]])+COUNTIF(Scenario4[loser3-ability4],AvengerAbilities4Scenario4338[[#This Row],[ability]])</calculatedColumnFormula>
    </tableColumn>
    <tableColumn id="3" xr3:uid="{45EE5FDF-6286-4429-B307-E2A12BF152D4}" name="wins" dataDxfId="53">
      <calculatedColumnFormula>COUNTIF(Scenario4[winner1-ability4],AvengerAbilities4Scenario4338[[#This Row],[ability]])</calculatedColumnFormula>
    </tableColumn>
    <tableColumn id="4" xr3:uid="{05B7E83F-124A-4586-8FAA-C18DD706C39B}" name="battles-take-rate" dataDxfId="52">
      <calculatedColumnFormula>IF(SUM(AvengerAbilities4Scenario4338[[#This Row],[takes]]) &gt; 0,AvengerAbilities4Scenario4338[[#This Row],[takes]]/SUM(AvengerAbilities4Scenario4338[takes]),0)</calculatedColumnFormula>
    </tableColumn>
    <tableColumn id="5" xr3:uid="{EEC85C4D-9654-414A-A516-C6A1FB384079}" name="take-win-rate" dataDxfId="51">
      <calculatedColumnFormula>IF(AvengerAbilities4Scenario4338[[#This Row],[takes]]&gt;0,AvengerAbilities4Scenario4338[[#This Row],[wins]]/AvengerAbilities4Scenario4338[[#This Row],[takes]],0)</calculatedColumnFormula>
    </tableColumn>
  </tableColumns>
  <tableStyleInfo name="TableStyleMedium2" showFirstColumn="0" showLastColumn="0" showRowStripes="1" showColumnStripes="0"/>
</table>
</file>

<file path=xl/tables/table3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8" xr:uid="{3A0D3C27-D8A8-4459-B54D-938278D60E08}" name="AvengerEquipScenario4339" displayName="AvengerEquipScenario4339" ref="R86:U89" totalsRowShown="0">
  <autoFilter ref="R86:U89" xr:uid="{C0AB1F27-C48F-49FC-A367-088923D74917}"/>
  <tableColumns count="4">
    <tableColumn id="1" xr3:uid="{0F8FE760-B106-4841-8132-79DA3D35FFC8}" name="level"/>
    <tableColumn id="2" xr3:uid="{5C24CB61-2DE1-4B5D-908C-3B7C39637DE1}" name="kopis" dataDxfId="50">
      <calculatedColumnFormula>COUNTIFS(Scenario4[winner1],"navarch",Scenario4[winner1-pw],AvengerEquipScenario4339[[#This Row],[level]])+COUNTIFS(Scenario4[loser1],"navarch",Scenario4[loser1-pw],AvengerEquipScenario4339[[#This Row],[level]])+COUNTIFS(Scenario4[loser2],"navarch",Scenario4[loser2-pw],AvengerEquipScenario4339[[#This Row],[level]])+COUNTIFS(Scenario4[loser3],"navarch",Scenario4[loser3-pw],AvengerEquipScenario4339[[#This Row],[level]])</calculatedColumnFormula>
    </tableColumn>
    <tableColumn id="3" xr3:uid="{A0C91939-8AF5-44B8-8954-E5A1B9CF18EC}" name="gun" dataDxfId="49">
      <calculatedColumnFormula>COUNTIFS(Scenario4[winner1],"avenger",Scenario4[winner1-sw],AvengerEquipScenario4339[[#This Row],[level]])+COUNTIFS(Scenario4[loser1],"avenger",Scenario4[loser1-sw],AvengerEquipScenario4339[[#This Row],[level]])+COUNTIFS(Scenario4[loser2],"avenger",Scenario4[loser2-sw],AvengerEquipScenario4339[[#This Row],[level]])+COUNTIFS(Scenario4[loser3],"avenger",Scenario4[loser3-sw],AvengerEquipScenario4339[[#This Row],[level]])</calculatedColumnFormula>
    </tableColumn>
    <tableColumn id="4" xr3:uid="{D223AE86-0DC8-40A7-8CF3-3E63A7F321D8}" name="chestpiece" dataDxfId="48">
      <calculatedColumnFormula>COUNTIFS(Scenario4[winner1],"avenger",Scenario4[winner1-cp],AvengerEquipScenario4339[[#This Row],[level]])+COUNTIFS(Scenario4[loser1],"avenger",Scenario4[loser1-cp],AvengerEquipScenario4339[[#This Row],[level]])+COUNTIFS(Scenario4[loser2],"avenger",Scenario4[loser2-cp],AvengerEquipScenario4339[[#This Row],[level]])+COUNTIFS(Scenario4[loser3],"avenger",Scenario4[loser3-cp],AvengerEquipScenario4339[[#This Row],[level]])</calculatedColumnFormula>
    </tableColumn>
  </tableColumns>
  <tableStyleInfo name="TableStyleMedium2" showFirstColumn="0" showLastColumn="0" showRowStripes="1" showColumnStripes="0"/>
</table>
</file>

<file path=xl/tables/table3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9" xr:uid="{973D9C16-BDBD-4318-8B7E-56A722383658}" name="AvengerAbilities1Scenario5340" displayName="AvengerAbilities1Scenario5340" ref="L107:P110" totalsRowShown="0">
  <autoFilter ref="L107:P110" xr:uid="{A63FB71A-E28D-4CA6-97AB-031ADA5AAAE2}"/>
  <tableColumns count="5">
    <tableColumn id="2" xr3:uid="{47CE7D81-B52E-4AAF-B850-140FE0ABC00F}" name="ability"/>
    <tableColumn id="6" xr3:uid="{0F885D62-B2F4-47F5-899F-95BCA8FC1E83}" name="takes" dataDxfId="47">
      <calculatedColumnFormula>COUNTIF(Scenario5[winner1-ability1],AvengerAbilities1Scenario5340[[#This Row],[ability]])+COUNTIF(Scenario5[winner2-ability1],AvengerAbilities1Scenario5340[[#This Row],[ability]])+COUNTIF(Scenario5[loser1-ability1],AvengerAbilities1Scenario5340[[#This Row],[ability]])+COUNTIF(Scenario5[loser2-ability1],AvengerAbilities1Scenario5340[[#This Row],[ability]])</calculatedColumnFormula>
    </tableColumn>
    <tableColumn id="4" xr3:uid="{09856947-F4B0-4E67-A1DE-46437A0D40C2}" name="wins" dataDxfId="46">
      <calculatedColumnFormula>COUNTIF(Scenario5[winner1-ability1],AvengerAbilities1Scenario5340[[#This Row],[ability]])+COUNTIF(Scenario5[winner2-ability1],AvengerAbilities1Scenario5340[[#This Row],[ability]])</calculatedColumnFormula>
    </tableColumn>
    <tableColumn id="5" xr3:uid="{8C2C4069-196B-4F1C-872C-4A30706488D8}" name="battles-take-rate" dataDxfId="45">
      <calculatedColumnFormula>IF(SUM(AvengerAbilities1Scenario5340[[#This Row],[takes]]) &gt; 0,AvengerAbilities1Scenario5340[[#This Row],[takes]]/SUM(AvengerAbilities1Scenario5340[takes]),0)</calculatedColumnFormula>
    </tableColumn>
    <tableColumn id="7" xr3:uid="{09C142BD-6D0F-46EB-A20B-D559C021C7A3}" name="take-win-rate" dataDxfId="44">
      <calculatedColumnFormula>IF(AvengerAbilities1Scenario5340[[#This Row],[takes]]&gt;0,AvengerAbilities1Scenario5340[[#This Row],[wins]]/AvengerAbilities1Scenario5340[[#This Row],[takes]],0)</calculatedColumnFormula>
    </tableColumn>
  </tableColumns>
  <tableStyleInfo name="TableStyleMedium2" showFirstColumn="0" showLastColumn="0" showRowStripes="1" showColumnStripes="0"/>
</table>
</file>

<file path=xl/tables/table3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0" xr:uid="{232CEE4E-8F87-4E2A-ABA7-8491F9A8EDFE}" name="AvengerAbilities2Scenario5341" displayName="AvengerAbilities2Scenario5341" ref="L112:P115" totalsRowShown="0" headerRowDxfId="43" headerRowBorderDxfId="42" tableBorderDxfId="41" totalsRowBorderDxfId="40">
  <autoFilter ref="L112:P115" xr:uid="{C98A1175-5CEA-4F11-8BEB-DB6DE0ABD439}"/>
  <tableColumns count="5">
    <tableColumn id="1" xr3:uid="{83740E72-1EB8-4326-A1B1-9C3BF17C4AE6}" name="ability"/>
    <tableColumn id="2" xr3:uid="{543A18ED-DE1A-4272-B079-F06D5BF86E0A}" name="takes" dataDxfId="39">
      <calculatedColumnFormula>COUNTIF(Scenario5[winner1-ability2],AvengerAbilities2Scenario5341[[#This Row],[ability]])+COUNTIF(Scenario5[winner2-ability2],AvengerAbilities2Scenario5341[[#This Row],[ability]])+COUNTIF(Scenario5[loser1-ability2],AvengerAbilities2Scenario5341[[#This Row],[ability]])+COUNTIF(Scenario5[loser2-ability2],AvengerAbilities2Scenario5341[[#This Row],[ability]])</calculatedColumnFormula>
    </tableColumn>
    <tableColumn id="3" xr3:uid="{B81FF28F-F259-4CB9-AEE2-EE660619B8DE}" name="wins" dataDxfId="38">
      <calculatedColumnFormula>COUNTIF(Scenario5[winner1-ability2],AvengerAbilities2Scenario5341[[#This Row],[ability]])+COUNTIF(Scenario5[winner2-ability2],AvengerAbilities2Scenario5341[[#This Row],[ability]])</calculatedColumnFormula>
    </tableColumn>
    <tableColumn id="4" xr3:uid="{CA2C5F1E-B713-454B-A4E6-7425DA063041}" name="battles-take-rate" dataDxfId="37">
      <calculatedColumnFormula>IF(SUM(AvengerAbilities2Scenario5341[[#This Row],[takes]]) &gt; 0,AvengerAbilities2Scenario5341[[#This Row],[takes]]/SUM(AvengerAbilities2Scenario5341[takes]),0)</calculatedColumnFormula>
    </tableColumn>
    <tableColumn id="5" xr3:uid="{7AAFA192-B5C6-4DA4-A5F9-401A391D6BA8}" name="take-win-rate" dataDxfId="36">
      <calculatedColumnFormula>IF(AvengerAbilities2Scenario5341[[#This Row],[takes]]&gt;0,AvengerAbilities2Scenario5341[[#This Row],[wins]]/AvengerAbilities2Scenario5341[[#This Row],[takes]],0)</calculatedColumnFormula>
    </tableColumn>
  </tableColumns>
  <tableStyleInfo name="TableStyleMedium2" showFirstColumn="0" showLastColumn="0" showRowStripes="1" showColumnStripes="0"/>
</table>
</file>

<file path=xl/tables/table3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1" xr:uid="{557D9542-F5C4-41EA-A533-AF1894614420}" name="AvengerAbilities3Scenario5342" displayName="AvengerAbilities3Scenario5342" ref="L117:P120" totalsRowShown="0" headerRowDxfId="35" headerRowBorderDxfId="34" tableBorderDxfId="33" totalsRowBorderDxfId="32">
  <autoFilter ref="L117:P120" xr:uid="{AB91CA97-A290-47BB-8CFE-C37C508952F2}"/>
  <tableColumns count="5">
    <tableColumn id="1" xr3:uid="{35642A02-8858-489C-B45D-CAB6FFAFC276}" name="ability"/>
    <tableColumn id="2" xr3:uid="{21B1382A-DA76-42A9-BC4B-F19DCA771CED}" name="takes" dataDxfId="31">
      <calculatedColumnFormula>COUNTIF(Scenario5[winner1-ability3],AvengerAbilities3Scenario5342[[#This Row],[ability]])+COUNTIF(Scenario5[winner2-ability3],AvengerAbilities3Scenario5342[[#This Row],[ability]])+COUNTIF(Scenario5[loser1-ability3],AvengerAbilities3Scenario5342[[#This Row],[ability]])+COUNTIF(Scenario5[loser2-ability3],AvengerAbilities3Scenario5342[[#This Row],[ability]])</calculatedColumnFormula>
    </tableColumn>
    <tableColumn id="3" xr3:uid="{49215BDD-F8E8-4276-8E69-63F780EFA3A0}" name="wins" dataDxfId="30">
      <calculatedColumnFormula>COUNTIF(Scenario5[winner1-ability3],AvengerAbilities3Scenario5342[[#This Row],[ability]])+COUNTIF(Scenario5[winner2-ability3],AvengerAbilities3Scenario5342[[#This Row],[ability]])</calculatedColumnFormula>
    </tableColumn>
    <tableColumn id="4" xr3:uid="{7C9117D5-5A1C-413B-8615-0441CA4C1618}" name="battles-take-rate" dataDxfId="29">
      <calculatedColumnFormula>IF(SUM(AvengerAbilities3Scenario5342[[#This Row],[takes]]) &gt; 0,AvengerAbilities3Scenario5342[[#This Row],[takes]]/SUM(AvengerAbilities3Scenario5342[takes]),0)</calculatedColumnFormula>
    </tableColumn>
    <tableColumn id="5" xr3:uid="{69C97637-E92A-41A1-8033-C4A9A5291A50}" name="take-win-rate" dataDxfId="28">
      <calculatedColumnFormula>IF(AvengerAbilities3Scenario5342[[#This Row],[takes]]&gt;0,AvengerAbilities3Scenario5342[[#This Row],[wins]]/AvengerAbilities3Scenario5342[[#This Row],[takes]],0)</calculatedColumnFormula>
    </tableColumn>
  </tableColumns>
  <tableStyleInfo name="TableStyleMedium2" showFirstColumn="0" showLastColumn="0" showRowStripes="1" showColumnStripes="0"/>
</table>
</file>

<file path=xl/tables/table3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2" xr:uid="{E2A93810-2BDB-4C86-AC2C-0E36E1AA0B83}" name="AvengerAbilities4Scenario5343" displayName="AvengerAbilities4Scenario5343" ref="L122:P125" totalsRowShown="0" headerRowDxfId="27" headerRowBorderDxfId="26" tableBorderDxfId="25" totalsRowBorderDxfId="24">
  <autoFilter ref="L122:P125" xr:uid="{F160D1D4-E2CA-4D0C-84EC-AA2A7E301211}"/>
  <tableColumns count="5">
    <tableColumn id="1" xr3:uid="{13F4CD29-8823-40DF-81F0-0EB140070855}" name="ability" dataDxfId="23"/>
    <tableColumn id="2" xr3:uid="{19703636-AB12-4F54-9CAB-DA7D91D33258}" name="takes" dataDxfId="22">
      <calculatedColumnFormula>COUNTIF(Scenario5[winner1-ability4],AvengerAbilities4Scenario5343[[#This Row],[ability]])+COUNTIF(Scenario5[winner2-ability4],AvengerAbilities4Scenario5343[[#This Row],[ability]])+COUNTIF(Scenario5[loser1-ability4],AvengerAbilities4Scenario5343[[#This Row],[ability]])+COUNTIF(Scenario5[loser2-ability4],AvengerAbilities4Scenario5343[[#This Row],[ability]])</calculatedColumnFormula>
    </tableColumn>
    <tableColumn id="3" xr3:uid="{B4D79C87-D1E7-4C48-8404-25E82620B9FD}" name="wins" dataDxfId="21">
      <calculatedColumnFormula>COUNTIF(Scenario5[winner1-ability4],AvengerAbilities4Scenario5343[[#This Row],[ability]])+COUNTIF(Scenario5[winner2-ability4],AvengerAbilities4Scenario5343[[#This Row],[ability]])</calculatedColumnFormula>
    </tableColumn>
    <tableColumn id="4" xr3:uid="{1A0CA98B-6655-486C-9E1E-D4B3E334167D}" name="battles-take-rate" dataDxfId="20">
      <calculatedColumnFormula>IF(SUM(AvengerAbilities4Scenario5343[[#This Row],[takes]]) &gt; 0,AvengerAbilities4Scenario5343[[#This Row],[takes]]/SUM(AvengerAbilities4Scenario5343[takes]),0)</calculatedColumnFormula>
    </tableColumn>
    <tableColumn id="5" xr3:uid="{ECD26B7D-0245-4CA1-9DFA-83D9AE056984}" name="take-win-rate" dataDxfId="19">
      <calculatedColumnFormula>IF(AvengerAbilities4Scenario5343[[#This Row],[takes]]&gt;0,AvengerAbilities4Scenario5343[[#This Row],[wins]]/AvengerAbilities4Scenario5343[[#This Row],[takes]],0)</calculatedColumnFormula>
    </tableColumn>
  </tableColumns>
  <tableStyleInfo name="TableStyleMedium2" showFirstColumn="0" showLastColumn="0" showRowStripes="1" showColumnStripes="0"/>
</table>
</file>

<file path=xl/tables/table3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3" xr:uid="{34276324-F825-48CE-AF3C-C89401A6795C}" name="AvengerEquipScenario5344" displayName="AvengerEquipScenario5344" ref="R107:U110" totalsRowShown="0">
  <autoFilter ref="R107:U110" xr:uid="{90CBCC98-52A2-41AF-9A51-EA670E4041FF}"/>
  <tableColumns count="4">
    <tableColumn id="1" xr3:uid="{19A5D719-C552-455C-A241-E926633C2FEA}" name="level"/>
    <tableColumn id="2" xr3:uid="{2E67ECA5-8FF5-463B-95C4-8DFC31A298FE}" name="kopis" dataDxfId="18">
      <calculatedColumnFormula>COUNTIFS(Scenario5[winner1],"navarch",Scenario5[winner1-pw],AvengerEquipScenario5344[[#This Row],[level]])+COUNTIFS(Scenario5[winner2],"navarch",Scenario5[winner2-pw],AvengerEquipScenario5344[[#This Row],[level]])+COUNTIFS(Scenario5[loser1],"navarch",Scenario5[loser1-pw],AvengerEquipScenario5344[[#This Row],[level]])+COUNTIFS(Scenario5[loser2],"navarch",Scenario5[loser2-pw],AvengerEquipScenario5344[[#This Row],[level]])</calculatedColumnFormula>
    </tableColumn>
    <tableColumn id="3" xr3:uid="{90B04B0B-216F-4F6C-9338-7BACED58FC47}" name="gun" dataDxfId="17">
      <calculatedColumnFormula>COUNTIFS(Scenario5[winner1],"navarch",Scenario5[winner1-sw],AvengerEquipScenario5344[[#This Row],[level]])+COUNTIFS(Scenario5[winner2],"navarch",Scenario5[winner2-sw],AvengerEquipScenario5344[[#This Row],[level]])+COUNTIFS(Scenario5[loser1],"navarch",Scenario5[loser1-sw],AvengerEquipScenario5344[[#This Row],[level]])+COUNTIFS(Scenario5[loser2],"navarch",Scenario5[loser2-sw],AvengerEquipScenario5344[[#This Row],[level]])</calculatedColumnFormula>
    </tableColumn>
    <tableColumn id="4" xr3:uid="{50266A3A-20E6-4CB7-91E3-8489EC9B788E}" name="chestpiece" dataDxfId="16">
      <calculatedColumnFormula>COUNTIFS(Scenario5[winner1],"navarch",Scenario5[winner1-cp],AvengerEquipScenario5344[[#This Row],[level]])+COUNTIFS(Scenario5[winner2],"navarch",Scenario5[winner2-cp],AvengerEquipScenario5344[[#This Row],[level]])+COUNTIFS(Scenario5[loser1],"navarch",Scenario5[loser1-cp],AvengerEquipScenario5344[[#This Row],[level]])+COUNTIFS(Scenario5[loser2],"navarch",Scenario5[loser2-cp],AvengerEquipScenario5344[[#This Row],[level]])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31.xml"/><Relationship Id="rId18" Type="http://schemas.openxmlformats.org/officeDocument/2006/relationships/table" Target="../tables/table36.xml"/><Relationship Id="rId26" Type="http://schemas.openxmlformats.org/officeDocument/2006/relationships/table" Target="../tables/table44.xml"/><Relationship Id="rId21" Type="http://schemas.openxmlformats.org/officeDocument/2006/relationships/table" Target="../tables/table39.xml"/><Relationship Id="rId34" Type="http://schemas.openxmlformats.org/officeDocument/2006/relationships/table" Target="../tables/table52.xml"/><Relationship Id="rId7" Type="http://schemas.openxmlformats.org/officeDocument/2006/relationships/table" Target="../tables/table25.xml"/><Relationship Id="rId12" Type="http://schemas.openxmlformats.org/officeDocument/2006/relationships/table" Target="../tables/table30.xml"/><Relationship Id="rId17" Type="http://schemas.openxmlformats.org/officeDocument/2006/relationships/table" Target="../tables/table35.xml"/><Relationship Id="rId25" Type="http://schemas.openxmlformats.org/officeDocument/2006/relationships/table" Target="../tables/table43.xml"/><Relationship Id="rId33" Type="http://schemas.openxmlformats.org/officeDocument/2006/relationships/table" Target="../tables/table51.xml"/><Relationship Id="rId2" Type="http://schemas.openxmlformats.org/officeDocument/2006/relationships/table" Target="../tables/table20.xml"/><Relationship Id="rId16" Type="http://schemas.openxmlformats.org/officeDocument/2006/relationships/table" Target="../tables/table34.xml"/><Relationship Id="rId20" Type="http://schemas.openxmlformats.org/officeDocument/2006/relationships/table" Target="../tables/table38.xml"/><Relationship Id="rId29" Type="http://schemas.openxmlformats.org/officeDocument/2006/relationships/table" Target="../tables/table47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24.xml"/><Relationship Id="rId11" Type="http://schemas.openxmlformats.org/officeDocument/2006/relationships/table" Target="../tables/table29.xml"/><Relationship Id="rId24" Type="http://schemas.openxmlformats.org/officeDocument/2006/relationships/table" Target="../tables/table42.xml"/><Relationship Id="rId32" Type="http://schemas.openxmlformats.org/officeDocument/2006/relationships/table" Target="../tables/table50.xml"/><Relationship Id="rId37" Type="http://schemas.openxmlformats.org/officeDocument/2006/relationships/table" Target="../tables/table55.xml"/><Relationship Id="rId5" Type="http://schemas.openxmlformats.org/officeDocument/2006/relationships/table" Target="../tables/table23.xml"/><Relationship Id="rId15" Type="http://schemas.openxmlformats.org/officeDocument/2006/relationships/table" Target="../tables/table33.xml"/><Relationship Id="rId23" Type="http://schemas.openxmlformats.org/officeDocument/2006/relationships/table" Target="../tables/table41.xml"/><Relationship Id="rId28" Type="http://schemas.openxmlformats.org/officeDocument/2006/relationships/table" Target="../tables/table46.xml"/><Relationship Id="rId36" Type="http://schemas.openxmlformats.org/officeDocument/2006/relationships/table" Target="../tables/table54.xml"/><Relationship Id="rId10" Type="http://schemas.openxmlformats.org/officeDocument/2006/relationships/table" Target="../tables/table28.xml"/><Relationship Id="rId19" Type="http://schemas.openxmlformats.org/officeDocument/2006/relationships/table" Target="../tables/table37.xml"/><Relationship Id="rId31" Type="http://schemas.openxmlformats.org/officeDocument/2006/relationships/table" Target="../tables/table49.xml"/><Relationship Id="rId4" Type="http://schemas.openxmlformats.org/officeDocument/2006/relationships/table" Target="../tables/table22.xml"/><Relationship Id="rId9" Type="http://schemas.openxmlformats.org/officeDocument/2006/relationships/table" Target="../tables/table27.xml"/><Relationship Id="rId14" Type="http://schemas.openxmlformats.org/officeDocument/2006/relationships/table" Target="../tables/table32.xml"/><Relationship Id="rId22" Type="http://schemas.openxmlformats.org/officeDocument/2006/relationships/table" Target="../tables/table40.xml"/><Relationship Id="rId27" Type="http://schemas.openxmlformats.org/officeDocument/2006/relationships/table" Target="../tables/table45.xml"/><Relationship Id="rId30" Type="http://schemas.openxmlformats.org/officeDocument/2006/relationships/table" Target="../tables/table48.xml"/><Relationship Id="rId35" Type="http://schemas.openxmlformats.org/officeDocument/2006/relationships/table" Target="../tables/table53.xml"/><Relationship Id="rId8" Type="http://schemas.openxmlformats.org/officeDocument/2006/relationships/table" Target="../tables/table26.xml"/><Relationship Id="rId3" Type="http://schemas.openxmlformats.org/officeDocument/2006/relationships/table" Target="../tables/table21.xm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67.xml"/><Relationship Id="rId18" Type="http://schemas.openxmlformats.org/officeDocument/2006/relationships/table" Target="../tables/table72.xml"/><Relationship Id="rId26" Type="http://schemas.openxmlformats.org/officeDocument/2006/relationships/table" Target="../tables/table80.xml"/><Relationship Id="rId21" Type="http://schemas.openxmlformats.org/officeDocument/2006/relationships/table" Target="../tables/table75.xml"/><Relationship Id="rId34" Type="http://schemas.openxmlformats.org/officeDocument/2006/relationships/table" Target="../tables/table88.xml"/><Relationship Id="rId7" Type="http://schemas.openxmlformats.org/officeDocument/2006/relationships/table" Target="../tables/table61.xml"/><Relationship Id="rId12" Type="http://schemas.openxmlformats.org/officeDocument/2006/relationships/table" Target="../tables/table66.xml"/><Relationship Id="rId17" Type="http://schemas.openxmlformats.org/officeDocument/2006/relationships/table" Target="../tables/table71.xml"/><Relationship Id="rId25" Type="http://schemas.openxmlformats.org/officeDocument/2006/relationships/table" Target="../tables/table79.xml"/><Relationship Id="rId33" Type="http://schemas.openxmlformats.org/officeDocument/2006/relationships/table" Target="../tables/table87.xml"/><Relationship Id="rId2" Type="http://schemas.openxmlformats.org/officeDocument/2006/relationships/table" Target="../tables/table56.xml"/><Relationship Id="rId16" Type="http://schemas.openxmlformats.org/officeDocument/2006/relationships/table" Target="../tables/table70.xml"/><Relationship Id="rId20" Type="http://schemas.openxmlformats.org/officeDocument/2006/relationships/table" Target="../tables/table74.xml"/><Relationship Id="rId29" Type="http://schemas.openxmlformats.org/officeDocument/2006/relationships/table" Target="../tables/table8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60.xml"/><Relationship Id="rId11" Type="http://schemas.openxmlformats.org/officeDocument/2006/relationships/table" Target="../tables/table65.xml"/><Relationship Id="rId24" Type="http://schemas.openxmlformats.org/officeDocument/2006/relationships/table" Target="../tables/table78.xml"/><Relationship Id="rId32" Type="http://schemas.openxmlformats.org/officeDocument/2006/relationships/table" Target="../tables/table86.xml"/><Relationship Id="rId37" Type="http://schemas.openxmlformats.org/officeDocument/2006/relationships/table" Target="../tables/table91.xml"/><Relationship Id="rId5" Type="http://schemas.openxmlformats.org/officeDocument/2006/relationships/table" Target="../tables/table59.xml"/><Relationship Id="rId15" Type="http://schemas.openxmlformats.org/officeDocument/2006/relationships/table" Target="../tables/table69.xml"/><Relationship Id="rId23" Type="http://schemas.openxmlformats.org/officeDocument/2006/relationships/table" Target="../tables/table77.xml"/><Relationship Id="rId28" Type="http://schemas.openxmlformats.org/officeDocument/2006/relationships/table" Target="../tables/table82.xml"/><Relationship Id="rId36" Type="http://schemas.openxmlformats.org/officeDocument/2006/relationships/table" Target="../tables/table90.xml"/><Relationship Id="rId10" Type="http://schemas.openxmlformats.org/officeDocument/2006/relationships/table" Target="../tables/table64.xml"/><Relationship Id="rId19" Type="http://schemas.openxmlformats.org/officeDocument/2006/relationships/table" Target="../tables/table73.xml"/><Relationship Id="rId31" Type="http://schemas.openxmlformats.org/officeDocument/2006/relationships/table" Target="../tables/table85.xml"/><Relationship Id="rId4" Type="http://schemas.openxmlformats.org/officeDocument/2006/relationships/table" Target="../tables/table58.xml"/><Relationship Id="rId9" Type="http://schemas.openxmlformats.org/officeDocument/2006/relationships/table" Target="../tables/table63.xml"/><Relationship Id="rId14" Type="http://schemas.openxmlformats.org/officeDocument/2006/relationships/table" Target="../tables/table68.xml"/><Relationship Id="rId22" Type="http://schemas.openxmlformats.org/officeDocument/2006/relationships/table" Target="../tables/table76.xml"/><Relationship Id="rId27" Type="http://schemas.openxmlformats.org/officeDocument/2006/relationships/table" Target="../tables/table81.xml"/><Relationship Id="rId30" Type="http://schemas.openxmlformats.org/officeDocument/2006/relationships/table" Target="../tables/table84.xml"/><Relationship Id="rId35" Type="http://schemas.openxmlformats.org/officeDocument/2006/relationships/table" Target="../tables/table89.xml"/><Relationship Id="rId8" Type="http://schemas.openxmlformats.org/officeDocument/2006/relationships/table" Target="../tables/table62.xml"/><Relationship Id="rId3" Type="http://schemas.openxmlformats.org/officeDocument/2006/relationships/table" Target="../tables/table57.xm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03.xml"/><Relationship Id="rId18" Type="http://schemas.openxmlformats.org/officeDocument/2006/relationships/table" Target="../tables/table108.xml"/><Relationship Id="rId26" Type="http://schemas.openxmlformats.org/officeDocument/2006/relationships/table" Target="../tables/table116.xml"/><Relationship Id="rId21" Type="http://schemas.openxmlformats.org/officeDocument/2006/relationships/table" Target="../tables/table111.xml"/><Relationship Id="rId34" Type="http://schemas.openxmlformats.org/officeDocument/2006/relationships/table" Target="../tables/table124.xml"/><Relationship Id="rId7" Type="http://schemas.openxmlformats.org/officeDocument/2006/relationships/table" Target="../tables/table97.xml"/><Relationship Id="rId12" Type="http://schemas.openxmlformats.org/officeDocument/2006/relationships/table" Target="../tables/table102.xml"/><Relationship Id="rId17" Type="http://schemas.openxmlformats.org/officeDocument/2006/relationships/table" Target="../tables/table107.xml"/><Relationship Id="rId25" Type="http://schemas.openxmlformats.org/officeDocument/2006/relationships/table" Target="../tables/table115.xml"/><Relationship Id="rId33" Type="http://schemas.openxmlformats.org/officeDocument/2006/relationships/table" Target="../tables/table123.xml"/><Relationship Id="rId2" Type="http://schemas.openxmlformats.org/officeDocument/2006/relationships/table" Target="../tables/table92.xml"/><Relationship Id="rId16" Type="http://schemas.openxmlformats.org/officeDocument/2006/relationships/table" Target="../tables/table106.xml"/><Relationship Id="rId20" Type="http://schemas.openxmlformats.org/officeDocument/2006/relationships/table" Target="../tables/table110.xml"/><Relationship Id="rId29" Type="http://schemas.openxmlformats.org/officeDocument/2006/relationships/table" Target="../tables/table119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96.xml"/><Relationship Id="rId11" Type="http://schemas.openxmlformats.org/officeDocument/2006/relationships/table" Target="../tables/table101.xml"/><Relationship Id="rId24" Type="http://schemas.openxmlformats.org/officeDocument/2006/relationships/table" Target="../tables/table114.xml"/><Relationship Id="rId32" Type="http://schemas.openxmlformats.org/officeDocument/2006/relationships/table" Target="../tables/table122.xml"/><Relationship Id="rId37" Type="http://schemas.openxmlformats.org/officeDocument/2006/relationships/table" Target="../tables/table127.xml"/><Relationship Id="rId5" Type="http://schemas.openxmlformats.org/officeDocument/2006/relationships/table" Target="../tables/table95.xml"/><Relationship Id="rId15" Type="http://schemas.openxmlformats.org/officeDocument/2006/relationships/table" Target="../tables/table105.xml"/><Relationship Id="rId23" Type="http://schemas.openxmlformats.org/officeDocument/2006/relationships/table" Target="../tables/table113.xml"/><Relationship Id="rId28" Type="http://schemas.openxmlformats.org/officeDocument/2006/relationships/table" Target="../tables/table118.xml"/><Relationship Id="rId36" Type="http://schemas.openxmlformats.org/officeDocument/2006/relationships/table" Target="../tables/table126.xml"/><Relationship Id="rId10" Type="http://schemas.openxmlformats.org/officeDocument/2006/relationships/table" Target="../tables/table100.xml"/><Relationship Id="rId19" Type="http://schemas.openxmlformats.org/officeDocument/2006/relationships/table" Target="../tables/table109.xml"/><Relationship Id="rId31" Type="http://schemas.openxmlformats.org/officeDocument/2006/relationships/table" Target="../tables/table121.xml"/><Relationship Id="rId4" Type="http://schemas.openxmlformats.org/officeDocument/2006/relationships/table" Target="../tables/table94.xml"/><Relationship Id="rId9" Type="http://schemas.openxmlformats.org/officeDocument/2006/relationships/table" Target="../tables/table99.xml"/><Relationship Id="rId14" Type="http://schemas.openxmlformats.org/officeDocument/2006/relationships/table" Target="../tables/table104.xml"/><Relationship Id="rId22" Type="http://schemas.openxmlformats.org/officeDocument/2006/relationships/table" Target="../tables/table112.xml"/><Relationship Id="rId27" Type="http://schemas.openxmlformats.org/officeDocument/2006/relationships/table" Target="../tables/table117.xml"/><Relationship Id="rId30" Type="http://schemas.openxmlformats.org/officeDocument/2006/relationships/table" Target="../tables/table120.xml"/><Relationship Id="rId35" Type="http://schemas.openxmlformats.org/officeDocument/2006/relationships/table" Target="../tables/table125.xml"/><Relationship Id="rId8" Type="http://schemas.openxmlformats.org/officeDocument/2006/relationships/table" Target="../tables/table98.xml"/><Relationship Id="rId3" Type="http://schemas.openxmlformats.org/officeDocument/2006/relationships/table" Target="../tables/table93.xm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9.xml"/><Relationship Id="rId18" Type="http://schemas.openxmlformats.org/officeDocument/2006/relationships/table" Target="../tables/table144.xml"/><Relationship Id="rId26" Type="http://schemas.openxmlformats.org/officeDocument/2006/relationships/table" Target="../tables/table152.xml"/><Relationship Id="rId21" Type="http://schemas.openxmlformats.org/officeDocument/2006/relationships/table" Target="../tables/table147.xml"/><Relationship Id="rId34" Type="http://schemas.openxmlformats.org/officeDocument/2006/relationships/table" Target="../tables/table160.xml"/><Relationship Id="rId7" Type="http://schemas.openxmlformats.org/officeDocument/2006/relationships/table" Target="../tables/table133.xml"/><Relationship Id="rId12" Type="http://schemas.openxmlformats.org/officeDocument/2006/relationships/table" Target="../tables/table138.xml"/><Relationship Id="rId17" Type="http://schemas.openxmlformats.org/officeDocument/2006/relationships/table" Target="../tables/table143.xml"/><Relationship Id="rId25" Type="http://schemas.openxmlformats.org/officeDocument/2006/relationships/table" Target="../tables/table151.xml"/><Relationship Id="rId33" Type="http://schemas.openxmlformats.org/officeDocument/2006/relationships/table" Target="../tables/table159.xml"/><Relationship Id="rId2" Type="http://schemas.openxmlformats.org/officeDocument/2006/relationships/table" Target="../tables/table128.xml"/><Relationship Id="rId16" Type="http://schemas.openxmlformats.org/officeDocument/2006/relationships/table" Target="../tables/table142.xml"/><Relationship Id="rId20" Type="http://schemas.openxmlformats.org/officeDocument/2006/relationships/table" Target="../tables/table146.xml"/><Relationship Id="rId29" Type="http://schemas.openxmlformats.org/officeDocument/2006/relationships/table" Target="../tables/table155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132.xml"/><Relationship Id="rId11" Type="http://schemas.openxmlformats.org/officeDocument/2006/relationships/table" Target="../tables/table137.xml"/><Relationship Id="rId24" Type="http://schemas.openxmlformats.org/officeDocument/2006/relationships/table" Target="../tables/table150.xml"/><Relationship Id="rId32" Type="http://schemas.openxmlformats.org/officeDocument/2006/relationships/table" Target="../tables/table158.xml"/><Relationship Id="rId37" Type="http://schemas.openxmlformats.org/officeDocument/2006/relationships/table" Target="../tables/table163.xml"/><Relationship Id="rId5" Type="http://schemas.openxmlformats.org/officeDocument/2006/relationships/table" Target="../tables/table131.xml"/><Relationship Id="rId15" Type="http://schemas.openxmlformats.org/officeDocument/2006/relationships/table" Target="../tables/table141.xml"/><Relationship Id="rId23" Type="http://schemas.openxmlformats.org/officeDocument/2006/relationships/table" Target="../tables/table149.xml"/><Relationship Id="rId28" Type="http://schemas.openxmlformats.org/officeDocument/2006/relationships/table" Target="../tables/table154.xml"/><Relationship Id="rId36" Type="http://schemas.openxmlformats.org/officeDocument/2006/relationships/table" Target="../tables/table162.xml"/><Relationship Id="rId10" Type="http://schemas.openxmlformats.org/officeDocument/2006/relationships/table" Target="../tables/table136.xml"/><Relationship Id="rId19" Type="http://schemas.openxmlformats.org/officeDocument/2006/relationships/table" Target="../tables/table145.xml"/><Relationship Id="rId31" Type="http://schemas.openxmlformats.org/officeDocument/2006/relationships/table" Target="../tables/table157.xml"/><Relationship Id="rId4" Type="http://schemas.openxmlformats.org/officeDocument/2006/relationships/table" Target="../tables/table130.xml"/><Relationship Id="rId9" Type="http://schemas.openxmlformats.org/officeDocument/2006/relationships/table" Target="../tables/table135.xml"/><Relationship Id="rId14" Type="http://schemas.openxmlformats.org/officeDocument/2006/relationships/table" Target="../tables/table140.xml"/><Relationship Id="rId22" Type="http://schemas.openxmlformats.org/officeDocument/2006/relationships/table" Target="../tables/table148.xml"/><Relationship Id="rId27" Type="http://schemas.openxmlformats.org/officeDocument/2006/relationships/table" Target="../tables/table153.xml"/><Relationship Id="rId30" Type="http://schemas.openxmlformats.org/officeDocument/2006/relationships/table" Target="../tables/table156.xml"/><Relationship Id="rId35" Type="http://schemas.openxmlformats.org/officeDocument/2006/relationships/table" Target="../tables/table161.xml"/><Relationship Id="rId8" Type="http://schemas.openxmlformats.org/officeDocument/2006/relationships/table" Target="../tables/table134.xml"/><Relationship Id="rId3" Type="http://schemas.openxmlformats.org/officeDocument/2006/relationships/table" Target="../tables/table129.xm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75.xml"/><Relationship Id="rId18" Type="http://schemas.openxmlformats.org/officeDocument/2006/relationships/table" Target="../tables/table180.xml"/><Relationship Id="rId26" Type="http://schemas.openxmlformats.org/officeDocument/2006/relationships/table" Target="../tables/table188.xml"/><Relationship Id="rId21" Type="http://schemas.openxmlformats.org/officeDocument/2006/relationships/table" Target="../tables/table183.xml"/><Relationship Id="rId34" Type="http://schemas.openxmlformats.org/officeDocument/2006/relationships/table" Target="../tables/table196.xml"/><Relationship Id="rId7" Type="http://schemas.openxmlformats.org/officeDocument/2006/relationships/table" Target="../tables/table169.xml"/><Relationship Id="rId12" Type="http://schemas.openxmlformats.org/officeDocument/2006/relationships/table" Target="../tables/table174.xml"/><Relationship Id="rId17" Type="http://schemas.openxmlformats.org/officeDocument/2006/relationships/table" Target="../tables/table179.xml"/><Relationship Id="rId25" Type="http://schemas.openxmlformats.org/officeDocument/2006/relationships/table" Target="../tables/table187.xml"/><Relationship Id="rId33" Type="http://schemas.openxmlformats.org/officeDocument/2006/relationships/table" Target="../tables/table195.xml"/><Relationship Id="rId2" Type="http://schemas.openxmlformats.org/officeDocument/2006/relationships/table" Target="../tables/table164.xml"/><Relationship Id="rId16" Type="http://schemas.openxmlformats.org/officeDocument/2006/relationships/table" Target="../tables/table178.xml"/><Relationship Id="rId20" Type="http://schemas.openxmlformats.org/officeDocument/2006/relationships/table" Target="../tables/table182.xml"/><Relationship Id="rId29" Type="http://schemas.openxmlformats.org/officeDocument/2006/relationships/table" Target="../tables/table191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168.xml"/><Relationship Id="rId11" Type="http://schemas.openxmlformats.org/officeDocument/2006/relationships/table" Target="../tables/table173.xml"/><Relationship Id="rId24" Type="http://schemas.openxmlformats.org/officeDocument/2006/relationships/table" Target="../tables/table186.xml"/><Relationship Id="rId32" Type="http://schemas.openxmlformats.org/officeDocument/2006/relationships/table" Target="../tables/table194.xml"/><Relationship Id="rId37" Type="http://schemas.openxmlformats.org/officeDocument/2006/relationships/table" Target="../tables/table199.xml"/><Relationship Id="rId5" Type="http://schemas.openxmlformats.org/officeDocument/2006/relationships/table" Target="../tables/table167.xml"/><Relationship Id="rId15" Type="http://schemas.openxmlformats.org/officeDocument/2006/relationships/table" Target="../tables/table177.xml"/><Relationship Id="rId23" Type="http://schemas.openxmlformats.org/officeDocument/2006/relationships/table" Target="../tables/table185.xml"/><Relationship Id="rId28" Type="http://schemas.openxmlformats.org/officeDocument/2006/relationships/table" Target="../tables/table190.xml"/><Relationship Id="rId36" Type="http://schemas.openxmlformats.org/officeDocument/2006/relationships/table" Target="../tables/table198.xml"/><Relationship Id="rId10" Type="http://schemas.openxmlformats.org/officeDocument/2006/relationships/table" Target="../tables/table172.xml"/><Relationship Id="rId19" Type="http://schemas.openxmlformats.org/officeDocument/2006/relationships/table" Target="../tables/table181.xml"/><Relationship Id="rId31" Type="http://schemas.openxmlformats.org/officeDocument/2006/relationships/table" Target="../tables/table193.xml"/><Relationship Id="rId4" Type="http://schemas.openxmlformats.org/officeDocument/2006/relationships/table" Target="../tables/table166.xml"/><Relationship Id="rId9" Type="http://schemas.openxmlformats.org/officeDocument/2006/relationships/table" Target="../tables/table171.xml"/><Relationship Id="rId14" Type="http://schemas.openxmlformats.org/officeDocument/2006/relationships/table" Target="../tables/table176.xml"/><Relationship Id="rId22" Type="http://schemas.openxmlformats.org/officeDocument/2006/relationships/table" Target="../tables/table184.xml"/><Relationship Id="rId27" Type="http://schemas.openxmlformats.org/officeDocument/2006/relationships/table" Target="../tables/table189.xml"/><Relationship Id="rId30" Type="http://schemas.openxmlformats.org/officeDocument/2006/relationships/table" Target="../tables/table192.xml"/><Relationship Id="rId35" Type="http://schemas.openxmlformats.org/officeDocument/2006/relationships/table" Target="../tables/table197.xml"/><Relationship Id="rId8" Type="http://schemas.openxmlformats.org/officeDocument/2006/relationships/table" Target="../tables/table170.xml"/><Relationship Id="rId3" Type="http://schemas.openxmlformats.org/officeDocument/2006/relationships/table" Target="../tables/table165.xm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211.xml"/><Relationship Id="rId18" Type="http://schemas.openxmlformats.org/officeDocument/2006/relationships/table" Target="../tables/table216.xml"/><Relationship Id="rId26" Type="http://schemas.openxmlformats.org/officeDocument/2006/relationships/table" Target="../tables/table224.xml"/><Relationship Id="rId21" Type="http://schemas.openxmlformats.org/officeDocument/2006/relationships/table" Target="../tables/table219.xml"/><Relationship Id="rId34" Type="http://schemas.openxmlformats.org/officeDocument/2006/relationships/table" Target="../tables/table232.xml"/><Relationship Id="rId7" Type="http://schemas.openxmlformats.org/officeDocument/2006/relationships/table" Target="../tables/table205.xml"/><Relationship Id="rId12" Type="http://schemas.openxmlformats.org/officeDocument/2006/relationships/table" Target="../tables/table210.xml"/><Relationship Id="rId17" Type="http://schemas.openxmlformats.org/officeDocument/2006/relationships/table" Target="../tables/table215.xml"/><Relationship Id="rId25" Type="http://schemas.openxmlformats.org/officeDocument/2006/relationships/table" Target="../tables/table223.xml"/><Relationship Id="rId33" Type="http://schemas.openxmlformats.org/officeDocument/2006/relationships/table" Target="../tables/table231.xml"/><Relationship Id="rId2" Type="http://schemas.openxmlformats.org/officeDocument/2006/relationships/table" Target="../tables/table200.xml"/><Relationship Id="rId16" Type="http://schemas.openxmlformats.org/officeDocument/2006/relationships/table" Target="../tables/table214.xml"/><Relationship Id="rId20" Type="http://schemas.openxmlformats.org/officeDocument/2006/relationships/table" Target="../tables/table218.xml"/><Relationship Id="rId29" Type="http://schemas.openxmlformats.org/officeDocument/2006/relationships/table" Target="../tables/table227.xml"/><Relationship Id="rId1" Type="http://schemas.openxmlformats.org/officeDocument/2006/relationships/printerSettings" Target="../printerSettings/printerSettings14.bin"/><Relationship Id="rId6" Type="http://schemas.openxmlformats.org/officeDocument/2006/relationships/table" Target="../tables/table204.xml"/><Relationship Id="rId11" Type="http://schemas.openxmlformats.org/officeDocument/2006/relationships/table" Target="../tables/table209.xml"/><Relationship Id="rId24" Type="http://schemas.openxmlformats.org/officeDocument/2006/relationships/table" Target="../tables/table222.xml"/><Relationship Id="rId32" Type="http://schemas.openxmlformats.org/officeDocument/2006/relationships/table" Target="../tables/table230.xml"/><Relationship Id="rId37" Type="http://schemas.openxmlformats.org/officeDocument/2006/relationships/table" Target="../tables/table235.xml"/><Relationship Id="rId5" Type="http://schemas.openxmlformats.org/officeDocument/2006/relationships/table" Target="../tables/table203.xml"/><Relationship Id="rId15" Type="http://schemas.openxmlformats.org/officeDocument/2006/relationships/table" Target="../tables/table213.xml"/><Relationship Id="rId23" Type="http://schemas.openxmlformats.org/officeDocument/2006/relationships/table" Target="../tables/table221.xml"/><Relationship Id="rId28" Type="http://schemas.openxmlformats.org/officeDocument/2006/relationships/table" Target="../tables/table226.xml"/><Relationship Id="rId36" Type="http://schemas.openxmlformats.org/officeDocument/2006/relationships/table" Target="../tables/table234.xml"/><Relationship Id="rId10" Type="http://schemas.openxmlformats.org/officeDocument/2006/relationships/table" Target="../tables/table208.xml"/><Relationship Id="rId19" Type="http://schemas.openxmlformats.org/officeDocument/2006/relationships/table" Target="../tables/table217.xml"/><Relationship Id="rId31" Type="http://schemas.openxmlformats.org/officeDocument/2006/relationships/table" Target="../tables/table229.xml"/><Relationship Id="rId4" Type="http://schemas.openxmlformats.org/officeDocument/2006/relationships/table" Target="../tables/table202.xml"/><Relationship Id="rId9" Type="http://schemas.openxmlformats.org/officeDocument/2006/relationships/table" Target="../tables/table207.xml"/><Relationship Id="rId14" Type="http://schemas.openxmlformats.org/officeDocument/2006/relationships/table" Target="../tables/table212.xml"/><Relationship Id="rId22" Type="http://schemas.openxmlformats.org/officeDocument/2006/relationships/table" Target="../tables/table220.xml"/><Relationship Id="rId27" Type="http://schemas.openxmlformats.org/officeDocument/2006/relationships/table" Target="../tables/table225.xml"/><Relationship Id="rId30" Type="http://schemas.openxmlformats.org/officeDocument/2006/relationships/table" Target="../tables/table228.xml"/><Relationship Id="rId35" Type="http://schemas.openxmlformats.org/officeDocument/2006/relationships/table" Target="../tables/table233.xml"/><Relationship Id="rId8" Type="http://schemas.openxmlformats.org/officeDocument/2006/relationships/table" Target="../tables/table206.xml"/><Relationship Id="rId3" Type="http://schemas.openxmlformats.org/officeDocument/2006/relationships/table" Target="../tables/table201.xm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247.xml"/><Relationship Id="rId18" Type="http://schemas.openxmlformats.org/officeDocument/2006/relationships/table" Target="../tables/table252.xml"/><Relationship Id="rId26" Type="http://schemas.openxmlformats.org/officeDocument/2006/relationships/table" Target="../tables/table260.xml"/><Relationship Id="rId21" Type="http://schemas.openxmlformats.org/officeDocument/2006/relationships/table" Target="../tables/table255.xml"/><Relationship Id="rId34" Type="http://schemas.openxmlformats.org/officeDocument/2006/relationships/table" Target="../tables/table268.xml"/><Relationship Id="rId7" Type="http://schemas.openxmlformats.org/officeDocument/2006/relationships/table" Target="../tables/table241.xml"/><Relationship Id="rId12" Type="http://schemas.openxmlformats.org/officeDocument/2006/relationships/table" Target="../tables/table246.xml"/><Relationship Id="rId17" Type="http://schemas.openxmlformats.org/officeDocument/2006/relationships/table" Target="../tables/table251.xml"/><Relationship Id="rId25" Type="http://schemas.openxmlformats.org/officeDocument/2006/relationships/table" Target="../tables/table259.xml"/><Relationship Id="rId33" Type="http://schemas.openxmlformats.org/officeDocument/2006/relationships/table" Target="../tables/table267.xml"/><Relationship Id="rId2" Type="http://schemas.openxmlformats.org/officeDocument/2006/relationships/table" Target="../tables/table236.xml"/><Relationship Id="rId16" Type="http://schemas.openxmlformats.org/officeDocument/2006/relationships/table" Target="../tables/table250.xml"/><Relationship Id="rId20" Type="http://schemas.openxmlformats.org/officeDocument/2006/relationships/table" Target="../tables/table254.xml"/><Relationship Id="rId29" Type="http://schemas.openxmlformats.org/officeDocument/2006/relationships/table" Target="../tables/table263.xml"/><Relationship Id="rId1" Type="http://schemas.openxmlformats.org/officeDocument/2006/relationships/printerSettings" Target="../printerSettings/printerSettings15.bin"/><Relationship Id="rId6" Type="http://schemas.openxmlformats.org/officeDocument/2006/relationships/table" Target="../tables/table240.xml"/><Relationship Id="rId11" Type="http://schemas.openxmlformats.org/officeDocument/2006/relationships/table" Target="../tables/table245.xml"/><Relationship Id="rId24" Type="http://schemas.openxmlformats.org/officeDocument/2006/relationships/table" Target="../tables/table258.xml"/><Relationship Id="rId32" Type="http://schemas.openxmlformats.org/officeDocument/2006/relationships/table" Target="../tables/table266.xml"/><Relationship Id="rId37" Type="http://schemas.openxmlformats.org/officeDocument/2006/relationships/table" Target="../tables/table271.xml"/><Relationship Id="rId5" Type="http://schemas.openxmlformats.org/officeDocument/2006/relationships/table" Target="../tables/table239.xml"/><Relationship Id="rId15" Type="http://schemas.openxmlformats.org/officeDocument/2006/relationships/table" Target="../tables/table249.xml"/><Relationship Id="rId23" Type="http://schemas.openxmlformats.org/officeDocument/2006/relationships/table" Target="../tables/table257.xml"/><Relationship Id="rId28" Type="http://schemas.openxmlformats.org/officeDocument/2006/relationships/table" Target="../tables/table262.xml"/><Relationship Id="rId36" Type="http://schemas.openxmlformats.org/officeDocument/2006/relationships/table" Target="../tables/table270.xml"/><Relationship Id="rId10" Type="http://schemas.openxmlformats.org/officeDocument/2006/relationships/table" Target="../tables/table244.xml"/><Relationship Id="rId19" Type="http://schemas.openxmlformats.org/officeDocument/2006/relationships/table" Target="../tables/table253.xml"/><Relationship Id="rId31" Type="http://schemas.openxmlformats.org/officeDocument/2006/relationships/table" Target="../tables/table265.xml"/><Relationship Id="rId4" Type="http://schemas.openxmlformats.org/officeDocument/2006/relationships/table" Target="../tables/table238.xml"/><Relationship Id="rId9" Type="http://schemas.openxmlformats.org/officeDocument/2006/relationships/table" Target="../tables/table243.xml"/><Relationship Id="rId14" Type="http://schemas.openxmlformats.org/officeDocument/2006/relationships/table" Target="../tables/table248.xml"/><Relationship Id="rId22" Type="http://schemas.openxmlformats.org/officeDocument/2006/relationships/table" Target="../tables/table256.xml"/><Relationship Id="rId27" Type="http://schemas.openxmlformats.org/officeDocument/2006/relationships/table" Target="../tables/table261.xml"/><Relationship Id="rId30" Type="http://schemas.openxmlformats.org/officeDocument/2006/relationships/table" Target="../tables/table264.xml"/><Relationship Id="rId35" Type="http://schemas.openxmlformats.org/officeDocument/2006/relationships/table" Target="../tables/table269.xml"/><Relationship Id="rId8" Type="http://schemas.openxmlformats.org/officeDocument/2006/relationships/table" Target="../tables/table242.xml"/><Relationship Id="rId3" Type="http://schemas.openxmlformats.org/officeDocument/2006/relationships/table" Target="../tables/table237.xm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283.xml"/><Relationship Id="rId18" Type="http://schemas.openxmlformats.org/officeDocument/2006/relationships/table" Target="../tables/table288.xml"/><Relationship Id="rId26" Type="http://schemas.openxmlformats.org/officeDocument/2006/relationships/table" Target="../tables/table296.xml"/><Relationship Id="rId21" Type="http://schemas.openxmlformats.org/officeDocument/2006/relationships/table" Target="../tables/table291.xml"/><Relationship Id="rId34" Type="http://schemas.openxmlformats.org/officeDocument/2006/relationships/table" Target="../tables/table304.xml"/><Relationship Id="rId7" Type="http://schemas.openxmlformats.org/officeDocument/2006/relationships/table" Target="../tables/table277.xml"/><Relationship Id="rId12" Type="http://schemas.openxmlformats.org/officeDocument/2006/relationships/table" Target="../tables/table282.xml"/><Relationship Id="rId17" Type="http://schemas.openxmlformats.org/officeDocument/2006/relationships/table" Target="../tables/table287.xml"/><Relationship Id="rId25" Type="http://schemas.openxmlformats.org/officeDocument/2006/relationships/table" Target="../tables/table295.xml"/><Relationship Id="rId33" Type="http://schemas.openxmlformats.org/officeDocument/2006/relationships/table" Target="../tables/table303.xml"/><Relationship Id="rId2" Type="http://schemas.openxmlformats.org/officeDocument/2006/relationships/table" Target="../tables/table272.xml"/><Relationship Id="rId16" Type="http://schemas.openxmlformats.org/officeDocument/2006/relationships/table" Target="../tables/table286.xml"/><Relationship Id="rId20" Type="http://schemas.openxmlformats.org/officeDocument/2006/relationships/table" Target="../tables/table290.xml"/><Relationship Id="rId29" Type="http://schemas.openxmlformats.org/officeDocument/2006/relationships/table" Target="../tables/table299.xml"/><Relationship Id="rId1" Type="http://schemas.openxmlformats.org/officeDocument/2006/relationships/printerSettings" Target="../printerSettings/printerSettings16.bin"/><Relationship Id="rId6" Type="http://schemas.openxmlformats.org/officeDocument/2006/relationships/table" Target="../tables/table276.xml"/><Relationship Id="rId11" Type="http://schemas.openxmlformats.org/officeDocument/2006/relationships/table" Target="../tables/table281.xml"/><Relationship Id="rId24" Type="http://schemas.openxmlformats.org/officeDocument/2006/relationships/table" Target="../tables/table294.xml"/><Relationship Id="rId32" Type="http://schemas.openxmlformats.org/officeDocument/2006/relationships/table" Target="../tables/table302.xml"/><Relationship Id="rId37" Type="http://schemas.openxmlformats.org/officeDocument/2006/relationships/table" Target="../tables/table307.xml"/><Relationship Id="rId5" Type="http://schemas.openxmlformats.org/officeDocument/2006/relationships/table" Target="../tables/table275.xml"/><Relationship Id="rId15" Type="http://schemas.openxmlformats.org/officeDocument/2006/relationships/table" Target="../tables/table285.xml"/><Relationship Id="rId23" Type="http://schemas.openxmlformats.org/officeDocument/2006/relationships/table" Target="../tables/table293.xml"/><Relationship Id="rId28" Type="http://schemas.openxmlformats.org/officeDocument/2006/relationships/table" Target="../tables/table298.xml"/><Relationship Id="rId36" Type="http://schemas.openxmlformats.org/officeDocument/2006/relationships/table" Target="../tables/table306.xml"/><Relationship Id="rId10" Type="http://schemas.openxmlformats.org/officeDocument/2006/relationships/table" Target="../tables/table280.xml"/><Relationship Id="rId19" Type="http://schemas.openxmlformats.org/officeDocument/2006/relationships/table" Target="../tables/table289.xml"/><Relationship Id="rId31" Type="http://schemas.openxmlformats.org/officeDocument/2006/relationships/table" Target="../tables/table301.xml"/><Relationship Id="rId4" Type="http://schemas.openxmlformats.org/officeDocument/2006/relationships/table" Target="../tables/table274.xml"/><Relationship Id="rId9" Type="http://schemas.openxmlformats.org/officeDocument/2006/relationships/table" Target="../tables/table279.xml"/><Relationship Id="rId14" Type="http://schemas.openxmlformats.org/officeDocument/2006/relationships/table" Target="../tables/table284.xml"/><Relationship Id="rId22" Type="http://schemas.openxmlformats.org/officeDocument/2006/relationships/table" Target="../tables/table292.xml"/><Relationship Id="rId27" Type="http://schemas.openxmlformats.org/officeDocument/2006/relationships/table" Target="../tables/table297.xml"/><Relationship Id="rId30" Type="http://schemas.openxmlformats.org/officeDocument/2006/relationships/table" Target="../tables/table300.xml"/><Relationship Id="rId35" Type="http://schemas.openxmlformats.org/officeDocument/2006/relationships/table" Target="../tables/table305.xml"/><Relationship Id="rId8" Type="http://schemas.openxmlformats.org/officeDocument/2006/relationships/table" Target="../tables/table278.xml"/><Relationship Id="rId3" Type="http://schemas.openxmlformats.org/officeDocument/2006/relationships/table" Target="../tables/table273.xm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319.xml"/><Relationship Id="rId18" Type="http://schemas.openxmlformats.org/officeDocument/2006/relationships/table" Target="../tables/table324.xml"/><Relationship Id="rId26" Type="http://schemas.openxmlformats.org/officeDocument/2006/relationships/table" Target="../tables/table332.xml"/><Relationship Id="rId21" Type="http://schemas.openxmlformats.org/officeDocument/2006/relationships/table" Target="../tables/table327.xml"/><Relationship Id="rId34" Type="http://schemas.openxmlformats.org/officeDocument/2006/relationships/table" Target="../tables/table340.xml"/><Relationship Id="rId7" Type="http://schemas.openxmlformats.org/officeDocument/2006/relationships/table" Target="../tables/table313.xml"/><Relationship Id="rId12" Type="http://schemas.openxmlformats.org/officeDocument/2006/relationships/table" Target="../tables/table318.xml"/><Relationship Id="rId17" Type="http://schemas.openxmlformats.org/officeDocument/2006/relationships/table" Target="../tables/table323.xml"/><Relationship Id="rId25" Type="http://schemas.openxmlformats.org/officeDocument/2006/relationships/table" Target="../tables/table331.xml"/><Relationship Id="rId33" Type="http://schemas.openxmlformats.org/officeDocument/2006/relationships/table" Target="../tables/table339.xml"/><Relationship Id="rId2" Type="http://schemas.openxmlformats.org/officeDocument/2006/relationships/table" Target="../tables/table308.xml"/><Relationship Id="rId16" Type="http://schemas.openxmlformats.org/officeDocument/2006/relationships/table" Target="../tables/table322.xml"/><Relationship Id="rId20" Type="http://schemas.openxmlformats.org/officeDocument/2006/relationships/table" Target="../tables/table326.xml"/><Relationship Id="rId29" Type="http://schemas.openxmlformats.org/officeDocument/2006/relationships/table" Target="../tables/table335.xml"/><Relationship Id="rId1" Type="http://schemas.openxmlformats.org/officeDocument/2006/relationships/printerSettings" Target="../printerSettings/printerSettings17.bin"/><Relationship Id="rId6" Type="http://schemas.openxmlformats.org/officeDocument/2006/relationships/table" Target="../tables/table312.xml"/><Relationship Id="rId11" Type="http://schemas.openxmlformats.org/officeDocument/2006/relationships/table" Target="../tables/table317.xml"/><Relationship Id="rId24" Type="http://schemas.openxmlformats.org/officeDocument/2006/relationships/table" Target="../tables/table330.xml"/><Relationship Id="rId32" Type="http://schemas.openxmlformats.org/officeDocument/2006/relationships/table" Target="../tables/table338.xml"/><Relationship Id="rId37" Type="http://schemas.openxmlformats.org/officeDocument/2006/relationships/table" Target="../tables/table343.xml"/><Relationship Id="rId5" Type="http://schemas.openxmlformats.org/officeDocument/2006/relationships/table" Target="../tables/table311.xml"/><Relationship Id="rId15" Type="http://schemas.openxmlformats.org/officeDocument/2006/relationships/table" Target="../tables/table321.xml"/><Relationship Id="rId23" Type="http://schemas.openxmlformats.org/officeDocument/2006/relationships/table" Target="../tables/table329.xml"/><Relationship Id="rId28" Type="http://schemas.openxmlformats.org/officeDocument/2006/relationships/table" Target="../tables/table334.xml"/><Relationship Id="rId36" Type="http://schemas.openxmlformats.org/officeDocument/2006/relationships/table" Target="../tables/table342.xml"/><Relationship Id="rId10" Type="http://schemas.openxmlformats.org/officeDocument/2006/relationships/table" Target="../tables/table316.xml"/><Relationship Id="rId19" Type="http://schemas.openxmlformats.org/officeDocument/2006/relationships/table" Target="../tables/table325.xml"/><Relationship Id="rId31" Type="http://schemas.openxmlformats.org/officeDocument/2006/relationships/table" Target="../tables/table337.xml"/><Relationship Id="rId4" Type="http://schemas.openxmlformats.org/officeDocument/2006/relationships/table" Target="../tables/table310.xml"/><Relationship Id="rId9" Type="http://schemas.openxmlformats.org/officeDocument/2006/relationships/table" Target="../tables/table315.xml"/><Relationship Id="rId14" Type="http://schemas.openxmlformats.org/officeDocument/2006/relationships/table" Target="../tables/table320.xml"/><Relationship Id="rId22" Type="http://schemas.openxmlformats.org/officeDocument/2006/relationships/table" Target="../tables/table328.xml"/><Relationship Id="rId27" Type="http://schemas.openxmlformats.org/officeDocument/2006/relationships/table" Target="../tables/table333.xml"/><Relationship Id="rId30" Type="http://schemas.openxmlformats.org/officeDocument/2006/relationships/table" Target="../tables/table336.xml"/><Relationship Id="rId35" Type="http://schemas.openxmlformats.org/officeDocument/2006/relationships/table" Target="../tables/table341.xml"/><Relationship Id="rId8" Type="http://schemas.openxmlformats.org/officeDocument/2006/relationships/table" Target="../tables/table314.xml"/><Relationship Id="rId3" Type="http://schemas.openxmlformats.org/officeDocument/2006/relationships/table" Target="../tables/table30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9"/>
  <sheetViews>
    <sheetView topLeftCell="A346" workbookViewId="0">
      <selection activeCell="A2" sqref="A2:AJ379"/>
    </sheetView>
  </sheetViews>
  <sheetFormatPr defaultRowHeight="15" x14ac:dyDescent="0.25"/>
  <cols>
    <col min="1" max="1" width="38.42578125" bestFit="1" customWidth="1"/>
    <col min="2" max="2" width="8.28515625" bestFit="1" customWidth="1"/>
    <col min="3" max="3" width="11.42578125" bestFit="1" customWidth="1"/>
    <col min="4" max="4" width="14" hidden="1" customWidth="1"/>
    <col min="5" max="5" width="13.7109375" hidden="1" customWidth="1"/>
    <col min="6" max="6" width="13.28515625" hidden="1" customWidth="1"/>
    <col min="7" max="7" width="18.42578125" hidden="1" customWidth="1"/>
    <col min="8" max="8" width="19.140625" hidden="1" customWidth="1"/>
    <col min="9" max="9" width="18" hidden="1" customWidth="1"/>
    <col min="10" max="10" width="18.42578125" hidden="1" customWidth="1"/>
    <col min="11" max="11" width="11.42578125" bestFit="1" customWidth="1"/>
    <col min="12" max="12" width="14" hidden="1" customWidth="1"/>
    <col min="13" max="13" width="13.7109375" hidden="1" customWidth="1"/>
    <col min="14" max="14" width="13.28515625" hidden="1" customWidth="1"/>
    <col min="15" max="15" width="18.42578125" hidden="1" customWidth="1"/>
    <col min="16" max="16" width="19.140625" hidden="1" customWidth="1"/>
    <col min="17" max="17" width="19.42578125" hidden="1" customWidth="1"/>
    <col min="18" max="18" width="18" hidden="1" customWidth="1"/>
    <col min="19" max="19" width="11.42578125" bestFit="1" customWidth="1"/>
    <col min="20" max="20" width="12.140625" hidden="1" customWidth="1"/>
    <col min="21" max="21" width="11.85546875" hidden="1" customWidth="1"/>
    <col min="22" max="22" width="11.42578125" hidden="1" customWidth="1"/>
    <col min="23" max="23" width="18.42578125" hidden="1" customWidth="1"/>
    <col min="24" max="24" width="18.7109375" hidden="1" customWidth="1"/>
    <col min="25" max="25" width="20.7109375" hidden="1" customWidth="1"/>
    <col min="26" max="26" width="17.28515625" hidden="1" customWidth="1"/>
    <col min="27" max="27" width="11.42578125" bestFit="1" customWidth="1"/>
    <col min="28" max="28" width="12.140625" hidden="1" customWidth="1"/>
    <col min="29" max="29" width="11.85546875" hidden="1" customWidth="1"/>
    <col min="30" max="30" width="11.42578125" hidden="1" customWidth="1"/>
    <col min="31" max="31" width="24" hidden="1" customWidth="1"/>
    <col min="32" max="32" width="19.140625" hidden="1" customWidth="1"/>
    <col min="33" max="33" width="19.42578125" hidden="1" customWidth="1"/>
    <col min="34" max="34" width="16.140625" hidden="1" customWidth="1"/>
    <col min="35" max="35" width="9.85546875" bestFit="1" customWidth="1"/>
    <col min="36" max="36" width="7.85546875" bestFit="1" customWidth="1"/>
  </cols>
  <sheetData>
    <row r="1" spans="1:36" x14ac:dyDescent="0.25">
      <c r="A1" t="s">
        <v>0</v>
      </c>
      <c r="B1" t="s">
        <v>173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119</v>
      </c>
      <c r="AG1" t="s">
        <v>30</v>
      </c>
      <c r="AH1" t="s">
        <v>31</v>
      </c>
      <c r="AI1" t="s">
        <v>64</v>
      </c>
      <c r="AJ1" t="s">
        <v>32</v>
      </c>
    </row>
    <row r="2" spans="1:36" x14ac:dyDescent="0.25">
      <c r="A2" t="s">
        <v>246</v>
      </c>
      <c r="B2">
        <v>0</v>
      </c>
      <c r="C2" t="s">
        <v>48</v>
      </c>
      <c r="D2">
        <v>1</v>
      </c>
      <c r="F2">
        <v>1</v>
      </c>
      <c r="G2" t="s">
        <v>49</v>
      </c>
      <c r="H2" t="s">
        <v>50</v>
      </c>
      <c r="I2" t="s">
        <v>127</v>
      </c>
      <c r="K2" t="s">
        <v>33</v>
      </c>
      <c r="L2">
        <v>2</v>
      </c>
      <c r="N2">
        <v>1</v>
      </c>
      <c r="O2" t="s">
        <v>46</v>
      </c>
      <c r="S2" t="s">
        <v>53</v>
      </c>
      <c r="T2">
        <v>3</v>
      </c>
      <c r="U2">
        <v>1</v>
      </c>
      <c r="V2">
        <v>1</v>
      </c>
      <c r="W2" t="s">
        <v>111</v>
      </c>
      <c r="X2" t="s">
        <v>55</v>
      </c>
      <c r="AA2" t="s">
        <v>56</v>
      </c>
      <c r="AB2">
        <v>1</v>
      </c>
      <c r="AD2">
        <v>1</v>
      </c>
      <c r="AE2" t="s">
        <v>57</v>
      </c>
      <c r="AI2">
        <v>6</v>
      </c>
      <c r="AJ2">
        <v>19</v>
      </c>
    </row>
    <row r="3" spans="1:36" x14ac:dyDescent="0.25">
      <c r="A3" t="s">
        <v>247</v>
      </c>
      <c r="B3">
        <v>1</v>
      </c>
      <c r="C3" t="s">
        <v>48</v>
      </c>
      <c r="D3">
        <v>3</v>
      </c>
      <c r="F3">
        <v>2</v>
      </c>
      <c r="G3" t="s">
        <v>49</v>
      </c>
      <c r="H3" t="s">
        <v>71</v>
      </c>
      <c r="I3" t="s">
        <v>127</v>
      </c>
      <c r="K3" t="s">
        <v>43</v>
      </c>
      <c r="L3">
        <v>1</v>
      </c>
      <c r="N3">
        <v>1</v>
      </c>
      <c r="O3" t="s">
        <v>135</v>
      </c>
      <c r="P3" t="s">
        <v>99</v>
      </c>
      <c r="S3" t="s">
        <v>53</v>
      </c>
      <c r="T3">
        <v>1</v>
      </c>
      <c r="U3">
        <v>1</v>
      </c>
      <c r="V3">
        <v>1</v>
      </c>
      <c r="W3" t="s">
        <v>54</v>
      </c>
      <c r="X3" t="s">
        <v>83</v>
      </c>
      <c r="AA3" t="s">
        <v>56</v>
      </c>
      <c r="AB3">
        <v>3</v>
      </c>
      <c r="AD3">
        <v>3</v>
      </c>
      <c r="AE3" t="s">
        <v>68</v>
      </c>
      <c r="AF3" t="s">
        <v>122</v>
      </c>
      <c r="AI3">
        <v>12</v>
      </c>
      <c r="AJ3">
        <v>33</v>
      </c>
    </row>
    <row r="4" spans="1:36" x14ac:dyDescent="0.25">
      <c r="A4" t="s">
        <v>248</v>
      </c>
      <c r="B4">
        <v>2</v>
      </c>
      <c r="C4" t="s">
        <v>48</v>
      </c>
      <c r="D4">
        <v>2</v>
      </c>
      <c r="F4">
        <v>1</v>
      </c>
      <c r="G4" t="s">
        <v>49</v>
      </c>
      <c r="K4" t="s">
        <v>45</v>
      </c>
      <c r="L4">
        <v>3</v>
      </c>
      <c r="N4">
        <v>2</v>
      </c>
      <c r="O4" t="s">
        <v>47</v>
      </c>
      <c r="S4" t="s">
        <v>53</v>
      </c>
      <c r="T4">
        <v>2</v>
      </c>
      <c r="U4">
        <v>2</v>
      </c>
      <c r="V4">
        <v>1</v>
      </c>
      <c r="W4" t="s">
        <v>54</v>
      </c>
      <c r="AA4" t="s">
        <v>56</v>
      </c>
      <c r="AB4">
        <v>1</v>
      </c>
      <c r="AD4">
        <v>1</v>
      </c>
      <c r="AE4" t="s">
        <v>57</v>
      </c>
      <c r="AI4">
        <v>6</v>
      </c>
      <c r="AJ4">
        <v>30</v>
      </c>
    </row>
    <row r="5" spans="1:36" x14ac:dyDescent="0.25">
      <c r="A5" t="s">
        <v>249</v>
      </c>
      <c r="B5">
        <v>3</v>
      </c>
      <c r="C5" t="s">
        <v>48</v>
      </c>
      <c r="D5">
        <v>3</v>
      </c>
      <c r="F5">
        <v>1</v>
      </c>
      <c r="G5" t="s">
        <v>49</v>
      </c>
      <c r="K5" t="s">
        <v>63</v>
      </c>
      <c r="L5">
        <v>1</v>
      </c>
      <c r="N5">
        <v>1</v>
      </c>
      <c r="O5" t="s">
        <v>103</v>
      </c>
      <c r="P5" t="s">
        <v>95</v>
      </c>
      <c r="S5" t="s">
        <v>53</v>
      </c>
      <c r="T5">
        <v>1</v>
      </c>
      <c r="U5">
        <v>1</v>
      </c>
      <c r="V5">
        <v>2</v>
      </c>
      <c r="W5" t="s">
        <v>54</v>
      </c>
      <c r="AA5" t="s">
        <v>56</v>
      </c>
      <c r="AB5">
        <v>3</v>
      </c>
      <c r="AD5">
        <v>1</v>
      </c>
      <c r="AE5" t="s">
        <v>57</v>
      </c>
      <c r="AF5" t="s">
        <v>122</v>
      </c>
      <c r="AI5">
        <v>7</v>
      </c>
      <c r="AJ5">
        <v>32</v>
      </c>
    </row>
    <row r="6" spans="1:36" x14ac:dyDescent="0.25">
      <c r="A6" t="s">
        <v>250</v>
      </c>
      <c r="B6">
        <v>4</v>
      </c>
      <c r="C6" t="s">
        <v>48</v>
      </c>
      <c r="D6">
        <v>3</v>
      </c>
      <c r="F6">
        <v>1</v>
      </c>
      <c r="G6" t="s">
        <v>49</v>
      </c>
      <c r="K6" t="s">
        <v>38</v>
      </c>
      <c r="L6">
        <v>2</v>
      </c>
      <c r="M6">
        <v>1</v>
      </c>
      <c r="N6">
        <v>1</v>
      </c>
      <c r="O6" t="s">
        <v>152</v>
      </c>
      <c r="P6" t="s">
        <v>70</v>
      </c>
      <c r="S6" t="s">
        <v>53</v>
      </c>
      <c r="T6">
        <v>1</v>
      </c>
      <c r="U6">
        <v>2</v>
      </c>
      <c r="V6">
        <v>1</v>
      </c>
      <c r="W6" t="s">
        <v>111</v>
      </c>
      <c r="AA6" t="s">
        <v>56</v>
      </c>
      <c r="AB6">
        <v>1</v>
      </c>
      <c r="AD6">
        <v>1</v>
      </c>
      <c r="AE6" t="s">
        <v>57</v>
      </c>
      <c r="AI6">
        <v>5</v>
      </c>
      <c r="AJ6">
        <v>32</v>
      </c>
    </row>
    <row r="7" spans="1:36" x14ac:dyDescent="0.25">
      <c r="A7" t="s">
        <v>251</v>
      </c>
      <c r="B7">
        <v>5</v>
      </c>
      <c r="C7" t="s">
        <v>48</v>
      </c>
      <c r="D7">
        <v>2</v>
      </c>
      <c r="F7">
        <v>1</v>
      </c>
      <c r="G7" t="s">
        <v>49</v>
      </c>
      <c r="K7" t="s">
        <v>227</v>
      </c>
      <c r="L7">
        <v>2</v>
      </c>
      <c r="M7">
        <v>1</v>
      </c>
      <c r="N7">
        <v>1</v>
      </c>
      <c r="O7" t="s">
        <v>228</v>
      </c>
      <c r="P7" t="s">
        <v>231</v>
      </c>
      <c r="Q7" t="s">
        <v>234</v>
      </c>
      <c r="S7" t="s">
        <v>53</v>
      </c>
      <c r="T7">
        <v>1</v>
      </c>
      <c r="U7">
        <v>1</v>
      </c>
      <c r="V7">
        <v>3</v>
      </c>
      <c r="W7" t="s">
        <v>54</v>
      </c>
      <c r="X7" t="s">
        <v>83</v>
      </c>
      <c r="AA7" t="s">
        <v>56</v>
      </c>
      <c r="AB7">
        <v>1</v>
      </c>
      <c r="AD7">
        <v>1</v>
      </c>
      <c r="AE7" t="s">
        <v>57</v>
      </c>
      <c r="AI7">
        <v>7</v>
      </c>
      <c r="AJ7">
        <v>31</v>
      </c>
    </row>
    <row r="8" spans="1:36" x14ac:dyDescent="0.25">
      <c r="A8" t="s">
        <v>252</v>
      </c>
      <c r="B8">
        <v>6</v>
      </c>
      <c r="C8" t="s">
        <v>33</v>
      </c>
      <c r="D8">
        <v>3</v>
      </c>
      <c r="F8">
        <v>2</v>
      </c>
      <c r="G8" t="s">
        <v>46</v>
      </c>
      <c r="K8" t="s">
        <v>43</v>
      </c>
      <c r="L8">
        <v>2</v>
      </c>
      <c r="N8">
        <v>1</v>
      </c>
      <c r="O8" t="s">
        <v>135</v>
      </c>
      <c r="P8" t="s">
        <v>99</v>
      </c>
      <c r="S8" t="s">
        <v>53</v>
      </c>
      <c r="T8">
        <v>1</v>
      </c>
      <c r="U8">
        <v>3</v>
      </c>
      <c r="V8">
        <v>2</v>
      </c>
      <c r="W8" t="s">
        <v>111</v>
      </c>
      <c r="AA8" t="s">
        <v>56</v>
      </c>
      <c r="AB8">
        <v>1</v>
      </c>
      <c r="AD8">
        <v>1</v>
      </c>
      <c r="AE8" t="s">
        <v>68</v>
      </c>
      <c r="AI8">
        <v>8</v>
      </c>
      <c r="AJ8">
        <v>25</v>
      </c>
    </row>
    <row r="9" spans="1:36" x14ac:dyDescent="0.25">
      <c r="A9" t="s">
        <v>253</v>
      </c>
      <c r="B9">
        <v>7</v>
      </c>
      <c r="C9" t="s">
        <v>33</v>
      </c>
      <c r="D9">
        <v>2</v>
      </c>
      <c r="F9">
        <v>2</v>
      </c>
      <c r="G9" t="s">
        <v>46</v>
      </c>
      <c r="K9" t="s">
        <v>45</v>
      </c>
      <c r="L9">
        <v>3</v>
      </c>
      <c r="N9">
        <v>1</v>
      </c>
      <c r="O9" t="s">
        <v>47</v>
      </c>
      <c r="S9" t="s">
        <v>53</v>
      </c>
      <c r="T9">
        <v>1</v>
      </c>
      <c r="U9">
        <v>1</v>
      </c>
      <c r="V9">
        <v>2</v>
      </c>
      <c r="W9" t="s">
        <v>111</v>
      </c>
      <c r="AA9" t="s">
        <v>56</v>
      </c>
      <c r="AB9">
        <v>1</v>
      </c>
      <c r="AD9">
        <v>1</v>
      </c>
      <c r="AE9" t="s">
        <v>68</v>
      </c>
      <c r="AF9" t="s">
        <v>69</v>
      </c>
      <c r="AI9">
        <v>6</v>
      </c>
      <c r="AJ9">
        <v>27</v>
      </c>
    </row>
    <row r="10" spans="1:36" x14ac:dyDescent="0.25">
      <c r="A10" t="s">
        <v>254</v>
      </c>
      <c r="B10">
        <v>8</v>
      </c>
      <c r="C10" t="s">
        <v>53</v>
      </c>
      <c r="D10">
        <v>1</v>
      </c>
      <c r="E10">
        <v>1</v>
      </c>
      <c r="F10">
        <v>1</v>
      </c>
      <c r="G10" t="s">
        <v>111</v>
      </c>
      <c r="K10" t="s">
        <v>56</v>
      </c>
      <c r="L10">
        <v>2</v>
      </c>
      <c r="N10">
        <v>1</v>
      </c>
      <c r="O10" t="s">
        <v>68</v>
      </c>
      <c r="P10" t="s">
        <v>122</v>
      </c>
      <c r="S10" t="s">
        <v>33</v>
      </c>
      <c r="T10">
        <v>2</v>
      </c>
      <c r="V10">
        <v>1</v>
      </c>
      <c r="W10" t="s">
        <v>46</v>
      </c>
      <c r="AA10" t="s">
        <v>63</v>
      </c>
      <c r="AB10">
        <v>1</v>
      </c>
      <c r="AD10">
        <v>1</v>
      </c>
      <c r="AE10" t="s">
        <v>103</v>
      </c>
      <c r="AF10" t="s">
        <v>91</v>
      </c>
      <c r="AI10">
        <v>4</v>
      </c>
      <c r="AJ10">
        <v>24</v>
      </c>
    </row>
    <row r="11" spans="1:36" x14ac:dyDescent="0.25">
      <c r="A11" t="s">
        <v>255</v>
      </c>
      <c r="B11">
        <v>9</v>
      </c>
      <c r="C11" t="s">
        <v>33</v>
      </c>
      <c r="D11">
        <v>2</v>
      </c>
      <c r="F11">
        <v>1</v>
      </c>
      <c r="G11" t="s">
        <v>46</v>
      </c>
      <c r="K11" t="s">
        <v>38</v>
      </c>
      <c r="L11">
        <v>1</v>
      </c>
      <c r="M11">
        <v>1</v>
      </c>
      <c r="N11">
        <v>2</v>
      </c>
      <c r="O11" t="s">
        <v>152</v>
      </c>
      <c r="P11" t="s">
        <v>70</v>
      </c>
      <c r="S11" t="s">
        <v>53</v>
      </c>
      <c r="T11">
        <v>2</v>
      </c>
      <c r="U11">
        <v>1</v>
      </c>
      <c r="V11">
        <v>2</v>
      </c>
      <c r="W11" t="s">
        <v>111</v>
      </c>
      <c r="AA11" t="s">
        <v>56</v>
      </c>
      <c r="AB11">
        <v>1</v>
      </c>
      <c r="AD11">
        <v>1</v>
      </c>
      <c r="AE11" t="s">
        <v>68</v>
      </c>
      <c r="AI11">
        <v>5</v>
      </c>
      <c r="AJ11">
        <v>26</v>
      </c>
    </row>
    <row r="12" spans="1:36" x14ac:dyDescent="0.25">
      <c r="A12" t="s">
        <v>256</v>
      </c>
      <c r="B12">
        <v>10</v>
      </c>
      <c r="C12" t="s">
        <v>33</v>
      </c>
      <c r="D12">
        <v>1</v>
      </c>
      <c r="F12">
        <v>2</v>
      </c>
      <c r="G12" t="s">
        <v>46</v>
      </c>
      <c r="H12" t="s">
        <v>130</v>
      </c>
      <c r="K12" t="s">
        <v>227</v>
      </c>
      <c r="L12">
        <v>1</v>
      </c>
      <c r="M12">
        <v>1</v>
      </c>
      <c r="N12">
        <v>1</v>
      </c>
      <c r="O12" t="s">
        <v>228</v>
      </c>
      <c r="P12" t="s">
        <v>231</v>
      </c>
      <c r="Q12" t="s">
        <v>234</v>
      </c>
      <c r="R12" t="s">
        <v>237</v>
      </c>
      <c r="S12" t="s">
        <v>53</v>
      </c>
      <c r="T12">
        <v>1</v>
      </c>
      <c r="U12">
        <v>1</v>
      </c>
      <c r="V12">
        <v>1</v>
      </c>
      <c r="W12" t="s">
        <v>54</v>
      </c>
      <c r="AA12" t="s">
        <v>56</v>
      </c>
      <c r="AB12">
        <v>1</v>
      </c>
      <c r="AD12">
        <v>2</v>
      </c>
      <c r="AE12" t="s">
        <v>57</v>
      </c>
      <c r="AF12" t="s">
        <v>69</v>
      </c>
      <c r="AG12" t="s">
        <v>85</v>
      </c>
      <c r="AI12">
        <v>8</v>
      </c>
      <c r="AJ12">
        <v>45</v>
      </c>
    </row>
    <row r="13" spans="1:36" x14ac:dyDescent="0.25">
      <c r="A13" t="s">
        <v>257</v>
      </c>
      <c r="B13">
        <v>11</v>
      </c>
      <c r="C13" t="s">
        <v>53</v>
      </c>
      <c r="D13">
        <v>3</v>
      </c>
      <c r="E13">
        <v>3</v>
      </c>
      <c r="F13">
        <v>2</v>
      </c>
      <c r="G13" t="s">
        <v>111</v>
      </c>
      <c r="K13" t="s">
        <v>56</v>
      </c>
      <c r="L13">
        <v>1</v>
      </c>
      <c r="N13">
        <v>1</v>
      </c>
      <c r="O13" t="s">
        <v>68</v>
      </c>
      <c r="S13" t="s">
        <v>43</v>
      </c>
      <c r="T13">
        <v>2</v>
      </c>
      <c r="V13">
        <v>3</v>
      </c>
      <c r="W13" t="s">
        <v>135</v>
      </c>
      <c r="X13" t="s">
        <v>99</v>
      </c>
      <c r="AA13" t="s">
        <v>45</v>
      </c>
      <c r="AB13">
        <v>3</v>
      </c>
      <c r="AD13">
        <v>1</v>
      </c>
      <c r="AE13" t="s">
        <v>47</v>
      </c>
      <c r="AI13">
        <v>11</v>
      </c>
      <c r="AJ13">
        <v>28</v>
      </c>
    </row>
    <row r="14" spans="1:36" x14ac:dyDescent="0.25">
      <c r="A14" t="s">
        <v>258</v>
      </c>
      <c r="B14">
        <v>12</v>
      </c>
      <c r="C14" t="s">
        <v>43</v>
      </c>
      <c r="D14">
        <v>2</v>
      </c>
      <c r="F14">
        <v>1</v>
      </c>
      <c r="G14" t="s">
        <v>135</v>
      </c>
      <c r="H14" t="s">
        <v>99</v>
      </c>
      <c r="I14" t="s">
        <v>137</v>
      </c>
      <c r="K14" t="s">
        <v>63</v>
      </c>
      <c r="L14">
        <v>1</v>
      </c>
      <c r="N14">
        <v>1</v>
      </c>
      <c r="O14" t="s">
        <v>103</v>
      </c>
      <c r="P14" t="s">
        <v>95</v>
      </c>
      <c r="S14" t="s">
        <v>53</v>
      </c>
      <c r="T14">
        <v>2</v>
      </c>
      <c r="U14">
        <v>1</v>
      </c>
      <c r="V14">
        <v>1</v>
      </c>
      <c r="W14" t="s">
        <v>54</v>
      </c>
      <c r="X14" t="s">
        <v>83</v>
      </c>
      <c r="AA14" t="s">
        <v>56</v>
      </c>
      <c r="AB14">
        <v>1</v>
      </c>
      <c r="AD14">
        <v>1</v>
      </c>
      <c r="AE14" t="s">
        <v>57</v>
      </c>
      <c r="AF14" t="s">
        <v>122</v>
      </c>
      <c r="AI14">
        <v>7</v>
      </c>
      <c r="AJ14">
        <v>25</v>
      </c>
    </row>
    <row r="15" spans="1:36" x14ac:dyDescent="0.25">
      <c r="A15" t="s">
        <v>259</v>
      </c>
      <c r="B15">
        <v>13</v>
      </c>
      <c r="C15" t="s">
        <v>43</v>
      </c>
      <c r="D15">
        <v>2</v>
      </c>
      <c r="F15">
        <v>1</v>
      </c>
      <c r="G15" t="s">
        <v>135</v>
      </c>
      <c r="H15" t="s">
        <v>74</v>
      </c>
      <c r="K15" t="s">
        <v>38</v>
      </c>
      <c r="L15">
        <v>1</v>
      </c>
      <c r="M15">
        <v>2</v>
      </c>
      <c r="N15">
        <v>1</v>
      </c>
      <c r="O15" t="s">
        <v>152</v>
      </c>
      <c r="S15" t="s">
        <v>53</v>
      </c>
      <c r="T15">
        <v>1</v>
      </c>
      <c r="U15">
        <v>1</v>
      </c>
      <c r="V15">
        <v>1</v>
      </c>
      <c r="W15" t="s">
        <v>111</v>
      </c>
      <c r="X15" t="s">
        <v>83</v>
      </c>
      <c r="AA15" t="s">
        <v>56</v>
      </c>
      <c r="AB15">
        <v>1</v>
      </c>
      <c r="AD15">
        <v>1</v>
      </c>
      <c r="AE15" t="s">
        <v>68</v>
      </c>
      <c r="AF15" t="s">
        <v>122</v>
      </c>
      <c r="AI15">
        <v>5</v>
      </c>
      <c r="AJ15">
        <v>26</v>
      </c>
    </row>
    <row r="16" spans="1:36" x14ac:dyDescent="0.25">
      <c r="A16" t="s">
        <v>260</v>
      </c>
      <c r="B16">
        <v>14</v>
      </c>
      <c r="C16" t="s">
        <v>53</v>
      </c>
      <c r="D16">
        <v>2</v>
      </c>
      <c r="E16">
        <v>1</v>
      </c>
      <c r="F16">
        <v>1</v>
      </c>
      <c r="G16" t="s">
        <v>54</v>
      </c>
      <c r="H16" t="s">
        <v>113</v>
      </c>
      <c r="K16" t="s">
        <v>56</v>
      </c>
      <c r="L16">
        <v>2</v>
      </c>
      <c r="N16">
        <v>1</v>
      </c>
      <c r="O16" t="s">
        <v>57</v>
      </c>
      <c r="P16" t="s">
        <v>122</v>
      </c>
      <c r="S16" t="s">
        <v>43</v>
      </c>
      <c r="T16">
        <v>2</v>
      </c>
      <c r="V16">
        <v>1</v>
      </c>
      <c r="W16" t="s">
        <v>135</v>
      </c>
      <c r="X16" t="s">
        <v>99</v>
      </c>
      <c r="Y16" t="s">
        <v>75</v>
      </c>
      <c r="AA16" t="s">
        <v>227</v>
      </c>
      <c r="AB16">
        <v>2</v>
      </c>
      <c r="AC16">
        <v>1</v>
      </c>
      <c r="AD16">
        <v>2</v>
      </c>
      <c r="AE16" t="s">
        <v>228</v>
      </c>
      <c r="AI16">
        <v>9</v>
      </c>
      <c r="AJ16">
        <v>29</v>
      </c>
    </row>
    <row r="17" spans="1:36" x14ac:dyDescent="0.25">
      <c r="A17" t="s">
        <v>261</v>
      </c>
      <c r="B17">
        <v>15</v>
      </c>
      <c r="C17" t="s">
        <v>53</v>
      </c>
      <c r="D17">
        <v>1</v>
      </c>
      <c r="E17">
        <v>1</v>
      </c>
      <c r="F17">
        <v>1</v>
      </c>
      <c r="G17" t="s">
        <v>54</v>
      </c>
      <c r="H17" t="s">
        <v>55</v>
      </c>
      <c r="K17" t="s">
        <v>56</v>
      </c>
      <c r="L17">
        <v>2</v>
      </c>
      <c r="N17">
        <v>1</v>
      </c>
      <c r="O17" t="s">
        <v>57</v>
      </c>
      <c r="P17" t="s">
        <v>122</v>
      </c>
      <c r="Q17" t="s">
        <v>85</v>
      </c>
      <c r="S17" t="s">
        <v>45</v>
      </c>
      <c r="T17">
        <v>2</v>
      </c>
      <c r="V17">
        <v>1</v>
      </c>
      <c r="W17" t="s">
        <v>47</v>
      </c>
      <c r="AA17" t="s">
        <v>63</v>
      </c>
      <c r="AB17">
        <v>1</v>
      </c>
      <c r="AD17">
        <v>2</v>
      </c>
      <c r="AE17" t="s">
        <v>103</v>
      </c>
      <c r="AF17" t="s">
        <v>91</v>
      </c>
      <c r="AG17" t="s">
        <v>147</v>
      </c>
      <c r="AI17">
        <v>8</v>
      </c>
      <c r="AJ17">
        <v>37</v>
      </c>
    </row>
    <row r="18" spans="1:36" x14ac:dyDescent="0.25">
      <c r="A18" t="s">
        <v>262</v>
      </c>
      <c r="B18">
        <v>16</v>
      </c>
      <c r="C18" t="s">
        <v>53</v>
      </c>
      <c r="D18">
        <v>2</v>
      </c>
      <c r="E18">
        <v>1</v>
      </c>
      <c r="F18">
        <v>1</v>
      </c>
      <c r="G18" t="s">
        <v>111</v>
      </c>
      <c r="K18" t="s">
        <v>56</v>
      </c>
      <c r="L18">
        <v>1</v>
      </c>
      <c r="N18">
        <v>1</v>
      </c>
      <c r="O18" t="s">
        <v>68</v>
      </c>
      <c r="P18" t="s">
        <v>122</v>
      </c>
      <c r="S18" t="s">
        <v>45</v>
      </c>
      <c r="T18">
        <v>3</v>
      </c>
      <c r="V18">
        <v>1</v>
      </c>
      <c r="W18" t="s">
        <v>47</v>
      </c>
      <c r="AA18" t="s">
        <v>38</v>
      </c>
      <c r="AB18">
        <v>1</v>
      </c>
      <c r="AC18">
        <v>1</v>
      </c>
      <c r="AD18">
        <v>1</v>
      </c>
      <c r="AE18" t="s">
        <v>152</v>
      </c>
      <c r="AF18" t="s">
        <v>70</v>
      </c>
      <c r="AG18" t="s">
        <v>41</v>
      </c>
      <c r="AH18" t="s">
        <v>42</v>
      </c>
      <c r="AI18">
        <v>7</v>
      </c>
      <c r="AJ18">
        <v>28</v>
      </c>
    </row>
    <row r="19" spans="1:36" x14ac:dyDescent="0.25">
      <c r="A19" t="s">
        <v>263</v>
      </c>
      <c r="B19">
        <v>17</v>
      </c>
      <c r="C19" t="s">
        <v>53</v>
      </c>
      <c r="D19">
        <v>1</v>
      </c>
      <c r="E19">
        <v>1</v>
      </c>
      <c r="F19">
        <v>1</v>
      </c>
      <c r="G19" t="s">
        <v>111</v>
      </c>
      <c r="H19" t="s">
        <v>83</v>
      </c>
      <c r="K19" t="s">
        <v>56</v>
      </c>
      <c r="L19">
        <v>2</v>
      </c>
      <c r="N19">
        <v>3</v>
      </c>
      <c r="O19" t="s">
        <v>57</v>
      </c>
      <c r="P19" t="s">
        <v>122</v>
      </c>
      <c r="Q19" t="s">
        <v>85</v>
      </c>
      <c r="R19" t="s">
        <v>125</v>
      </c>
      <c r="S19" t="s">
        <v>45</v>
      </c>
      <c r="T19">
        <v>2</v>
      </c>
      <c r="V19">
        <v>1</v>
      </c>
      <c r="W19" t="s">
        <v>47</v>
      </c>
      <c r="AA19" t="s">
        <v>227</v>
      </c>
      <c r="AB19">
        <v>2</v>
      </c>
      <c r="AC19">
        <v>1</v>
      </c>
      <c r="AD19">
        <v>1</v>
      </c>
      <c r="AE19" t="s">
        <v>228</v>
      </c>
      <c r="AF19" t="s">
        <v>231</v>
      </c>
      <c r="AI19">
        <v>10</v>
      </c>
      <c r="AJ19">
        <v>39</v>
      </c>
    </row>
    <row r="20" spans="1:36" x14ac:dyDescent="0.25">
      <c r="A20" t="s">
        <v>264</v>
      </c>
      <c r="B20">
        <v>18</v>
      </c>
      <c r="C20" t="s">
        <v>53</v>
      </c>
      <c r="D20">
        <v>3</v>
      </c>
      <c r="E20">
        <v>1</v>
      </c>
      <c r="F20">
        <v>1</v>
      </c>
      <c r="G20" t="s">
        <v>111</v>
      </c>
      <c r="H20" t="s">
        <v>55</v>
      </c>
      <c r="K20" t="s">
        <v>56</v>
      </c>
      <c r="L20">
        <v>1</v>
      </c>
      <c r="N20">
        <v>1</v>
      </c>
      <c r="O20" t="s">
        <v>57</v>
      </c>
      <c r="P20" t="s">
        <v>122</v>
      </c>
      <c r="S20" t="s">
        <v>63</v>
      </c>
      <c r="T20">
        <v>1</v>
      </c>
      <c r="V20">
        <v>1</v>
      </c>
      <c r="W20" t="s">
        <v>103</v>
      </c>
      <c r="AA20" t="s">
        <v>38</v>
      </c>
      <c r="AB20">
        <v>1</v>
      </c>
      <c r="AC20">
        <v>1</v>
      </c>
      <c r="AD20">
        <v>1</v>
      </c>
      <c r="AE20" t="s">
        <v>152</v>
      </c>
      <c r="AF20" t="s">
        <v>40</v>
      </c>
      <c r="AI20">
        <v>5</v>
      </c>
      <c r="AJ20">
        <v>23</v>
      </c>
    </row>
    <row r="21" spans="1:36" x14ac:dyDescent="0.25">
      <c r="A21" t="s">
        <v>265</v>
      </c>
      <c r="B21">
        <v>19</v>
      </c>
      <c r="C21" t="s">
        <v>63</v>
      </c>
      <c r="D21">
        <v>2</v>
      </c>
      <c r="F21">
        <v>1</v>
      </c>
      <c r="G21" t="s">
        <v>103</v>
      </c>
      <c r="K21" t="s">
        <v>227</v>
      </c>
      <c r="L21">
        <v>2</v>
      </c>
      <c r="M21">
        <v>1</v>
      </c>
      <c r="N21">
        <v>1</v>
      </c>
      <c r="O21" t="s">
        <v>228</v>
      </c>
      <c r="P21" t="s">
        <v>231</v>
      </c>
      <c r="Q21" t="s">
        <v>234</v>
      </c>
      <c r="S21" t="s">
        <v>53</v>
      </c>
      <c r="T21">
        <v>1</v>
      </c>
      <c r="U21">
        <v>1</v>
      </c>
      <c r="V21">
        <v>2</v>
      </c>
      <c r="W21" t="s">
        <v>111</v>
      </c>
      <c r="AA21" t="s">
        <v>56</v>
      </c>
      <c r="AB21">
        <v>1</v>
      </c>
      <c r="AD21">
        <v>1</v>
      </c>
      <c r="AE21" t="s">
        <v>57</v>
      </c>
      <c r="AI21">
        <v>5</v>
      </c>
      <c r="AJ21">
        <v>40</v>
      </c>
    </row>
    <row r="22" spans="1:36" x14ac:dyDescent="0.25">
      <c r="A22" t="s">
        <v>266</v>
      </c>
      <c r="B22">
        <v>20</v>
      </c>
      <c r="C22" t="s">
        <v>38</v>
      </c>
      <c r="D22">
        <v>1</v>
      </c>
      <c r="E22">
        <v>1</v>
      </c>
      <c r="F22">
        <v>1</v>
      </c>
      <c r="G22" t="s">
        <v>152</v>
      </c>
      <c r="K22" t="s">
        <v>227</v>
      </c>
      <c r="L22">
        <v>2</v>
      </c>
      <c r="M22">
        <v>1</v>
      </c>
      <c r="N22">
        <v>3</v>
      </c>
      <c r="O22" t="s">
        <v>228</v>
      </c>
      <c r="P22" t="s">
        <v>231</v>
      </c>
      <c r="Q22" t="s">
        <v>235</v>
      </c>
      <c r="S22" t="s">
        <v>53</v>
      </c>
      <c r="T22">
        <v>2</v>
      </c>
      <c r="U22">
        <v>1</v>
      </c>
      <c r="V22">
        <v>1</v>
      </c>
      <c r="W22" t="s">
        <v>54</v>
      </c>
      <c r="X22" t="s">
        <v>83</v>
      </c>
      <c r="Y22" t="s">
        <v>105</v>
      </c>
      <c r="AA22" t="s">
        <v>56</v>
      </c>
      <c r="AB22">
        <v>1</v>
      </c>
      <c r="AD22">
        <v>1</v>
      </c>
      <c r="AE22" t="s">
        <v>57</v>
      </c>
      <c r="AI22">
        <v>8</v>
      </c>
      <c r="AJ22">
        <v>33</v>
      </c>
    </row>
    <row r="23" spans="1:36" x14ac:dyDescent="0.25">
      <c r="A23" t="s">
        <v>267</v>
      </c>
      <c r="B23">
        <v>21</v>
      </c>
      <c r="C23" t="s">
        <v>56</v>
      </c>
      <c r="D23">
        <v>1</v>
      </c>
      <c r="F23">
        <v>1</v>
      </c>
      <c r="G23" t="s">
        <v>57</v>
      </c>
      <c r="K23" t="s">
        <v>33</v>
      </c>
      <c r="L23">
        <v>1</v>
      </c>
      <c r="N23">
        <v>3</v>
      </c>
      <c r="O23" t="s">
        <v>46</v>
      </c>
      <c r="S23" t="s">
        <v>53</v>
      </c>
      <c r="T23">
        <v>1</v>
      </c>
      <c r="U23">
        <v>1</v>
      </c>
      <c r="V23">
        <v>1</v>
      </c>
      <c r="W23" t="s">
        <v>111</v>
      </c>
      <c r="AA23" t="s">
        <v>48</v>
      </c>
      <c r="AB23">
        <v>3</v>
      </c>
      <c r="AD23">
        <v>1</v>
      </c>
      <c r="AE23" t="s">
        <v>89</v>
      </c>
      <c r="AI23">
        <v>4</v>
      </c>
      <c r="AJ23">
        <v>23</v>
      </c>
    </row>
    <row r="24" spans="1:36" x14ac:dyDescent="0.25">
      <c r="A24" t="s">
        <v>268</v>
      </c>
      <c r="B24">
        <v>22</v>
      </c>
      <c r="C24" t="s">
        <v>56</v>
      </c>
      <c r="D24">
        <v>1</v>
      </c>
      <c r="F24">
        <v>1</v>
      </c>
      <c r="G24" t="s">
        <v>57</v>
      </c>
      <c r="H24" t="s">
        <v>122</v>
      </c>
      <c r="K24" t="s">
        <v>43</v>
      </c>
      <c r="L24">
        <v>2</v>
      </c>
      <c r="N24">
        <v>2</v>
      </c>
      <c r="O24" t="s">
        <v>135</v>
      </c>
      <c r="P24" t="s">
        <v>74</v>
      </c>
      <c r="Q24" t="s">
        <v>100</v>
      </c>
      <c r="S24" t="s">
        <v>53</v>
      </c>
      <c r="T24">
        <v>3</v>
      </c>
      <c r="U24">
        <v>1</v>
      </c>
      <c r="V24">
        <v>1</v>
      </c>
      <c r="W24" t="s">
        <v>54</v>
      </c>
      <c r="AA24" t="s">
        <v>48</v>
      </c>
      <c r="AB24">
        <v>3</v>
      </c>
      <c r="AD24">
        <v>1</v>
      </c>
      <c r="AE24" t="s">
        <v>89</v>
      </c>
      <c r="AI24">
        <v>9</v>
      </c>
      <c r="AJ24">
        <v>22</v>
      </c>
    </row>
    <row r="25" spans="1:36" x14ac:dyDescent="0.25">
      <c r="A25" t="s">
        <v>269</v>
      </c>
      <c r="B25">
        <v>23</v>
      </c>
      <c r="C25" t="s">
        <v>56</v>
      </c>
      <c r="D25">
        <v>2</v>
      </c>
      <c r="F25">
        <v>1</v>
      </c>
      <c r="G25" t="s">
        <v>57</v>
      </c>
      <c r="H25" t="s">
        <v>122</v>
      </c>
      <c r="K25" t="s">
        <v>45</v>
      </c>
      <c r="L25">
        <v>2</v>
      </c>
      <c r="N25">
        <v>1</v>
      </c>
      <c r="O25" t="s">
        <v>47</v>
      </c>
      <c r="S25" t="s">
        <v>53</v>
      </c>
      <c r="T25">
        <v>2</v>
      </c>
      <c r="U25">
        <v>1</v>
      </c>
      <c r="V25">
        <v>2</v>
      </c>
      <c r="W25" t="s">
        <v>54</v>
      </c>
      <c r="AA25" t="s">
        <v>48</v>
      </c>
      <c r="AB25">
        <v>1</v>
      </c>
      <c r="AD25">
        <v>1</v>
      </c>
      <c r="AE25" t="s">
        <v>89</v>
      </c>
      <c r="AI25">
        <v>5</v>
      </c>
      <c r="AJ25">
        <v>30</v>
      </c>
    </row>
    <row r="26" spans="1:36" x14ac:dyDescent="0.25">
      <c r="A26" t="s">
        <v>270</v>
      </c>
      <c r="B26">
        <v>24</v>
      </c>
      <c r="C26" t="s">
        <v>56</v>
      </c>
      <c r="D26">
        <v>2</v>
      </c>
      <c r="F26">
        <v>1</v>
      </c>
      <c r="G26" t="s">
        <v>57</v>
      </c>
      <c r="H26" t="s">
        <v>122</v>
      </c>
      <c r="K26" t="s">
        <v>63</v>
      </c>
      <c r="L26">
        <v>2</v>
      </c>
      <c r="N26">
        <v>1</v>
      </c>
      <c r="O26" t="s">
        <v>103</v>
      </c>
      <c r="S26" t="s">
        <v>53</v>
      </c>
      <c r="T26">
        <v>1</v>
      </c>
      <c r="U26">
        <v>1</v>
      </c>
      <c r="V26">
        <v>1</v>
      </c>
      <c r="W26" t="s">
        <v>54</v>
      </c>
      <c r="AA26" t="s">
        <v>48</v>
      </c>
      <c r="AB26">
        <v>2</v>
      </c>
      <c r="AD26">
        <v>1</v>
      </c>
      <c r="AE26" t="s">
        <v>49</v>
      </c>
      <c r="AI26">
        <v>4</v>
      </c>
      <c r="AJ26">
        <v>21</v>
      </c>
    </row>
    <row r="27" spans="1:36" x14ac:dyDescent="0.25">
      <c r="A27" t="s">
        <v>271</v>
      </c>
      <c r="B27">
        <v>25</v>
      </c>
      <c r="C27" t="s">
        <v>53</v>
      </c>
      <c r="D27">
        <v>2</v>
      </c>
      <c r="E27">
        <v>1</v>
      </c>
      <c r="F27">
        <v>1</v>
      </c>
      <c r="G27" t="s">
        <v>54</v>
      </c>
      <c r="K27" t="s">
        <v>48</v>
      </c>
      <c r="L27">
        <v>2</v>
      </c>
      <c r="N27">
        <v>1</v>
      </c>
      <c r="O27" t="s">
        <v>49</v>
      </c>
      <c r="S27" t="s">
        <v>56</v>
      </c>
      <c r="T27">
        <v>1</v>
      </c>
      <c r="V27">
        <v>2</v>
      </c>
      <c r="W27" t="s">
        <v>57</v>
      </c>
      <c r="AA27" t="s">
        <v>38</v>
      </c>
      <c r="AB27">
        <v>1</v>
      </c>
      <c r="AC27">
        <v>1</v>
      </c>
      <c r="AD27">
        <v>2</v>
      </c>
      <c r="AE27" t="s">
        <v>152</v>
      </c>
      <c r="AI27">
        <v>4</v>
      </c>
      <c r="AJ27">
        <v>27</v>
      </c>
    </row>
    <row r="28" spans="1:36" x14ac:dyDescent="0.25">
      <c r="A28" t="s">
        <v>272</v>
      </c>
      <c r="B28">
        <v>26</v>
      </c>
      <c r="C28" t="s">
        <v>53</v>
      </c>
      <c r="D28">
        <v>1</v>
      </c>
      <c r="E28">
        <v>1</v>
      </c>
      <c r="F28">
        <v>1</v>
      </c>
      <c r="G28" t="s">
        <v>54</v>
      </c>
      <c r="K28" t="s">
        <v>48</v>
      </c>
      <c r="L28">
        <v>2</v>
      </c>
      <c r="N28">
        <v>1</v>
      </c>
      <c r="O28" t="s">
        <v>89</v>
      </c>
      <c r="P28" t="s">
        <v>71</v>
      </c>
      <c r="Q28" t="s">
        <v>51</v>
      </c>
      <c r="S28" t="s">
        <v>56</v>
      </c>
      <c r="T28">
        <v>1</v>
      </c>
      <c r="V28">
        <v>1</v>
      </c>
      <c r="W28" t="s">
        <v>57</v>
      </c>
      <c r="AA28" t="s">
        <v>227</v>
      </c>
      <c r="AB28">
        <v>1</v>
      </c>
      <c r="AC28">
        <v>1</v>
      </c>
      <c r="AD28">
        <v>1</v>
      </c>
      <c r="AE28" t="s">
        <v>228</v>
      </c>
      <c r="AF28" t="s">
        <v>231</v>
      </c>
      <c r="AG28" t="s">
        <v>235</v>
      </c>
      <c r="AI28">
        <v>5</v>
      </c>
      <c r="AJ28">
        <v>19</v>
      </c>
    </row>
    <row r="29" spans="1:36" x14ac:dyDescent="0.25">
      <c r="A29" t="s">
        <v>273</v>
      </c>
      <c r="B29">
        <v>27</v>
      </c>
      <c r="C29" t="s">
        <v>33</v>
      </c>
      <c r="D29">
        <v>1</v>
      </c>
      <c r="F29">
        <v>2</v>
      </c>
      <c r="G29" t="s">
        <v>46</v>
      </c>
      <c r="K29" t="s">
        <v>43</v>
      </c>
      <c r="L29">
        <v>1</v>
      </c>
      <c r="N29">
        <v>1</v>
      </c>
      <c r="O29" t="s">
        <v>135</v>
      </c>
      <c r="P29" t="s">
        <v>74</v>
      </c>
      <c r="Q29" t="s">
        <v>137</v>
      </c>
      <c r="S29" t="s">
        <v>53</v>
      </c>
      <c r="T29">
        <v>1</v>
      </c>
      <c r="U29">
        <v>2</v>
      </c>
      <c r="V29">
        <v>1</v>
      </c>
      <c r="W29" t="s">
        <v>111</v>
      </c>
      <c r="AA29" t="s">
        <v>48</v>
      </c>
      <c r="AB29">
        <v>1</v>
      </c>
      <c r="AD29">
        <v>1</v>
      </c>
      <c r="AE29" t="s">
        <v>89</v>
      </c>
      <c r="AI29">
        <v>4</v>
      </c>
      <c r="AJ29">
        <v>26</v>
      </c>
    </row>
    <row r="30" spans="1:36" x14ac:dyDescent="0.25">
      <c r="A30" t="s">
        <v>274</v>
      </c>
      <c r="B30">
        <v>28</v>
      </c>
      <c r="C30" t="s">
        <v>33</v>
      </c>
      <c r="D30">
        <v>1</v>
      </c>
      <c r="F30">
        <v>2</v>
      </c>
      <c r="G30" t="s">
        <v>46</v>
      </c>
      <c r="K30" t="s">
        <v>45</v>
      </c>
      <c r="L30">
        <v>2</v>
      </c>
      <c r="N30">
        <v>1</v>
      </c>
      <c r="O30" t="s">
        <v>47</v>
      </c>
      <c r="S30" t="s">
        <v>53</v>
      </c>
      <c r="T30">
        <v>1</v>
      </c>
      <c r="U30">
        <v>3</v>
      </c>
      <c r="V30">
        <v>1</v>
      </c>
      <c r="W30" t="s">
        <v>111</v>
      </c>
      <c r="AA30" t="s">
        <v>48</v>
      </c>
      <c r="AB30">
        <v>1</v>
      </c>
      <c r="AD30">
        <v>1</v>
      </c>
      <c r="AE30" t="s">
        <v>89</v>
      </c>
      <c r="AI30">
        <v>4</v>
      </c>
      <c r="AJ30">
        <v>32</v>
      </c>
    </row>
    <row r="31" spans="1:36" x14ac:dyDescent="0.25">
      <c r="A31" t="s">
        <v>275</v>
      </c>
      <c r="B31">
        <v>29</v>
      </c>
      <c r="C31" t="s">
        <v>33</v>
      </c>
      <c r="D31">
        <v>2</v>
      </c>
      <c r="F31">
        <v>1</v>
      </c>
      <c r="G31" t="s">
        <v>46</v>
      </c>
      <c r="K31" t="s">
        <v>63</v>
      </c>
      <c r="L31">
        <v>2</v>
      </c>
      <c r="N31">
        <v>1</v>
      </c>
      <c r="O31" t="s">
        <v>103</v>
      </c>
      <c r="P31" t="s">
        <v>91</v>
      </c>
      <c r="S31" t="s">
        <v>53</v>
      </c>
      <c r="T31">
        <v>1</v>
      </c>
      <c r="U31">
        <v>1</v>
      </c>
      <c r="V31">
        <v>1</v>
      </c>
      <c r="W31" t="s">
        <v>111</v>
      </c>
      <c r="AA31" t="s">
        <v>48</v>
      </c>
      <c r="AB31">
        <v>2</v>
      </c>
      <c r="AD31">
        <v>1</v>
      </c>
      <c r="AE31" t="s">
        <v>49</v>
      </c>
      <c r="AF31" t="s">
        <v>71</v>
      </c>
      <c r="AI31">
        <v>5</v>
      </c>
      <c r="AJ31">
        <v>23</v>
      </c>
    </row>
    <row r="32" spans="1:36" x14ac:dyDescent="0.25">
      <c r="A32" t="s">
        <v>276</v>
      </c>
      <c r="B32">
        <v>30</v>
      </c>
      <c r="C32" t="s">
        <v>33</v>
      </c>
      <c r="D32">
        <v>2</v>
      </c>
      <c r="F32">
        <v>2</v>
      </c>
      <c r="G32" t="s">
        <v>46</v>
      </c>
      <c r="H32" t="s">
        <v>66</v>
      </c>
      <c r="K32" t="s">
        <v>38</v>
      </c>
      <c r="L32">
        <v>2</v>
      </c>
      <c r="M32">
        <v>1</v>
      </c>
      <c r="N32">
        <v>1</v>
      </c>
      <c r="O32" t="s">
        <v>152</v>
      </c>
      <c r="S32" t="s">
        <v>53</v>
      </c>
      <c r="T32">
        <v>2</v>
      </c>
      <c r="U32">
        <v>2</v>
      </c>
      <c r="V32">
        <v>1</v>
      </c>
      <c r="W32" t="s">
        <v>111</v>
      </c>
      <c r="AA32" t="s">
        <v>48</v>
      </c>
      <c r="AB32">
        <v>3</v>
      </c>
      <c r="AD32">
        <v>1</v>
      </c>
      <c r="AE32" t="s">
        <v>89</v>
      </c>
      <c r="AI32">
        <v>8</v>
      </c>
      <c r="AJ32">
        <v>24</v>
      </c>
    </row>
    <row r="33" spans="1:36" x14ac:dyDescent="0.25">
      <c r="A33" t="s">
        <v>277</v>
      </c>
      <c r="B33">
        <v>31</v>
      </c>
      <c r="C33" t="s">
        <v>33</v>
      </c>
      <c r="D33">
        <v>2</v>
      </c>
      <c r="F33">
        <v>2</v>
      </c>
      <c r="G33" t="s">
        <v>46</v>
      </c>
      <c r="K33" t="s">
        <v>227</v>
      </c>
      <c r="L33">
        <v>1</v>
      </c>
      <c r="M33">
        <v>1</v>
      </c>
      <c r="N33">
        <v>1</v>
      </c>
      <c r="O33" t="s">
        <v>228</v>
      </c>
      <c r="S33" t="s">
        <v>53</v>
      </c>
      <c r="T33">
        <v>1</v>
      </c>
      <c r="U33">
        <v>1</v>
      </c>
      <c r="V33">
        <v>1</v>
      </c>
      <c r="W33" t="s">
        <v>111</v>
      </c>
      <c r="X33" t="s">
        <v>83</v>
      </c>
      <c r="AA33" t="s">
        <v>48</v>
      </c>
      <c r="AB33">
        <v>3</v>
      </c>
      <c r="AD33">
        <v>2</v>
      </c>
      <c r="AE33" t="s">
        <v>89</v>
      </c>
      <c r="AF33" t="s">
        <v>84</v>
      </c>
      <c r="AI33">
        <v>7</v>
      </c>
      <c r="AJ33">
        <v>25</v>
      </c>
    </row>
    <row r="34" spans="1:36" x14ac:dyDescent="0.25">
      <c r="A34" t="s">
        <v>278</v>
      </c>
      <c r="B34">
        <v>32</v>
      </c>
      <c r="C34" t="s">
        <v>43</v>
      </c>
      <c r="D34">
        <v>3</v>
      </c>
      <c r="F34">
        <v>3</v>
      </c>
      <c r="G34" t="s">
        <v>135</v>
      </c>
      <c r="H34" t="s">
        <v>74</v>
      </c>
      <c r="I34" t="s">
        <v>100</v>
      </c>
      <c r="K34" t="s">
        <v>45</v>
      </c>
      <c r="L34">
        <v>1</v>
      </c>
      <c r="N34">
        <v>1</v>
      </c>
      <c r="O34" t="s">
        <v>47</v>
      </c>
      <c r="S34" t="s">
        <v>53</v>
      </c>
      <c r="T34">
        <v>3</v>
      </c>
      <c r="U34">
        <v>1</v>
      </c>
      <c r="V34">
        <v>1</v>
      </c>
      <c r="W34" t="s">
        <v>111</v>
      </c>
      <c r="X34" t="s">
        <v>83</v>
      </c>
      <c r="AA34" t="s">
        <v>48</v>
      </c>
      <c r="AB34">
        <v>2</v>
      </c>
      <c r="AD34">
        <v>1</v>
      </c>
      <c r="AE34" t="s">
        <v>89</v>
      </c>
      <c r="AI34">
        <v>10</v>
      </c>
      <c r="AJ34">
        <v>25</v>
      </c>
    </row>
    <row r="35" spans="1:36" x14ac:dyDescent="0.25">
      <c r="A35" t="s">
        <v>279</v>
      </c>
      <c r="B35">
        <v>33</v>
      </c>
      <c r="C35" t="s">
        <v>53</v>
      </c>
      <c r="D35">
        <v>1</v>
      </c>
      <c r="E35">
        <v>1</v>
      </c>
      <c r="F35">
        <v>1</v>
      </c>
      <c r="G35" t="s">
        <v>111</v>
      </c>
      <c r="K35" t="s">
        <v>48</v>
      </c>
      <c r="L35">
        <v>3</v>
      </c>
      <c r="N35">
        <v>3</v>
      </c>
      <c r="O35" t="s">
        <v>49</v>
      </c>
      <c r="P35" t="s">
        <v>71</v>
      </c>
      <c r="S35" t="s">
        <v>43</v>
      </c>
      <c r="T35">
        <v>3</v>
      </c>
      <c r="V35">
        <v>1</v>
      </c>
      <c r="W35" t="s">
        <v>135</v>
      </c>
      <c r="X35" t="s">
        <v>74</v>
      </c>
      <c r="AA35" t="s">
        <v>63</v>
      </c>
      <c r="AB35">
        <v>1</v>
      </c>
      <c r="AD35">
        <v>1</v>
      </c>
      <c r="AE35" t="s">
        <v>103</v>
      </c>
      <c r="AI35">
        <v>8</v>
      </c>
      <c r="AJ35">
        <v>26</v>
      </c>
    </row>
    <row r="36" spans="1:36" x14ac:dyDescent="0.25">
      <c r="A36" t="s">
        <v>280</v>
      </c>
      <c r="B36">
        <v>34</v>
      </c>
      <c r="C36" t="s">
        <v>43</v>
      </c>
      <c r="D36">
        <v>3</v>
      </c>
      <c r="F36">
        <v>1</v>
      </c>
      <c r="G36" t="s">
        <v>135</v>
      </c>
      <c r="H36" t="s">
        <v>74</v>
      </c>
      <c r="K36" t="s">
        <v>38</v>
      </c>
      <c r="L36">
        <v>1</v>
      </c>
      <c r="M36">
        <v>1</v>
      </c>
      <c r="N36">
        <v>1</v>
      </c>
      <c r="O36" t="s">
        <v>152</v>
      </c>
      <c r="S36" t="s">
        <v>53</v>
      </c>
      <c r="T36">
        <v>1</v>
      </c>
      <c r="U36">
        <v>1</v>
      </c>
      <c r="V36">
        <v>1</v>
      </c>
      <c r="W36" t="s">
        <v>111</v>
      </c>
      <c r="X36" t="s">
        <v>55</v>
      </c>
      <c r="AA36" t="s">
        <v>48</v>
      </c>
      <c r="AB36">
        <v>1</v>
      </c>
      <c r="AD36">
        <v>1</v>
      </c>
      <c r="AE36" t="s">
        <v>89</v>
      </c>
      <c r="AI36">
        <v>4</v>
      </c>
      <c r="AJ36">
        <v>17</v>
      </c>
    </row>
    <row r="37" spans="1:36" x14ac:dyDescent="0.25">
      <c r="A37" t="s">
        <v>281</v>
      </c>
      <c r="B37">
        <v>35</v>
      </c>
      <c r="C37" t="s">
        <v>43</v>
      </c>
      <c r="D37">
        <v>2</v>
      </c>
      <c r="F37">
        <v>1</v>
      </c>
      <c r="G37" t="s">
        <v>135</v>
      </c>
      <c r="H37" t="s">
        <v>74</v>
      </c>
      <c r="I37" t="s">
        <v>75</v>
      </c>
      <c r="K37" t="s">
        <v>227</v>
      </c>
      <c r="L37">
        <v>1</v>
      </c>
      <c r="M37">
        <v>1</v>
      </c>
      <c r="N37">
        <v>1</v>
      </c>
      <c r="O37" t="s">
        <v>228</v>
      </c>
      <c r="S37" t="s">
        <v>53</v>
      </c>
      <c r="T37">
        <v>2</v>
      </c>
      <c r="U37">
        <v>1</v>
      </c>
      <c r="V37">
        <v>1</v>
      </c>
      <c r="W37" t="s">
        <v>54</v>
      </c>
      <c r="AA37" t="s">
        <v>48</v>
      </c>
      <c r="AB37">
        <v>1</v>
      </c>
      <c r="AD37">
        <v>1</v>
      </c>
      <c r="AE37" t="s">
        <v>89</v>
      </c>
      <c r="AI37">
        <v>4</v>
      </c>
      <c r="AJ37">
        <v>25</v>
      </c>
    </row>
    <row r="38" spans="1:36" x14ac:dyDescent="0.25">
      <c r="A38" t="s">
        <v>282</v>
      </c>
      <c r="B38">
        <v>36</v>
      </c>
      <c r="C38" t="s">
        <v>53</v>
      </c>
      <c r="D38">
        <v>2</v>
      </c>
      <c r="E38">
        <v>1</v>
      </c>
      <c r="F38">
        <v>1</v>
      </c>
      <c r="G38" t="s">
        <v>54</v>
      </c>
      <c r="K38" t="s">
        <v>48</v>
      </c>
      <c r="L38">
        <v>2</v>
      </c>
      <c r="N38">
        <v>1</v>
      </c>
      <c r="O38" t="s">
        <v>49</v>
      </c>
      <c r="S38" t="s">
        <v>45</v>
      </c>
      <c r="T38">
        <v>3</v>
      </c>
      <c r="V38">
        <v>2</v>
      </c>
      <c r="W38" t="s">
        <v>86</v>
      </c>
      <c r="AA38" t="s">
        <v>63</v>
      </c>
      <c r="AB38">
        <v>1</v>
      </c>
      <c r="AD38">
        <v>1</v>
      </c>
      <c r="AE38" t="s">
        <v>103</v>
      </c>
      <c r="AI38">
        <v>5</v>
      </c>
      <c r="AJ38">
        <v>25</v>
      </c>
    </row>
    <row r="39" spans="1:36" x14ac:dyDescent="0.25">
      <c r="A39" t="s">
        <v>283</v>
      </c>
      <c r="B39">
        <v>37</v>
      </c>
      <c r="C39" t="s">
        <v>45</v>
      </c>
      <c r="D39">
        <v>2</v>
      </c>
      <c r="F39">
        <v>1</v>
      </c>
      <c r="G39" t="s">
        <v>47</v>
      </c>
      <c r="K39" t="s">
        <v>38</v>
      </c>
      <c r="L39">
        <v>2</v>
      </c>
      <c r="M39">
        <v>1</v>
      </c>
      <c r="N39">
        <v>3</v>
      </c>
      <c r="O39" t="s">
        <v>152</v>
      </c>
      <c r="P39" t="s">
        <v>40</v>
      </c>
      <c r="S39" t="s">
        <v>53</v>
      </c>
      <c r="T39">
        <v>2</v>
      </c>
      <c r="U39">
        <v>1</v>
      </c>
      <c r="V39">
        <v>2</v>
      </c>
      <c r="W39" t="s">
        <v>111</v>
      </c>
      <c r="X39" t="s">
        <v>83</v>
      </c>
      <c r="AA39" t="s">
        <v>48</v>
      </c>
      <c r="AB39">
        <v>1</v>
      </c>
      <c r="AD39">
        <v>1</v>
      </c>
      <c r="AE39" t="s">
        <v>89</v>
      </c>
      <c r="AI39">
        <v>8</v>
      </c>
      <c r="AJ39">
        <v>38</v>
      </c>
    </row>
    <row r="40" spans="1:36" x14ac:dyDescent="0.25">
      <c r="A40" t="s">
        <v>284</v>
      </c>
      <c r="B40">
        <v>38</v>
      </c>
      <c r="C40" t="s">
        <v>53</v>
      </c>
      <c r="D40">
        <v>1</v>
      </c>
      <c r="E40">
        <v>1</v>
      </c>
      <c r="F40">
        <v>1</v>
      </c>
      <c r="G40" t="s">
        <v>54</v>
      </c>
      <c r="K40" t="s">
        <v>48</v>
      </c>
      <c r="L40">
        <v>1</v>
      </c>
      <c r="N40">
        <v>1</v>
      </c>
      <c r="O40" t="s">
        <v>89</v>
      </c>
      <c r="S40" t="s">
        <v>45</v>
      </c>
      <c r="T40">
        <v>2</v>
      </c>
      <c r="V40">
        <v>1</v>
      </c>
      <c r="W40" t="s">
        <v>47</v>
      </c>
      <c r="AA40" t="s">
        <v>227</v>
      </c>
      <c r="AB40">
        <v>2</v>
      </c>
      <c r="AC40">
        <v>1</v>
      </c>
      <c r="AD40">
        <v>1</v>
      </c>
      <c r="AE40" t="s">
        <v>228</v>
      </c>
      <c r="AI40">
        <v>2</v>
      </c>
      <c r="AJ40">
        <v>21</v>
      </c>
    </row>
    <row r="41" spans="1:36" x14ac:dyDescent="0.25">
      <c r="A41" t="s">
        <v>285</v>
      </c>
      <c r="B41">
        <v>39</v>
      </c>
      <c r="C41" t="s">
        <v>53</v>
      </c>
      <c r="D41">
        <v>2</v>
      </c>
      <c r="E41">
        <v>1</v>
      </c>
      <c r="F41">
        <v>1</v>
      </c>
      <c r="G41" t="s">
        <v>111</v>
      </c>
      <c r="K41" t="s">
        <v>48</v>
      </c>
      <c r="L41">
        <v>2</v>
      </c>
      <c r="N41">
        <v>1</v>
      </c>
      <c r="O41" t="s">
        <v>49</v>
      </c>
      <c r="P41" t="s">
        <v>71</v>
      </c>
      <c r="Q41" t="s">
        <v>127</v>
      </c>
      <c r="R41" t="s">
        <v>52</v>
      </c>
      <c r="S41" t="s">
        <v>63</v>
      </c>
      <c r="T41">
        <v>2</v>
      </c>
      <c r="V41">
        <v>1</v>
      </c>
      <c r="W41" t="s">
        <v>103</v>
      </c>
      <c r="X41" t="s">
        <v>91</v>
      </c>
      <c r="Y41" t="s">
        <v>147</v>
      </c>
      <c r="AA41" t="s">
        <v>38</v>
      </c>
      <c r="AB41">
        <v>1</v>
      </c>
      <c r="AC41">
        <v>1</v>
      </c>
      <c r="AD41">
        <v>1</v>
      </c>
      <c r="AE41" t="s">
        <v>152</v>
      </c>
      <c r="AI41">
        <v>8</v>
      </c>
      <c r="AJ41">
        <v>34</v>
      </c>
    </row>
    <row r="42" spans="1:36" x14ac:dyDescent="0.25">
      <c r="A42" t="s">
        <v>286</v>
      </c>
      <c r="B42">
        <v>40</v>
      </c>
      <c r="C42" t="s">
        <v>63</v>
      </c>
      <c r="D42">
        <v>2</v>
      </c>
      <c r="F42">
        <v>1</v>
      </c>
      <c r="G42" t="s">
        <v>103</v>
      </c>
      <c r="H42" t="s">
        <v>91</v>
      </c>
      <c r="I42" t="s">
        <v>147</v>
      </c>
      <c r="K42" t="s">
        <v>227</v>
      </c>
      <c r="L42">
        <v>2</v>
      </c>
      <c r="M42">
        <v>1</v>
      </c>
      <c r="N42">
        <v>2</v>
      </c>
      <c r="O42" t="s">
        <v>228</v>
      </c>
      <c r="S42" t="s">
        <v>53</v>
      </c>
      <c r="T42">
        <v>1</v>
      </c>
      <c r="U42">
        <v>1</v>
      </c>
      <c r="V42">
        <v>1</v>
      </c>
      <c r="W42" t="s">
        <v>54</v>
      </c>
      <c r="X42" t="s">
        <v>55</v>
      </c>
      <c r="Y42" t="s">
        <v>105</v>
      </c>
      <c r="AA42" t="s">
        <v>48</v>
      </c>
      <c r="AB42">
        <v>1</v>
      </c>
      <c r="AD42">
        <v>1</v>
      </c>
      <c r="AE42" t="s">
        <v>89</v>
      </c>
      <c r="AI42">
        <v>7</v>
      </c>
      <c r="AJ42">
        <v>41</v>
      </c>
    </row>
    <row r="43" spans="1:36" x14ac:dyDescent="0.25">
      <c r="A43" t="s">
        <v>287</v>
      </c>
      <c r="B43">
        <v>41</v>
      </c>
      <c r="C43" t="s">
        <v>38</v>
      </c>
      <c r="D43">
        <v>3</v>
      </c>
      <c r="E43">
        <v>1</v>
      </c>
      <c r="F43">
        <v>2</v>
      </c>
      <c r="G43" t="s">
        <v>152</v>
      </c>
      <c r="H43" t="s">
        <v>70</v>
      </c>
      <c r="K43" t="s">
        <v>227</v>
      </c>
      <c r="L43">
        <v>1</v>
      </c>
      <c r="M43">
        <v>1</v>
      </c>
      <c r="N43">
        <v>1</v>
      </c>
      <c r="O43" t="s">
        <v>228</v>
      </c>
      <c r="S43" t="s">
        <v>53</v>
      </c>
      <c r="T43">
        <v>1</v>
      </c>
      <c r="U43">
        <v>1</v>
      </c>
      <c r="V43">
        <v>1</v>
      </c>
      <c r="W43" t="s">
        <v>111</v>
      </c>
      <c r="X43" t="s">
        <v>83</v>
      </c>
      <c r="AA43" t="s">
        <v>48</v>
      </c>
      <c r="AB43">
        <v>3</v>
      </c>
      <c r="AD43">
        <v>1</v>
      </c>
      <c r="AE43" t="s">
        <v>89</v>
      </c>
      <c r="AI43">
        <v>7</v>
      </c>
      <c r="AJ43">
        <v>29</v>
      </c>
    </row>
    <row r="44" spans="1:36" x14ac:dyDescent="0.25">
      <c r="A44" t="s">
        <v>288</v>
      </c>
      <c r="B44">
        <v>42</v>
      </c>
      <c r="C44" t="s">
        <v>56</v>
      </c>
      <c r="D44">
        <v>1</v>
      </c>
      <c r="F44">
        <v>1</v>
      </c>
      <c r="G44" t="s">
        <v>57</v>
      </c>
      <c r="H44" t="s">
        <v>122</v>
      </c>
      <c r="I44" t="s">
        <v>123</v>
      </c>
      <c r="K44" t="s">
        <v>48</v>
      </c>
      <c r="L44">
        <v>3</v>
      </c>
      <c r="N44">
        <v>1</v>
      </c>
      <c r="O44" t="s">
        <v>49</v>
      </c>
      <c r="S44" t="s">
        <v>53</v>
      </c>
      <c r="T44">
        <v>2</v>
      </c>
      <c r="U44">
        <v>1</v>
      </c>
      <c r="V44">
        <v>1</v>
      </c>
      <c r="W44" t="s">
        <v>111</v>
      </c>
      <c r="X44" t="s">
        <v>55</v>
      </c>
      <c r="AA44" t="s">
        <v>33</v>
      </c>
      <c r="AB44">
        <v>2</v>
      </c>
      <c r="AD44">
        <v>1</v>
      </c>
      <c r="AE44" t="s">
        <v>46</v>
      </c>
      <c r="AI44">
        <v>7</v>
      </c>
      <c r="AJ44">
        <v>33</v>
      </c>
    </row>
    <row r="45" spans="1:36" x14ac:dyDescent="0.25">
      <c r="A45" t="s">
        <v>289</v>
      </c>
      <c r="B45">
        <v>43</v>
      </c>
      <c r="C45" t="s">
        <v>53</v>
      </c>
      <c r="D45">
        <v>2</v>
      </c>
      <c r="E45">
        <v>1</v>
      </c>
      <c r="F45">
        <v>1</v>
      </c>
      <c r="G45" t="s">
        <v>111</v>
      </c>
      <c r="K45" t="s">
        <v>33</v>
      </c>
      <c r="L45">
        <v>2</v>
      </c>
      <c r="N45">
        <v>1</v>
      </c>
      <c r="O45" t="s">
        <v>46</v>
      </c>
      <c r="S45" t="s">
        <v>56</v>
      </c>
      <c r="T45">
        <v>1</v>
      </c>
      <c r="V45">
        <v>1</v>
      </c>
      <c r="W45" t="s">
        <v>57</v>
      </c>
      <c r="AA45" t="s">
        <v>43</v>
      </c>
      <c r="AB45">
        <v>1</v>
      </c>
      <c r="AD45">
        <v>1</v>
      </c>
      <c r="AE45" t="s">
        <v>135</v>
      </c>
      <c r="AI45">
        <v>2</v>
      </c>
      <c r="AJ45">
        <v>17</v>
      </c>
    </row>
    <row r="46" spans="1:36" x14ac:dyDescent="0.25">
      <c r="A46" t="s">
        <v>290</v>
      </c>
      <c r="B46">
        <v>44</v>
      </c>
      <c r="C46" t="s">
        <v>53</v>
      </c>
      <c r="D46">
        <v>1</v>
      </c>
      <c r="E46">
        <v>1</v>
      </c>
      <c r="F46">
        <v>1</v>
      </c>
      <c r="G46" t="s">
        <v>111</v>
      </c>
      <c r="K46" t="s">
        <v>33</v>
      </c>
      <c r="L46">
        <v>2</v>
      </c>
      <c r="N46">
        <v>3</v>
      </c>
      <c r="O46" t="s">
        <v>46</v>
      </c>
      <c r="P46" t="s">
        <v>35</v>
      </c>
      <c r="S46" t="s">
        <v>56</v>
      </c>
      <c r="T46">
        <v>1</v>
      </c>
      <c r="V46">
        <v>1</v>
      </c>
      <c r="W46" t="s">
        <v>57</v>
      </c>
      <c r="AA46" t="s">
        <v>45</v>
      </c>
      <c r="AB46">
        <v>2</v>
      </c>
      <c r="AD46">
        <v>1</v>
      </c>
      <c r="AE46" t="s">
        <v>47</v>
      </c>
      <c r="AI46">
        <v>5</v>
      </c>
      <c r="AJ46">
        <v>19</v>
      </c>
    </row>
    <row r="47" spans="1:36" x14ac:dyDescent="0.25">
      <c r="A47" t="s">
        <v>291</v>
      </c>
      <c r="B47">
        <v>45</v>
      </c>
      <c r="C47" t="s">
        <v>53</v>
      </c>
      <c r="D47">
        <v>3</v>
      </c>
      <c r="E47">
        <v>1</v>
      </c>
      <c r="F47">
        <v>1</v>
      </c>
      <c r="G47" t="s">
        <v>111</v>
      </c>
      <c r="K47" t="s">
        <v>33</v>
      </c>
      <c r="L47">
        <v>2</v>
      </c>
      <c r="N47">
        <v>1</v>
      </c>
      <c r="O47" t="s">
        <v>46</v>
      </c>
      <c r="P47" t="s">
        <v>35</v>
      </c>
      <c r="S47" t="s">
        <v>56</v>
      </c>
      <c r="T47">
        <v>2</v>
      </c>
      <c r="V47">
        <v>1</v>
      </c>
      <c r="W47" t="s">
        <v>57</v>
      </c>
      <c r="AA47" t="s">
        <v>63</v>
      </c>
      <c r="AB47">
        <v>1</v>
      </c>
      <c r="AD47">
        <v>1</v>
      </c>
      <c r="AE47" t="s">
        <v>72</v>
      </c>
      <c r="AI47">
        <v>5</v>
      </c>
      <c r="AJ47">
        <v>20</v>
      </c>
    </row>
    <row r="48" spans="1:36" x14ac:dyDescent="0.25">
      <c r="A48" t="s">
        <v>292</v>
      </c>
      <c r="B48">
        <v>46</v>
      </c>
      <c r="C48" t="s">
        <v>53</v>
      </c>
      <c r="D48">
        <v>1</v>
      </c>
      <c r="E48">
        <v>1</v>
      </c>
      <c r="F48">
        <v>1</v>
      </c>
      <c r="G48" t="s">
        <v>111</v>
      </c>
      <c r="H48" t="s">
        <v>113</v>
      </c>
      <c r="K48" t="s">
        <v>33</v>
      </c>
      <c r="L48">
        <v>1</v>
      </c>
      <c r="N48">
        <v>3</v>
      </c>
      <c r="O48" t="s">
        <v>46</v>
      </c>
      <c r="S48" t="s">
        <v>56</v>
      </c>
      <c r="T48">
        <v>1</v>
      </c>
      <c r="V48">
        <v>1</v>
      </c>
      <c r="W48" t="s">
        <v>57</v>
      </c>
      <c r="AA48" t="s">
        <v>38</v>
      </c>
      <c r="AB48">
        <v>1</v>
      </c>
      <c r="AC48">
        <v>2</v>
      </c>
      <c r="AD48">
        <v>1</v>
      </c>
      <c r="AE48" t="s">
        <v>152</v>
      </c>
      <c r="AF48" t="s">
        <v>70</v>
      </c>
      <c r="AG48" t="s">
        <v>41</v>
      </c>
      <c r="AH48" t="s">
        <v>42</v>
      </c>
      <c r="AI48">
        <v>7</v>
      </c>
      <c r="AJ48">
        <v>52</v>
      </c>
    </row>
    <row r="49" spans="1:36" x14ac:dyDescent="0.25">
      <c r="A49" t="s">
        <v>293</v>
      </c>
      <c r="B49">
        <v>47</v>
      </c>
      <c r="C49" t="s">
        <v>53</v>
      </c>
      <c r="D49">
        <v>1</v>
      </c>
      <c r="E49">
        <v>1</v>
      </c>
      <c r="F49">
        <v>1</v>
      </c>
      <c r="G49" t="s">
        <v>54</v>
      </c>
      <c r="H49" t="s">
        <v>83</v>
      </c>
      <c r="K49" t="s">
        <v>33</v>
      </c>
      <c r="L49">
        <v>2</v>
      </c>
      <c r="N49">
        <v>2</v>
      </c>
      <c r="O49" t="s">
        <v>46</v>
      </c>
      <c r="S49" t="s">
        <v>56</v>
      </c>
      <c r="T49">
        <v>3</v>
      </c>
      <c r="V49">
        <v>1</v>
      </c>
      <c r="W49" t="s">
        <v>57</v>
      </c>
      <c r="X49" t="s">
        <v>122</v>
      </c>
      <c r="AA49" t="s">
        <v>227</v>
      </c>
      <c r="AB49">
        <v>1</v>
      </c>
      <c r="AC49">
        <v>1</v>
      </c>
      <c r="AD49">
        <v>1</v>
      </c>
      <c r="AE49" t="s">
        <v>228</v>
      </c>
      <c r="AI49">
        <v>6</v>
      </c>
      <c r="AJ49">
        <v>24</v>
      </c>
    </row>
    <row r="50" spans="1:36" x14ac:dyDescent="0.25">
      <c r="A50" t="s">
        <v>294</v>
      </c>
      <c r="B50">
        <v>48</v>
      </c>
      <c r="C50" t="s">
        <v>53</v>
      </c>
      <c r="D50">
        <v>2</v>
      </c>
      <c r="E50">
        <v>1</v>
      </c>
      <c r="F50">
        <v>1</v>
      </c>
      <c r="G50" t="s">
        <v>111</v>
      </c>
      <c r="H50" t="s">
        <v>113</v>
      </c>
      <c r="K50" t="s">
        <v>33</v>
      </c>
      <c r="L50">
        <v>3</v>
      </c>
      <c r="N50">
        <v>3</v>
      </c>
      <c r="O50" t="s">
        <v>46</v>
      </c>
      <c r="S50" t="s">
        <v>48</v>
      </c>
      <c r="T50">
        <v>3</v>
      </c>
      <c r="V50">
        <v>1</v>
      </c>
      <c r="W50" t="s">
        <v>49</v>
      </c>
      <c r="X50" t="s">
        <v>71</v>
      </c>
      <c r="AA50" t="s">
        <v>43</v>
      </c>
      <c r="AB50">
        <v>3</v>
      </c>
      <c r="AD50">
        <v>2</v>
      </c>
      <c r="AE50" t="s">
        <v>135</v>
      </c>
      <c r="AF50" t="s">
        <v>136</v>
      </c>
      <c r="AI50">
        <v>13</v>
      </c>
      <c r="AJ50">
        <v>28</v>
      </c>
    </row>
    <row r="51" spans="1:36" x14ac:dyDescent="0.25">
      <c r="A51" t="s">
        <v>295</v>
      </c>
      <c r="B51">
        <v>49</v>
      </c>
      <c r="C51" t="s">
        <v>48</v>
      </c>
      <c r="D51">
        <v>1</v>
      </c>
      <c r="F51">
        <v>2</v>
      </c>
      <c r="G51" t="s">
        <v>49</v>
      </c>
      <c r="H51" t="s">
        <v>84</v>
      </c>
      <c r="I51" t="s">
        <v>127</v>
      </c>
      <c r="K51" t="s">
        <v>45</v>
      </c>
      <c r="L51">
        <v>2</v>
      </c>
      <c r="N51">
        <v>1</v>
      </c>
      <c r="O51" t="s">
        <v>47</v>
      </c>
      <c r="S51" t="s">
        <v>53</v>
      </c>
      <c r="T51">
        <v>2</v>
      </c>
      <c r="U51">
        <v>1</v>
      </c>
      <c r="V51">
        <v>2</v>
      </c>
      <c r="W51" t="s">
        <v>111</v>
      </c>
      <c r="X51" t="s">
        <v>83</v>
      </c>
      <c r="AA51" t="s">
        <v>33</v>
      </c>
      <c r="AB51">
        <v>1</v>
      </c>
      <c r="AD51">
        <v>2</v>
      </c>
      <c r="AE51" t="s">
        <v>46</v>
      </c>
      <c r="AI51">
        <v>8</v>
      </c>
      <c r="AJ51">
        <v>31</v>
      </c>
    </row>
    <row r="52" spans="1:36" x14ac:dyDescent="0.25">
      <c r="A52" t="s">
        <v>296</v>
      </c>
      <c r="B52">
        <v>50</v>
      </c>
      <c r="C52" t="s">
        <v>53</v>
      </c>
      <c r="D52">
        <v>1</v>
      </c>
      <c r="E52">
        <v>1</v>
      </c>
      <c r="F52">
        <v>1</v>
      </c>
      <c r="G52" t="s">
        <v>54</v>
      </c>
      <c r="K52" t="s">
        <v>33</v>
      </c>
      <c r="L52">
        <v>2</v>
      </c>
      <c r="N52">
        <v>2</v>
      </c>
      <c r="O52" t="s">
        <v>46</v>
      </c>
      <c r="S52" t="s">
        <v>48</v>
      </c>
      <c r="T52">
        <v>2</v>
      </c>
      <c r="V52">
        <v>1</v>
      </c>
      <c r="W52" t="s">
        <v>49</v>
      </c>
      <c r="AA52" t="s">
        <v>63</v>
      </c>
      <c r="AB52">
        <v>1</v>
      </c>
      <c r="AD52">
        <v>1</v>
      </c>
      <c r="AE52" t="s">
        <v>72</v>
      </c>
      <c r="AI52">
        <v>3</v>
      </c>
      <c r="AJ52">
        <v>28</v>
      </c>
    </row>
    <row r="53" spans="1:36" x14ac:dyDescent="0.25">
      <c r="A53" t="s">
        <v>297</v>
      </c>
      <c r="B53">
        <v>51</v>
      </c>
      <c r="C53" t="s">
        <v>48</v>
      </c>
      <c r="D53">
        <v>2</v>
      </c>
      <c r="F53">
        <v>1</v>
      </c>
      <c r="G53" t="s">
        <v>49</v>
      </c>
      <c r="K53" t="s">
        <v>38</v>
      </c>
      <c r="L53">
        <v>2</v>
      </c>
      <c r="M53">
        <v>1</v>
      </c>
      <c r="N53">
        <v>3</v>
      </c>
      <c r="O53" t="s">
        <v>152</v>
      </c>
      <c r="P53" t="s">
        <v>70</v>
      </c>
      <c r="Q53" t="s">
        <v>154</v>
      </c>
      <c r="R53" t="s">
        <v>42</v>
      </c>
      <c r="S53" t="s">
        <v>53</v>
      </c>
      <c r="T53">
        <v>3</v>
      </c>
      <c r="U53">
        <v>1</v>
      </c>
      <c r="V53">
        <v>1</v>
      </c>
      <c r="W53" t="s">
        <v>111</v>
      </c>
      <c r="X53" t="s">
        <v>55</v>
      </c>
      <c r="AA53" t="s">
        <v>33</v>
      </c>
      <c r="AB53">
        <v>1</v>
      </c>
      <c r="AD53">
        <v>2</v>
      </c>
      <c r="AE53" t="s">
        <v>46</v>
      </c>
      <c r="AI53">
        <v>11</v>
      </c>
      <c r="AJ53">
        <v>31</v>
      </c>
    </row>
    <row r="54" spans="1:36" x14ac:dyDescent="0.25">
      <c r="A54" t="s">
        <v>298</v>
      </c>
      <c r="B54">
        <v>52</v>
      </c>
      <c r="C54" t="s">
        <v>48</v>
      </c>
      <c r="D54">
        <v>2</v>
      </c>
      <c r="F54">
        <v>1</v>
      </c>
      <c r="G54" t="s">
        <v>49</v>
      </c>
      <c r="K54" t="s">
        <v>227</v>
      </c>
      <c r="L54">
        <v>2</v>
      </c>
      <c r="M54">
        <v>1</v>
      </c>
      <c r="N54">
        <v>3</v>
      </c>
      <c r="O54" t="s">
        <v>228</v>
      </c>
      <c r="P54" t="s">
        <v>231</v>
      </c>
      <c r="Q54" t="s">
        <v>235</v>
      </c>
      <c r="S54" t="s">
        <v>53</v>
      </c>
      <c r="T54">
        <v>1</v>
      </c>
      <c r="U54">
        <v>1</v>
      </c>
      <c r="V54">
        <v>1</v>
      </c>
      <c r="W54" t="s">
        <v>111</v>
      </c>
      <c r="AA54" t="s">
        <v>33</v>
      </c>
      <c r="AB54">
        <v>3</v>
      </c>
      <c r="AD54">
        <v>2</v>
      </c>
      <c r="AE54" t="s">
        <v>46</v>
      </c>
      <c r="AI54">
        <v>9</v>
      </c>
      <c r="AJ54">
        <v>36</v>
      </c>
    </row>
    <row r="55" spans="1:36" x14ac:dyDescent="0.25">
      <c r="A55" t="s">
        <v>299</v>
      </c>
      <c r="B55">
        <v>53</v>
      </c>
      <c r="C55" t="s">
        <v>53</v>
      </c>
      <c r="D55">
        <v>1</v>
      </c>
      <c r="E55">
        <v>1</v>
      </c>
      <c r="F55">
        <v>1</v>
      </c>
      <c r="G55" t="s">
        <v>111</v>
      </c>
      <c r="H55" t="s">
        <v>83</v>
      </c>
      <c r="I55" t="s">
        <v>114</v>
      </c>
      <c r="K55" t="s">
        <v>33</v>
      </c>
      <c r="L55">
        <v>1</v>
      </c>
      <c r="N55">
        <v>3</v>
      </c>
      <c r="O55" t="s">
        <v>46</v>
      </c>
      <c r="S55" t="s">
        <v>43</v>
      </c>
      <c r="T55">
        <v>2</v>
      </c>
      <c r="V55">
        <v>1</v>
      </c>
      <c r="W55" t="s">
        <v>135</v>
      </c>
      <c r="AA55" t="s">
        <v>45</v>
      </c>
      <c r="AB55">
        <v>3</v>
      </c>
      <c r="AD55">
        <v>1</v>
      </c>
      <c r="AE55" t="s">
        <v>47</v>
      </c>
      <c r="AI55">
        <v>7</v>
      </c>
      <c r="AJ55">
        <v>28</v>
      </c>
    </row>
    <row r="56" spans="1:36" x14ac:dyDescent="0.25">
      <c r="A56" t="s">
        <v>300</v>
      </c>
      <c r="B56">
        <v>54</v>
      </c>
      <c r="C56" t="s">
        <v>53</v>
      </c>
      <c r="D56">
        <v>1</v>
      </c>
      <c r="E56">
        <v>1</v>
      </c>
      <c r="F56">
        <v>1</v>
      </c>
      <c r="G56" t="s">
        <v>111</v>
      </c>
      <c r="K56" t="s">
        <v>33</v>
      </c>
      <c r="L56">
        <v>3</v>
      </c>
      <c r="N56">
        <v>3</v>
      </c>
      <c r="O56" t="s">
        <v>46</v>
      </c>
      <c r="P56" t="s">
        <v>35</v>
      </c>
      <c r="Q56" t="s">
        <v>131</v>
      </c>
      <c r="R56" t="s">
        <v>133</v>
      </c>
      <c r="S56" t="s">
        <v>43</v>
      </c>
      <c r="T56">
        <v>1</v>
      </c>
      <c r="V56">
        <v>1</v>
      </c>
      <c r="W56" t="s">
        <v>135</v>
      </c>
      <c r="X56" t="s">
        <v>136</v>
      </c>
      <c r="AA56" t="s">
        <v>63</v>
      </c>
      <c r="AB56">
        <v>2</v>
      </c>
      <c r="AD56">
        <v>1</v>
      </c>
      <c r="AE56" t="s">
        <v>103</v>
      </c>
      <c r="AF56" t="s">
        <v>95</v>
      </c>
      <c r="AG56" t="s">
        <v>104</v>
      </c>
      <c r="AI56">
        <v>11</v>
      </c>
      <c r="AJ56">
        <v>31</v>
      </c>
    </row>
    <row r="57" spans="1:36" x14ac:dyDescent="0.25">
      <c r="A57" t="s">
        <v>301</v>
      </c>
      <c r="B57">
        <v>55</v>
      </c>
      <c r="C57" t="s">
        <v>43</v>
      </c>
      <c r="D57">
        <v>3</v>
      </c>
      <c r="F57">
        <v>3</v>
      </c>
      <c r="G57" t="s">
        <v>135</v>
      </c>
      <c r="H57" t="s">
        <v>136</v>
      </c>
      <c r="I57" t="s">
        <v>100</v>
      </c>
      <c r="J57" t="s">
        <v>138</v>
      </c>
      <c r="K57" t="s">
        <v>38</v>
      </c>
      <c r="L57">
        <v>1</v>
      </c>
      <c r="M57">
        <v>1</v>
      </c>
      <c r="N57">
        <v>1</v>
      </c>
      <c r="O57" t="s">
        <v>152</v>
      </c>
      <c r="P57" t="s">
        <v>70</v>
      </c>
      <c r="S57" t="s">
        <v>53</v>
      </c>
      <c r="T57">
        <v>3</v>
      </c>
      <c r="U57">
        <v>1</v>
      </c>
      <c r="V57">
        <v>2</v>
      </c>
      <c r="W57" t="s">
        <v>111</v>
      </c>
      <c r="X57" t="s">
        <v>83</v>
      </c>
      <c r="Y57" t="s">
        <v>114</v>
      </c>
      <c r="AA57" t="s">
        <v>33</v>
      </c>
      <c r="AB57">
        <v>3</v>
      </c>
      <c r="AD57">
        <v>2</v>
      </c>
      <c r="AE57" t="s">
        <v>46</v>
      </c>
      <c r="AI57">
        <v>16</v>
      </c>
      <c r="AJ57">
        <v>41</v>
      </c>
    </row>
    <row r="58" spans="1:36" x14ac:dyDescent="0.25">
      <c r="A58" t="s">
        <v>302</v>
      </c>
      <c r="B58">
        <v>56</v>
      </c>
      <c r="C58" t="s">
        <v>53</v>
      </c>
      <c r="D58">
        <v>2</v>
      </c>
      <c r="E58">
        <v>1</v>
      </c>
      <c r="F58">
        <v>1</v>
      </c>
      <c r="G58" t="s">
        <v>111</v>
      </c>
      <c r="K58" t="s">
        <v>33</v>
      </c>
      <c r="L58">
        <v>1</v>
      </c>
      <c r="N58">
        <v>2</v>
      </c>
      <c r="O58" t="s">
        <v>46</v>
      </c>
      <c r="S58" t="s">
        <v>43</v>
      </c>
      <c r="T58">
        <v>2</v>
      </c>
      <c r="V58">
        <v>1</v>
      </c>
      <c r="W58" t="s">
        <v>135</v>
      </c>
      <c r="X58" t="s">
        <v>136</v>
      </c>
      <c r="AA58" t="s">
        <v>227</v>
      </c>
      <c r="AB58">
        <v>2</v>
      </c>
      <c r="AC58">
        <v>1</v>
      </c>
      <c r="AD58">
        <v>1</v>
      </c>
      <c r="AE58" t="s">
        <v>228</v>
      </c>
      <c r="AF58" t="s">
        <v>231</v>
      </c>
      <c r="AI58">
        <v>6</v>
      </c>
      <c r="AJ58">
        <v>22</v>
      </c>
    </row>
    <row r="59" spans="1:36" x14ac:dyDescent="0.25">
      <c r="A59" t="s">
        <v>303</v>
      </c>
      <c r="B59">
        <v>57</v>
      </c>
      <c r="C59" t="s">
        <v>53</v>
      </c>
      <c r="D59">
        <v>1</v>
      </c>
      <c r="E59">
        <v>1</v>
      </c>
      <c r="F59">
        <v>1</v>
      </c>
      <c r="G59" t="s">
        <v>111</v>
      </c>
      <c r="K59" t="s">
        <v>33</v>
      </c>
      <c r="L59">
        <v>2</v>
      </c>
      <c r="N59">
        <v>2</v>
      </c>
      <c r="O59" t="s">
        <v>46</v>
      </c>
      <c r="S59" t="s">
        <v>45</v>
      </c>
      <c r="T59">
        <v>2</v>
      </c>
      <c r="V59">
        <v>1</v>
      </c>
      <c r="W59" t="s">
        <v>47</v>
      </c>
      <c r="AA59" t="s">
        <v>63</v>
      </c>
      <c r="AB59">
        <v>1</v>
      </c>
      <c r="AD59">
        <v>1</v>
      </c>
      <c r="AE59" t="s">
        <v>103</v>
      </c>
      <c r="AI59">
        <v>3</v>
      </c>
      <c r="AJ59">
        <v>18</v>
      </c>
    </row>
    <row r="60" spans="1:36" x14ac:dyDescent="0.25">
      <c r="A60" t="s">
        <v>304</v>
      </c>
      <c r="B60">
        <v>58</v>
      </c>
      <c r="C60" t="s">
        <v>53</v>
      </c>
      <c r="D60">
        <v>1</v>
      </c>
      <c r="E60">
        <v>1</v>
      </c>
      <c r="F60">
        <v>1</v>
      </c>
      <c r="G60" t="s">
        <v>111</v>
      </c>
      <c r="K60" t="s">
        <v>33</v>
      </c>
      <c r="L60">
        <v>1</v>
      </c>
      <c r="N60">
        <v>2</v>
      </c>
      <c r="O60" t="s">
        <v>46</v>
      </c>
      <c r="S60" t="s">
        <v>45</v>
      </c>
      <c r="T60">
        <v>2</v>
      </c>
      <c r="V60">
        <v>1</v>
      </c>
      <c r="W60" t="s">
        <v>47</v>
      </c>
      <c r="AA60" t="s">
        <v>38</v>
      </c>
      <c r="AB60">
        <v>1</v>
      </c>
      <c r="AC60">
        <v>1</v>
      </c>
      <c r="AD60">
        <v>1</v>
      </c>
      <c r="AE60" t="s">
        <v>152</v>
      </c>
      <c r="AI60">
        <v>2</v>
      </c>
      <c r="AJ60">
        <v>20</v>
      </c>
    </row>
    <row r="61" spans="1:36" x14ac:dyDescent="0.25">
      <c r="A61" t="s">
        <v>305</v>
      </c>
      <c r="B61">
        <v>59</v>
      </c>
      <c r="C61" t="s">
        <v>53</v>
      </c>
      <c r="D61">
        <v>1</v>
      </c>
      <c r="E61">
        <v>1</v>
      </c>
      <c r="F61">
        <v>1</v>
      </c>
      <c r="G61" t="s">
        <v>111</v>
      </c>
      <c r="K61" t="s">
        <v>33</v>
      </c>
      <c r="L61">
        <v>1</v>
      </c>
      <c r="N61">
        <v>3</v>
      </c>
      <c r="O61" t="s">
        <v>46</v>
      </c>
      <c r="S61" t="s">
        <v>45</v>
      </c>
      <c r="T61">
        <v>2</v>
      </c>
      <c r="V61">
        <v>1</v>
      </c>
      <c r="W61" t="s">
        <v>47</v>
      </c>
      <c r="AA61" t="s">
        <v>227</v>
      </c>
      <c r="AB61">
        <v>2</v>
      </c>
      <c r="AC61">
        <v>1</v>
      </c>
      <c r="AD61">
        <v>1</v>
      </c>
      <c r="AE61" t="s">
        <v>228</v>
      </c>
      <c r="AF61" t="s">
        <v>231</v>
      </c>
      <c r="AI61">
        <v>5</v>
      </c>
      <c r="AJ61">
        <v>27</v>
      </c>
    </row>
    <row r="62" spans="1:36" x14ac:dyDescent="0.25">
      <c r="A62" t="s">
        <v>306</v>
      </c>
      <c r="B62">
        <v>60</v>
      </c>
      <c r="C62" t="s">
        <v>53</v>
      </c>
      <c r="D62">
        <v>1</v>
      </c>
      <c r="E62">
        <v>1</v>
      </c>
      <c r="F62">
        <v>1</v>
      </c>
      <c r="G62" t="s">
        <v>111</v>
      </c>
      <c r="H62" t="s">
        <v>55</v>
      </c>
      <c r="K62" t="s">
        <v>33</v>
      </c>
      <c r="L62">
        <v>2</v>
      </c>
      <c r="N62">
        <v>1</v>
      </c>
      <c r="O62" t="s">
        <v>46</v>
      </c>
      <c r="P62" t="s">
        <v>35</v>
      </c>
      <c r="S62" t="s">
        <v>63</v>
      </c>
      <c r="T62">
        <v>1</v>
      </c>
      <c r="V62">
        <v>1</v>
      </c>
      <c r="W62" t="s">
        <v>72</v>
      </c>
      <c r="AA62" t="s">
        <v>38</v>
      </c>
      <c r="AB62">
        <v>2</v>
      </c>
      <c r="AC62">
        <v>1</v>
      </c>
      <c r="AD62">
        <v>1</v>
      </c>
      <c r="AE62" t="s">
        <v>152</v>
      </c>
      <c r="AF62" t="s">
        <v>96</v>
      </c>
      <c r="AI62">
        <v>5</v>
      </c>
      <c r="AJ62">
        <v>25</v>
      </c>
    </row>
    <row r="63" spans="1:36" x14ac:dyDescent="0.25">
      <c r="A63" t="s">
        <v>307</v>
      </c>
      <c r="B63">
        <v>61</v>
      </c>
      <c r="C63" t="s">
        <v>53</v>
      </c>
      <c r="D63">
        <v>1</v>
      </c>
      <c r="E63">
        <v>1</v>
      </c>
      <c r="F63">
        <v>1</v>
      </c>
      <c r="G63" t="s">
        <v>54</v>
      </c>
      <c r="K63" t="s">
        <v>33</v>
      </c>
      <c r="L63">
        <v>2</v>
      </c>
      <c r="N63">
        <v>1</v>
      </c>
      <c r="O63" t="s">
        <v>46</v>
      </c>
      <c r="S63" t="s">
        <v>63</v>
      </c>
      <c r="T63">
        <v>1</v>
      </c>
      <c r="V63">
        <v>1</v>
      </c>
      <c r="W63" t="s">
        <v>103</v>
      </c>
      <c r="AA63" t="s">
        <v>227</v>
      </c>
      <c r="AB63">
        <v>1</v>
      </c>
      <c r="AC63">
        <v>1</v>
      </c>
      <c r="AD63">
        <v>2</v>
      </c>
      <c r="AE63" t="s">
        <v>228</v>
      </c>
      <c r="AF63" t="s">
        <v>231</v>
      </c>
      <c r="AG63" t="s">
        <v>235</v>
      </c>
      <c r="AI63">
        <v>4</v>
      </c>
      <c r="AJ63">
        <v>23</v>
      </c>
    </row>
    <row r="64" spans="1:36" x14ac:dyDescent="0.25">
      <c r="A64" t="s">
        <v>308</v>
      </c>
      <c r="B64">
        <v>62</v>
      </c>
      <c r="C64" t="s">
        <v>38</v>
      </c>
      <c r="D64">
        <v>1</v>
      </c>
      <c r="E64">
        <v>2</v>
      </c>
      <c r="F64">
        <v>2</v>
      </c>
      <c r="G64" t="s">
        <v>152</v>
      </c>
      <c r="H64" t="s">
        <v>70</v>
      </c>
      <c r="K64" t="s">
        <v>227</v>
      </c>
      <c r="L64">
        <v>2</v>
      </c>
      <c r="M64">
        <v>1</v>
      </c>
      <c r="N64">
        <v>1</v>
      </c>
      <c r="O64" t="s">
        <v>228</v>
      </c>
      <c r="S64" t="s">
        <v>53</v>
      </c>
      <c r="T64">
        <v>2</v>
      </c>
      <c r="U64">
        <v>1</v>
      </c>
      <c r="V64">
        <v>1</v>
      </c>
      <c r="W64" t="s">
        <v>54</v>
      </c>
      <c r="X64" t="s">
        <v>83</v>
      </c>
      <c r="AA64" t="s">
        <v>33</v>
      </c>
      <c r="AB64">
        <v>2</v>
      </c>
      <c r="AD64">
        <v>1</v>
      </c>
      <c r="AE64" t="s">
        <v>46</v>
      </c>
      <c r="AI64">
        <v>7</v>
      </c>
      <c r="AJ64">
        <v>29</v>
      </c>
    </row>
    <row r="65" spans="1:36" x14ac:dyDescent="0.25">
      <c r="A65" t="s">
        <v>309</v>
      </c>
      <c r="B65">
        <v>63</v>
      </c>
      <c r="C65" t="s">
        <v>56</v>
      </c>
      <c r="D65">
        <v>1</v>
      </c>
      <c r="F65">
        <v>1</v>
      </c>
      <c r="G65" t="s">
        <v>57</v>
      </c>
      <c r="H65" t="s">
        <v>69</v>
      </c>
      <c r="K65" t="s">
        <v>48</v>
      </c>
      <c r="L65">
        <v>2</v>
      </c>
      <c r="N65">
        <v>1</v>
      </c>
      <c r="O65" t="s">
        <v>49</v>
      </c>
      <c r="P65" t="s">
        <v>71</v>
      </c>
      <c r="Q65" t="s">
        <v>127</v>
      </c>
      <c r="S65" t="s">
        <v>53</v>
      </c>
      <c r="T65">
        <v>2</v>
      </c>
      <c r="U65">
        <v>1</v>
      </c>
      <c r="V65">
        <v>2</v>
      </c>
      <c r="W65" t="s">
        <v>54</v>
      </c>
      <c r="AA65" t="s">
        <v>43</v>
      </c>
      <c r="AB65">
        <v>2</v>
      </c>
      <c r="AD65">
        <v>1</v>
      </c>
      <c r="AE65" t="s">
        <v>135</v>
      </c>
      <c r="AF65" t="s">
        <v>136</v>
      </c>
      <c r="AI65">
        <v>8</v>
      </c>
      <c r="AJ65">
        <v>26</v>
      </c>
    </row>
    <row r="66" spans="1:36" x14ac:dyDescent="0.25">
      <c r="A66" t="s">
        <v>310</v>
      </c>
      <c r="B66">
        <v>64</v>
      </c>
      <c r="C66" t="s">
        <v>56</v>
      </c>
      <c r="D66">
        <v>2</v>
      </c>
      <c r="F66">
        <v>1</v>
      </c>
      <c r="G66" t="s">
        <v>68</v>
      </c>
      <c r="K66" t="s">
        <v>33</v>
      </c>
      <c r="L66">
        <v>1</v>
      </c>
      <c r="N66">
        <v>2</v>
      </c>
      <c r="O66" t="s">
        <v>46</v>
      </c>
      <c r="S66" t="s">
        <v>53</v>
      </c>
      <c r="T66">
        <v>1</v>
      </c>
      <c r="U66">
        <v>1</v>
      </c>
      <c r="V66">
        <v>2</v>
      </c>
      <c r="W66" t="s">
        <v>111</v>
      </c>
      <c r="AA66" t="s">
        <v>43</v>
      </c>
      <c r="AB66">
        <v>3</v>
      </c>
      <c r="AD66">
        <v>1</v>
      </c>
      <c r="AE66" t="s">
        <v>135</v>
      </c>
      <c r="AF66" t="s">
        <v>136</v>
      </c>
      <c r="AI66">
        <v>6</v>
      </c>
      <c r="AJ66">
        <v>23</v>
      </c>
    </row>
    <row r="67" spans="1:36" x14ac:dyDescent="0.25">
      <c r="A67" t="s">
        <v>311</v>
      </c>
      <c r="B67">
        <v>65</v>
      </c>
      <c r="C67" t="s">
        <v>53</v>
      </c>
      <c r="D67">
        <v>3</v>
      </c>
      <c r="E67">
        <v>2</v>
      </c>
      <c r="F67">
        <v>1</v>
      </c>
      <c r="G67" t="s">
        <v>111</v>
      </c>
      <c r="H67" t="s">
        <v>55</v>
      </c>
      <c r="I67" t="s">
        <v>114</v>
      </c>
      <c r="K67" t="s">
        <v>43</v>
      </c>
      <c r="L67">
        <v>1</v>
      </c>
      <c r="N67">
        <v>1</v>
      </c>
      <c r="O67" t="s">
        <v>135</v>
      </c>
      <c r="S67" t="s">
        <v>56</v>
      </c>
      <c r="T67">
        <v>1</v>
      </c>
      <c r="V67">
        <v>1</v>
      </c>
      <c r="W67" t="s">
        <v>57</v>
      </c>
      <c r="AA67" t="s">
        <v>45</v>
      </c>
      <c r="AB67">
        <v>2</v>
      </c>
      <c r="AD67">
        <v>1</v>
      </c>
      <c r="AE67" t="s">
        <v>47</v>
      </c>
      <c r="AI67">
        <v>6</v>
      </c>
      <c r="AJ67">
        <v>28</v>
      </c>
    </row>
    <row r="68" spans="1:36" x14ac:dyDescent="0.25">
      <c r="A68" t="s">
        <v>312</v>
      </c>
      <c r="B68">
        <v>66</v>
      </c>
      <c r="C68" t="s">
        <v>56</v>
      </c>
      <c r="D68">
        <v>2</v>
      </c>
      <c r="F68">
        <v>1</v>
      </c>
      <c r="G68" t="s">
        <v>57</v>
      </c>
      <c r="H68" t="s">
        <v>122</v>
      </c>
      <c r="K68" t="s">
        <v>63</v>
      </c>
      <c r="L68">
        <v>1</v>
      </c>
      <c r="N68">
        <v>1</v>
      </c>
      <c r="O68" t="s">
        <v>72</v>
      </c>
      <c r="P68" t="s">
        <v>95</v>
      </c>
      <c r="S68" t="s">
        <v>53</v>
      </c>
      <c r="T68">
        <v>2</v>
      </c>
      <c r="U68">
        <v>1</v>
      </c>
      <c r="V68">
        <v>1</v>
      </c>
      <c r="W68" t="s">
        <v>54</v>
      </c>
      <c r="X68" t="s">
        <v>55</v>
      </c>
      <c r="AA68" t="s">
        <v>43</v>
      </c>
      <c r="AB68">
        <v>2</v>
      </c>
      <c r="AD68">
        <v>2</v>
      </c>
      <c r="AE68" t="s">
        <v>135</v>
      </c>
      <c r="AF68" t="s">
        <v>136</v>
      </c>
      <c r="AI68">
        <v>8</v>
      </c>
      <c r="AJ68">
        <v>32</v>
      </c>
    </row>
    <row r="69" spans="1:36" x14ac:dyDescent="0.25">
      <c r="A69" t="s">
        <v>313</v>
      </c>
      <c r="B69">
        <v>67</v>
      </c>
      <c r="C69" t="s">
        <v>53</v>
      </c>
      <c r="D69">
        <v>1</v>
      </c>
      <c r="E69">
        <v>1</v>
      </c>
      <c r="F69">
        <v>1</v>
      </c>
      <c r="G69" t="s">
        <v>111</v>
      </c>
      <c r="H69" t="s">
        <v>55</v>
      </c>
      <c r="K69" t="s">
        <v>43</v>
      </c>
      <c r="L69">
        <v>2</v>
      </c>
      <c r="N69">
        <v>2</v>
      </c>
      <c r="O69" t="s">
        <v>135</v>
      </c>
      <c r="P69" t="s">
        <v>99</v>
      </c>
      <c r="Q69" t="s">
        <v>137</v>
      </c>
      <c r="R69" t="s">
        <v>138</v>
      </c>
      <c r="S69" t="s">
        <v>56</v>
      </c>
      <c r="T69">
        <v>2</v>
      </c>
      <c r="V69">
        <v>1</v>
      </c>
      <c r="W69" t="s">
        <v>57</v>
      </c>
      <c r="X69" t="s">
        <v>122</v>
      </c>
      <c r="AA69" t="s">
        <v>38</v>
      </c>
      <c r="AB69">
        <v>2</v>
      </c>
      <c r="AC69">
        <v>1</v>
      </c>
      <c r="AD69">
        <v>2</v>
      </c>
      <c r="AE69" t="s">
        <v>152</v>
      </c>
      <c r="AF69" t="s">
        <v>96</v>
      </c>
      <c r="AG69" t="s">
        <v>41</v>
      </c>
      <c r="AI69">
        <v>12</v>
      </c>
      <c r="AJ69">
        <v>46</v>
      </c>
    </row>
    <row r="70" spans="1:36" x14ac:dyDescent="0.25">
      <c r="A70" t="s">
        <v>314</v>
      </c>
      <c r="B70">
        <v>68</v>
      </c>
      <c r="C70" t="s">
        <v>53</v>
      </c>
      <c r="D70">
        <v>2</v>
      </c>
      <c r="E70">
        <v>1</v>
      </c>
      <c r="F70">
        <v>1</v>
      </c>
      <c r="G70" t="s">
        <v>54</v>
      </c>
      <c r="H70" t="s">
        <v>55</v>
      </c>
      <c r="K70" t="s">
        <v>43</v>
      </c>
      <c r="L70">
        <v>1</v>
      </c>
      <c r="N70">
        <v>1</v>
      </c>
      <c r="O70" t="s">
        <v>73</v>
      </c>
      <c r="P70" t="s">
        <v>99</v>
      </c>
      <c r="Q70" t="s">
        <v>137</v>
      </c>
      <c r="S70" t="s">
        <v>56</v>
      </c>
      <c r="T70">
        <v>1</v>
      </c>
      <c r="V70">
        <v>1</v>
      </c>
      <c r="W70" t="s">
        <v>57</v>
      </c>
      <c r="X70" t="s">
        <v>122</v>
      </c>
      <c r="AA70" t="s">
        <v>227</v>
      </c>
      <c r="AB70">
        <v>1</v>
      </c>
      <c r="AC70">
        <v>1</v>
      </c>
      <c r="AD70">
        <v>1</v>
      </c>
      <c r="AE70" t="s">
        <v>228</v>
      </c>
      <c r="AI70">
        <v>5</v>
      </c>
      <c r="AJ70">
        <v>24</v>
      </c>
    </row>
    <row r="71" spans="1:36" x14ac:dyDescent="0.25">
      <c r="A71" t="s">
        <v>315</v>
      </c>
      <c r="B71">
        <v>69</v>
      </c>
      <c r="C71" t="s">
        <v>53</v>
      </c>
      <c r="D71">
        <v>1</v>
      </c>
      <c r="E71">
        <v>1</v>
      </c>
      <c r="F71">
        <v>1</v>
      </c>
      <c r="G71" t="s">
        <v>111</v>
      </c>
      <c r="K71" t="s">
        <v>43</v>
      </c>
      <c r="L71">
        <v>3</v>
      </c>
      <c r="N71">
        <v>2</v>
      </c>
      <c r="O71" t="s">
        <v>135</v>
      </c>
      <c r="P71" t="s">
        <v>136</v>
      </c>
      <c r="S71" t="s">
        <v>48</v>
      </c>
      <c r="T71">
        <v>1</v>
      </c>
      <c r="V71">
        <v>1</v>
      </c>
      <c r="W71" t="s">
        <v>49</v>
      </c>
      <c r="AA71" t="s">
        <v>33</v>
      </c>
      <c r="AB71">
        <v>3</v>
      </c>
      <c r="AD71">
        <v>2</v>
      </c>
      <c r="AE71" t="s">
        <v>46</v>
      </c>
      <c r="AI71">
        <v>7</v>
      </c>
      <c r="AJ71">
        <v>23</v>
      </c>
    </row>
    <row r="72" spans="1:36" x14ac:dyDescent="0.25">
      <c r="A72" t="s">
        <v>316</v>
      </c>
      <c r="B72">
        <v>70</v>
      </c>
      <c r="C72" t="s">
        <v>48</v>
      </c>
      <c r="D72">
        <v>2</v>
      </c>
      <c r="F72">
        <v>1</v>
      </c>
      <c r="G72" t="s">
        <v>49</v>
      </c>
      <c r="H72" t="s">
        <v>50</v>
      </c>
      <c r="I72" t="s">
        <v>127</v>
      </c>
      <c r="K72" t="s">
        <v>45</v>
      </c>
      <c r="L72">
        <v>2</v>
      </c>
      <c r="N72">
        <v>1</v>
      </c>
      <c r="O72" t="s">
        <v>47</v>
      </c>
      <c r="S72" t="s">
        <v>53</v>
      </c>
      <c r="T72">
        <v>1</v>
      </c>
      <c r="U72">
        <v>1</v>
      </c>
      <c r="V72">
        <v>3</v>
      </c>
      <c r="W72" t="s">
        <v>111</v>
      </c>
      <c r="AA72" t="s">
        <v>43</v>
      </c>
      <c r="AB72">
        <v>3</v>
      </c>
      <c r="AD72">
        <v>1</v>
      </c>
      <c r="AE72" t="s">
        <v>135</v>
      </c>
      <c r="AF72" t="s">
        <v>99</v>
      </c>
      <c r="AI72">
        <v>9</v>
      </c>
      <c r="AJ72">
        <v>50</v>
      </c>
    </row>
    <row r="73" spans="1:36" x14ac:dyDescent="0.25">
      <c r="A73" t="s">
        <v>317</v>
      </c>
      <c r="B73">
        <v>71</v>
      </c>
      <c r="C73" t="s">
        <v>48</v>
      </c>
      <c r="D73">
        <v>2</v>
      </c>
      <c r="F73">
        <v>1</v>
      </c>
      <c r="G73" t="s">
        <v>49</v>
      </c>
      <c r="K73" t="s">
        <v>63</v>
      </c>
      <c r="L73">
        <v>1</v>
      </c>
      <c r="N73">
        <v>1</v>
      </c>
      <c r="O73" t="s">
        <v>103</v>
      </c>
      <c r="P73" t="s">
        <v>95</v>
      </c>
      <c r="Q73" t="s">
        <v>104</v>
      </c>
      <c r="S73" t="s">
        <v>53</v>
      </c>
      <c r="T73">
        <v>1</v>
      </c>
      <c r="U73">
        <v>1</v>
      </c>
      <c r="V73">
        <v>1</v>
      </c>
      <c r="W73" t="s">
        <v>54</v>
      </c>
      <c r="AA73" t="s">
        <v>43</v>
      </c>
      <c r="AB73">
        <v>2</v>
      </c>
      <c r="AD73">
        <v>1</v>
      </c>
      <c r="AE73" t="s">
        <v>135</v>
      </c>
      <c r="AI73">
        <v>4</v>
      </c>
      <c r="AJ73">
        <v>17</v>
      </c>
    </row>
    <row r="74" spans="1:36" x14ac:dyDescent="0.25">
      <c r="A74" t="s">
        <v>318</v>
      </c>
      <c r="B74">
        <v>72</v>
      </c>
      <c r="C74" t="s">
        <v>53</v>
      </c>
      <c r="D74">
        <v>2</v>
      </c>
      <c r="E74">
        <v>1</v>
      </c>
      <c r="F74">
        <v>1</v>
      </c>
      <c r="G74" t="s">
        <v>111</v>
      </c>
      <c r="K74" t="s">
        <v>43</v>
      </c>
      <c r="L74">
        <v>1</v>
      </c>
      <c r="N74">
        <v>1</v>
      </c>
      <c r="O74" t="s">
        <v>135</v>
      </c>
      <c r="P74" t="s">
        <v>74</v>
      </c>
      <c r="S74" t="s">
        <v>48</v>
      </c>
      <c r="T74">
        <v>3</v>
      </c>
      <c r="V74">
        <v>2</v>
      </c>
      <c r="W74" t="s">
        <v>49</v>
      </c>
      <c r="AA74" t="s">
        <v>38</v>
      </c>
      <c r="AB74">
        <v>1</v>
      </c>
      <c r="AC74">
        <v>1</v>
      </c>
      <c r="AD74">
        <v>1</v>
      </c>
      <c r="AE74" t="s">
        <v>152</v>
      </c>
      <c r="AI74">
        <v>5</v>
      </c>
      <c r="AJ74">
        <v>25</v>
      </c>
    </row>
    <row r="75" spans="1:36" x14ac:dyDescent="0.25">
      <c r="A75" t="s">
        <v>319</v>
      </c>
      <c r="B75">
        <v>73</v>
      </c>
      <c r="C75" t="s">
        <v>53</v>
      </c>
      <c r="D75">
        <v>2</v>
      </c>
      <c r="E75">
        <v>1</v>
      </c>
      <c r="F75">
        <v>1</v>
      </c>
      <c r="G75" t="s">
        <v>54</v>
      </c>
      <c r="K75" t="s">
        <v>43</v>
      </c>
      <c r="L75">
        <v>2</v>
      </c>
      <c r="N75">
        <v>1</v>
      </c>
      <c r="O75" t="s">
        <v>73</v>
      </c>
      <c r="P75" t="s">
        <v>99</v>
      </c>
      <c r="S75" t="s">
        <v>48</v>
      </c>
      <c r="T75">
        <v>2</v>
      </c>
      <c r="V75">
        <v>1</v>
      </c>
      <c r="W75" t="s">
        <v>49</v>
      </c>
      <c r="AA75" t="s">
        <v>227</v>
      </c>
      <c r="AB75">
        <v>1</v>
      </c>
      <c r="AC75">
        <v>1</v>
      </c>
      <c r="AD75">
        <v>1</v>
      </c>
      <c r="AE75" t="s">
        <v>228</v>
      </c>
      <c r="AI75">
        <v>4</v>
      </c>
      <c r="AJ75">
        <v>26</v>
      </c>
    </row>
    <row r="76" spans="1:36" x14ac:dyDescent="0.25">
      <c r="A76" t="s">
        <v>320</v>
      </c>
      <c r="B76">
        <v>74</v>
      </c>
      <c r="C76" t="s">
        <v>33</v>
      </c>
      <c r="D76">
        <v>1</v>
      </c>
      <c r="F76">
        <v>1</v>
      </c>
      <c r="G76" t="s">
        <v>46</v>
      </c>
      <c r="K76" t="s">
        <v>45</v>
      </c>
      <c r="L76">
        <v>3</v>
      </c>
      <c r="N76">
        <v>1</v>
      </c>
      <c r="O76" t="s">
        <v>47</v>
      </c>
      <c r="S76" t="s">
        <v>53</v>
      </c>
      <c r="T76">
        <v>1</v>
      </c>
      <c r="U76">
        <v>1</v>
      </c>
      <c r="V76">
        <v>2</v>
      </c>
      <c r="W76" t="s">
        <v>111</v>
      </c>
      <c r="X76" t="s">
        <v>55</v>
      </c>
      <c r="AA76" t="s">
        <v>43</v>
      </c>
      <c r="AB76">
        <v>1</v>
      </c>
      <c r="AD76">
        <v>2</v>
      </c>
      <c r="AE76" t="s">
        <v>135</v>
      </c>
      <c r="AF76" t="s">
        <v>136</v>
      </c>
      <c r="AI76">
        <v>6</v>
      </c>
      <c r="AJ76">
        <v>30</v>
      </c>
    </row>
    <row r="77" spans="1:36" x14ac:dyDescent="0.25">
      <c r="A77" t="s">
        <v>321</v>
      </c>
      <c r="B77">
        <v>75</v>
      </c>
      <c r="C77" t="s">
        <v>53</v>
      </c>
      <c r="D77">
        <v>1</v>
      </c>
      <c r="E77">
        <v>1</v>
      </c>
      <c r="F77">
        <v>2</v>
      </c>
      <c r="G77" t="s">
        <v>111</v>
      </c>
      <c r="K77" t="s">
        <v>43</v>
      </c>
      <c r="L77">
        <v>3</v>
      </c>
      <c r="N77">
        <v>1</v>
      </c>
      <c r="O77" t="s">
        <v>135</v>
      </c>
      <c r="P77" t="s">
        <v>74</v>
      </c>
      <c r="S77" t="s">
        <v>33</v>
      </c>
      <c r="T77">
        <v>2</v>
      </c>
      <c r="V77">
        <v>3</v>
      </c>
      <c r="W77" t="s">
        <v>46</v>
      </c>
      <c r="AA77" t="s">
        <v>63</v>
      </c>
      <c r="AB77">
        <v>1</v>
      </c>
      <c r="AD77">
        <v>1</v>
      </c>
      <c r="AE77" t="s">
        <v>103</v>
      </c>
      <c r="AI77">
        <v>7</v>
      </c>
      <c r="AJ77">
        <v>22</v>
      </c>
    </row>
    <row r="78" spans="1:36" x14ac:dyDescent="0.25">
      <c r="A78" t="s">
        <v>322</v>
      </c>
      <c r="B78">
        <v>76</v>
      </c>
      <c r="C78" t="s">
        <v>33</v>
      </c>
      <c r="D78">
        <v>2</v>
      </c>
      <c r="F78">
        <v>1</v>
      </c>
      <c r="G78" t="s">
        <v>46</v>
      </c>
      <c r="K78" t="s">
        <v>38</v>
      </c>
      <c r="L78">
        <v>1</v>
      </c>
      <c r="M78">
        <v>1</v>
      </c>
      <c r="N78">
        <v>2</v>
      </c>
      <c r="O78" t="s">
        <v>152</v>
      </c>
      <c r="P78" t="s">
        <v>70</v>
      </c>
      <c r="S78" t="s">
        <v>53</v>
      </c>
      <c r="T78">
        <v>1</v>
      </c>
      <c r="U78">
        <v>1</v>
      </c>
      <c r="V78">
        <v>1</v>
      </c>
      <c r="W78" t="s">
        <v>111</v>
      </c>
      <c r="AA78" t="s">
        <v>43</v>
      </c>
      <c r="AB78">
        <v>1</v>
      </c>
      <c r="AD78">
        <v>3</v>
      </c>
      <c r="AE78" t="s">
        <v>135</v>
      </c>
      <c r="AI78">
        <v>5</v>
      </c>
      <c r="AJ78">
        <v>34</v>
      </c>
    </row>
    <row r="79" spans="1:36" x14ac:dyDescent="0.25">
      <c r="A79" t="s">
        <v>323</v>
      </c>
      <c r="B79">
        <v>77</v>
      </c>
      <c r="C79" t="s">
        <v>33</v>
      </c>
      <c r="D79">
        <v>2</v>
      </c>
      <c r="F79">
        <v>1</v>
      </c>
      <c r="G79" t="s">
        <v>46</v>
      </c>
      <c r="K79" t="s">
        <v>227</v>
      </c>
      <c r="L79">
        <v>1</v>
      </c>
      <c r="M79">
        <v>1</v>
      </c>
      <c r="N79">
        <v>1</v>
      </c>
      <c r="O79" t="s">
        <v>228</v>
      </c>
      <c r="S79" t="s">
        <v>53</v>
      </c>
      <c r="T79">
        <v>2</v>
      </c>
      <c r="U79">
        <v>1</v>
      </c>
      <c r="V79">
        <v>1</v>
      </c>
      <c r="W79" t="s">
        <v>111</v>
      </c>
      <c r="X79" t="s">
        <v>55</v>
      </c>
      <c r="Y79" t="s">
        <v>97</v>
      </c>
      <c r="AA79" t="s">
        <v>43</v>
      </c>
      <c r="AB79">
        <v>1</v>
      </c>
      <c r="AD79">
        <v>1</v>
      </c>
      <c r="AE79" t="s">
        <v>73</v>
      </c>
      <c r="AF79" t="s">
        <v>136</v>
      </c>
      <c r="AI79">
        <v>5</v>
      </c>
      <c r="AJ79">
        <v>26</v>
      </c>
    </row>
    <row r="80" spans="1:36" x14ac:dyDescent="0.25">
      <c r="A80" t="s">
        <v>324</v>
      </c>
      <c r="B80">
        <v>78</v>
      </c>
      <c r="C80" t="s">
        <v>53</v>
      </c>
      <c r="D80">
        <v>2</v>
      </c>
      <c r="E80">
        <v>1</v>
      </c>
      <c r="F80">
        <v>1</v>
      </c>
      <c r="G80" t="s">
        <v>111</v>
      </c>
      <c r="H80" t="s">
        <v>55</v>
      </c>
      <c r="K80" t="s">
        <v>43</v>
      </c>
      <c r="L80">
        <v>2</v>
      </c>
      <c r="N80">
        <v>1</v>
      </c>
      <c r="O80" t="s">
        <v>135</v>
      </c>
      <c r="P80" t="s">
        <v>74</v>
      </c>
      <c r="S80" t="s">
        <v>45</v>
      </c>
      <c r="T80">
        <v>3</v>
      </c>
      <c r="V80">
        <v>1</v>
      </c>
      <c r="W80" t="s">
        <v>86</v>
      </c>
      <c r="AA80" t="s">
        <v>63</v>
      </c>
      <c r="AB80">
        <v>1</v>
      </c>
      <c r="AD80">
        <v>1</v>
      </c>
      <c r="AE80" t="s">
        <v>103</v>
      </c>
      <c r="AF80" t="s">
        <v>91</v>
      </c>
      <c r="AI80">
        <v>7</v>
      </c>
      <c r="AJ80">
        <v>28</v>
      </c>
    </row>
    <row r="81" spans="1:36" x14ac:dyDescent="0.25">
      <c r="A81" t="s">
        <v>325</v>
      </c>
      <c r="B81">
        <v>79</v>
      </c>
      <c r="C81" t="s">
        <v>53</v>
      </c>
      <c r="D81">
        <v>1</v>
      </c>
      <c r="E81">
        <v>1</v>
      </c>
      <c r="F81">
        <v>1</v>
      </c>
      <c r="G81" t="s">
        <v>111</v>
      </c>
      <c r="H81" t="s">
        <v>113</v>
      </c>
      <c r="K81" t="s">
        <v>43</v>
      </c>
      <c r="L81">
        <v>3</v>
      </c>
      <c r="N81">
        <v>1</v>
      </c>
      <c r="O81" t="s">
        <v>135</v>
      </c>
      <c r="P81" t="s">
        <v>99</v>
      </c>
      <c r="Q81" t="s">
        <v>137</v>
      </c>
      <c r="S81" t="s">
        <v>45</v>
      </c>
      <c r="T81">
        <v>3</v>
      </c>
      <c r="V81">
        <v>3</v>
      </c>
      <c r="W81" t="s">
        <v>47</v>
      </c>
      <c r="AA81" t="s">
        <v>38</v>
      </c>
      <c r="AB81">
        <v>1</v>
      </c>
      <c r="AC81">
        <v>1</v>
      </c>
      <c r="AD81">
        <v>1</v>
      </c>
      <c r="AE81" t="s">
        <v>152</v>
      </c>
      <c r="AI81">
        <v>9</v>
      </c>
      <c r="AJ81">
        <v>24</v>
      </c>
    </row>
    <row r="82" spans="1:36" x14ac:dyDescent="0.25">
      <c r="A82" t="s">
        <v>326</v>
      </c>
      <c r="B82">
        <v>80</v>
      </c>
      <c r="C82" t="s">
        <v>53</v>
      </c>
      <c r="D82">
        <v>2</v>
      </c>
      <c r="E82">
        <v>1</v>
      </c>
      <c r="F82">
        <v>1</v>
      </c>
      <c r="G82" t="s">
        <v>111</v>
      </c>
      <c r="H82" t="s">
        <v>55</v>
      </c>
      <c r="K82" t="s">
        <v>43</v>
      </c>
      <c r="L82">
        <v>1</v>
      </c>
      <c r="N82">
        <v>1</v>
      </c>
      <c r="O82" t="s">
        <v>73</v>
      </c>
      <c r="P82" t="s">
        <v>99</v>
      </c>
      <c r="S82" t="s">
        <v>45</v>
      </c>
      <c r="T82">
        <v>3</v>
      </c>
      <c r="V82">
        <v>2</v>
      </c>
      <c r="W82" t="s">
        <v>86</v>
      </c>
      <c r="AA82" t="s">
        <v>227</v>
      </c>
      <c r="AB82">
        <v>2</v>
      </c>
      <c r="AC82">
        <v>1</v>
      </c>
      <c r="AD82">
        <v>1</v>
      </c>
      <c r="AE82" t="s">
        <v>228</v>
      </c>
      <c r="AI82">
        <v>7</v>
      </c>
      <c r="AJ82">
        <v>24</v>
      </c>
    </row>
    <row r="83" spans="1:36" x14ac:dyDescent="0.25">
      <c r="A83" t="s">
        <v>327</v>
      </c>
      <c r="B83">
        <v>81</v>
      </c>
      <c r="C83" t="s">
        <v>53</v>
      </c>
      <c r="D83">
        <v>2</v>
      </c>
      <c r="E83">
        <v>1</v>
      </c>
      <c r="F83">
        <v>1</v>
      </c>
      <c r="G83" t="s">
        <v>54</v>
      </c>
      <c r="H83" t="s">
        <v>55</v>
      </c>
      <c r="I83" t="s">
        <v>114</v>
      </c>
      <c r="J83" t="s">
        <v>98</v>
      </c>
      <c r="K83" t="s">
        <v>43</v>
      </c>
      <c r="L83">
        <v>3</v>
      </c>
      <c r="N83">
        <v>1</v>
      </c>
      <c r="O83" t="s">
        <v>135</v>
      </c>
      <c r="P83" t="s">
        <v>74</v>
      </c>
      <c r="S83" t="s">
        <v>63</v>
      </c>
      <c r="T83">
        <v>2</v>
      </c>
      <c r="V83">
        <v>2</v>
      </c>
      <c r="W83" t="s">
        <v>103</v>
      </c>
      <c r="AA83" t="s">
        <v>38</v>
      </c>
      <c r="AB83">
        <v>1</v>
      </c>
      <c r="AC83">
        <v>1</v>
      </c>
      <c r="AD83">
        <v>1</v>
      </c>
      <c r="AE83" t="s">
        <v>152</v>
      </c>
      <c r="AF83" t="s">
        <v>70</v>
      </c>
      <c r="AG83" t="s">
        <v>154</v>
      </c>
      <c r="AH83" t="s">
        <v>42</v>
      </c>
      <c r="AI83">
        <v>12</v>
      </c>
      <c r="AJ83">
        <v>50</v>
      </c>
    </row>
    <row r="84" spans="1:36" x14ac:dyDescent="0.25">
      <c r="A84" t="s">
        <v>328</v>
      </c>
      <c r="B84">
        <v>82</v>
      </c>
      <c r="C84" t="s">
        <v>53</v>
      </c>
      <c r="D84">
        <v>1</v>
      </c>
      <c r="E84">
        <v>1</v>
      </c>
      <c r="F84">
        <v>1</v>
      </c>
      <c r="G84" t="s">
        <v>111</v>
      </c>
      <c r="H84" t="s">
        <v>113</v>
      </c>
      <c r="I84" t="s">
        <v>105</v>
      </c>
      <c r="K84" t="s">
        <v>43</v>
      </c>
      <c r="L84">
        <v>1</v>
      </c>
      <c r="N84">
        <v>1</v>
      </c>
      <c r="O84" t="s">
        <v>73</v>
      </c>
      <c r="P84" t="s">
        <v>99</v>
      </c>
      <c r="Q84" t="s">
        <v>100</v>
      </c>
      <c r="R84" t="s">
        <v>139</v>
      </c>
      <c r="S84" t="s">
        <v>63</v>
      </c>
      <c r="T84">
        <v>1</v>
      </c>
      <c r="V84">
        <v>1</v>
      </c>
      <c r="W84" t="s">
        <v>72</v>
      </c>
      <c r="X84" t="s">
        <v>91</v>
      </c>
      <c r="AA84" t="s">
        <v>227</v>
      </c>
      <c r="AB84">
        <v>2</v>
      </c>
      <c r="AC84">
        <v>1</v>
      </c>
      <c r="AD84">
        <v>2</v>
      </c>
      <c r="AE84" t="s">
        <v>228</v>
      </c>
      <c r="AF84" t="s">
        <v>231</v>
      </c>
      <c r="AG84" t="s">
        <v>236</v>
      </c>
      <c r="AI84">
        <v>10</v>
      </c>
      <c r="AJ84">
        <v>43</v>
      </c>
    </row>
    <row r="85" spans="1:36" x14ac:dyDescent="0.25">
      <c r="A85" t="s">
        <v>329</v>
      </c>
      <c r="B85">
        <v>83</v>
      </c>
      <c r="C85" t="s">
        <v>53</v>
      </c>
      <c r="D85">
        <v>1</v>
      </c>
      <c r="E85">
        <v>1</v>
      </c>
      <c r="F85">
        <v>1</v>
      </c>
      <c r="G85" t="s">
        <v>54</v>
      </c>
      <c r="K85" t="s">
        <v>43</v>
      </c>
      <c r="L85">
        <v>2</v>
      </c>
      <c r="N85">
        <v>1</v>
      </c>
      <c r="O85" t="s">
        <v>73</v>
      </c>
      <c r="P85" t="s">
        <v>99</v>
      </c>
      <c r="Q85" t="s">
        <v>75</v>
      </c>
      <c r="S85" t="s">
        <v>38</v>
      </c>
      <c r="T85">
        <v>2</v>
      </c>
      <c r="U85">
        <v>1</v>
      </c>
      <c r="V85">
        <v>1</v>
      </c>
      <c r="W85" t="s">
        <v>152</v>
      </c>
      <c r="AA85" t="s">
        <v>227</v>
      </c>
      <c r="AB85">
        <v>2</v>
      </c>
      <c r="AC85">
        <v>1</v>
      </c>
      <c r="AD85">
        <v>1</v>
      </c>
      <c r="AE85" t="s">
        <v>228</v>
      </c>
      <c r="AI85">
        <v>5</v>
      </c>
      <c r="AJ85">
        <v>30</v>
      </c>
    </row>
    <row r="86" spans="1:36" x14ac:dyDescent="0.25">
      <c r="A86" t="s">
        <v>330</v>
      </c>
      <c r="B86">
        <v>84</v>
      </c>
      <c r="C86" t="s">
        <v>56</v>
      </c>
      <c r="D86">
        <v>1</v>
      </c>
      <c r="F86">
        <v>1</v>
      </c>
      <c r="G86" t="s">
        <v>57</v>
      </c>
      <c r="K86" t="s">
        <v>48</v>
      </c>
      <c r="L86">
        <v>1</v>
      </c>
      <c r="N86">
        <v>2</v>
      </c>
      <c r="O86" t="s">
        <v>49</v>
      </c>
      <c r="P86" t="s">
        <v>50</v>
      </c>
      <c r="Q86" t="s">
        <v>127</v>
      </c>
      <c r="R86" t="s">
        <v>52</v>
      </c>
      <c r="S86" t="s">
        <v>53</v>
      </c>
      <c r="T86">
        <v>3</v>
      </c>
      <c r="U86">
        <v>2</v>
      </c>
      <c r="V86">
        <v>2</v>
      </c>
      <c r="W86" t="s">
        <v>54</v>
      </c>
      <c r="AA86" t="s">
        <v>45</v>
      </c>
      <c r="AB86">
        <v>2</v>
      </c>
      <c r="AD86">
        <v>1</v>
      </c>
      <c r="AE86" t="s">
        <v>47</v>
      </c>
      <c r="AI86">
        <v>9</v>
      </c>
      <c r="AJ86">
        <v>35</v>
      </c>
    </row>
    <row r="87" spans="1:36" x14ac:dyDescent="0.25">
      <c r="A87" t="s">
        <v>331</v>
      </c>
      <c r="B87">
        <v>85</v>
      </c>
      <c r="C87" t="s">
        <v>56</v>
      </c>
      <c r="D87">
        <v>2</v>
      </c>
      <c r="F87">
        <v>3</v>
      </c>
      <c r="G87" t="s">
        <v>68</v>
      </c>
      <c r="K87" t="s">
        <v>33</v>
      </c>
      <c r="L87">
        <v>1</v>
      </c>
      <c r="N87">
        <v>3</v>
      </c>
      <c r="O87" t="s">
        <v>46</v>
      </c>
      <c r="S87" t="s">
        <v>53</v>
      </c>
      <c r="T87">
        <v>1</v>
      </c>
      <c r="U87">
        <v>1</v>
      </c>
      <c r="V87">
        <v>1</v>
      </c>
      <c r="W87" t="s">
        <v>111</v>
      </c>
      <c r="AA87" t="s">
        <v>45</v>
      </c>
      <c r="AB87">
        <v>3</v>
      </c>
      <c r="AD87">
        <v>2</v>
      </c>
      <c r="AE87" t="s">
        <v>47</v>
      </c>
      <c r="AI87">
        <v>8</v>
      </c>
      <c r="AJ87">
        <v>29</v>
      </c>
    </row>
    <row r="88" spans="1:36" x14ac:dyDescent="0.25">
      <c r="A88" t="s">
        <v>332</v>
      </c>
      <c r="B88">
        <v>86</v>
      </c>
      <c r="C88" t="s">
        <v>53</v>
      </c>
      <c r="D88">
        <v>3</v>
      </c>
      <c r="E88">
        <v>1</v>
      </c>
      <c r="F88">
        <v>1</v>
      </c>
      <c r="G88" t="s">
        <v>54</v>
      </c>
      <c r="K88" t="s">
        <v>45</v>
      </c>
      <c r="L88">
        <v>3</v>
      </c>
      <c r="N88">
        <v>1</v>
      </c>
      <c r="O88" t="s">
        <v>47</v>
      </c>
      <c r="S88" t="s">
        <v>56</v>
      </c>
      <c r="T88">
        <v>2</v>
      </c>
      <c r="V88">
        <v>1</v>
      </c>
      <c r="W88" t="s">
        <v>57</v>
      </c>
      <c r="X88" t="s">
        <v>122</v>
      </c>
      <c r="Y88" t="s">
        <v>85</v>
      </c>
      <c r="AA88" t="s">
        <v>43</v>
      </c>
      <c r="AB88">
        <v>1</v>
      </c>
      <c r="AD88">
        <v>1</v>
      </c>
      <c r="AE88" t="s">
        <v>135</v>
      </c>
      <c r="AI88">
        <v>7</v>
      </c>
      <c r="AJ88">
        <v>18</v>
      </c>
    </row>
    <row r="89" spans="1:36" x14ac:dyDescent="0.25">
      <c r="A89" t="s">
        <v>333</v>
      </c>
      <c r="B89">
        <v>87</v>
      </c>
      <c r="C89" t="s">
        <v>56</v>
      </c>
      <c r="D89">
        <v>3</v>
      </c>
      <c r="F89">
        <v>1</v>
      </c>
      <c r="G89" t="s">
        <v>57</v>
      </c>
      <c r="K89" t="s">
        <v>63</v>
      </c>
      <c r="L89">
        <v>1</v>
      </c>
      <c r="N89">
        <v>1</v>
      </c>
      <c r="O89" t="s">
        <v>72</v>
      </c>
      <c r="S89" t="s">
        <v>53</v>
      </c>
      <c r="T89">
        <v>2</v>
      </c>
      <c r="U89">
        <v>1</v>
      </c>
      <c r="V89">
        <v>1</v>
      </c>
      <c r="W89" t="s">
        <v>54</v>
      </c>
      <c r="X89" t="s">
        <v>83</v>
      </c>
      <c r="AA89" t="s">
        <v>45</v>
      </c>
      <c r="AB89">
        <v>2</v>
      </c>
      <c r="AD89">
        <v>1</v>
      </c>
      <c r="AE89" t="s">
        <v>47</v>
      </c>
      <c r="AI89">
        <v>5</v>
      </c>
      <c r="AJ89">
        <v>22</v>
      </c>
    </row>
    <row r="90" spans="1:36" x14ac:dyDescent="0.25">
      <c r="A90" t="s">
        <v>334</v>
      </c>
      <c r="B90">
        <v>88</v>
      </c>
      <c r="C90" t="s">
        <v>53</v>
      </c>
      <c r="D90">
        <v>2</v>
      </c>
      <c r="E90">
        <v>1</v>
      </c>
      <c r="F90">
        <v>1</v>
      </c>
      <c r="G90" t="s">
        <v>54</v>
      </c>
      <c r="H90" t="s">
        <v>113</v>
      </c>
      <c r="K90" t="s">
        <v>45</v>
      </c>
      <c r="L90">
        <v>2</v>
      </c>
      <c r="N90">
        <v>1</v>
      </c>
      <c r="O90" t="s">
        <v>47</v>
      </c>
      <c r="S90" t="s">
        <v>56</v>
      </c>
      <c r="T90">
        <v>1</v>
      </c>
      <c r="V90">
        <v>1</v>
      </c>
      <c r="W90" t="s">
        <v>57</v>
      </c>
      <c r="X90" t="s">
        <v>122</v>
      </c>
      <c r="AA90" t="s">
        <v>38</v>
      </c>
      <c r="AB90">
        <v>1</v>
      </c>
      <c r="AC90">
        <v>1</v>
      </c>
      <c r="AD90">
        <v>2</v>
      </c>
      <c r="AE90" t="s">
        <v>152</v>
      </c>
      <c r="AI90">
        <v>5</v>
      </c>
      <c r="AJ90">
        <v>24</v>
      </c>
    </row>
    <row r="91" spans="1:36" x14ac:dyDescent="0.25">
      <c r="A91" t="s">
        <v>335</v>
      </c>
      <c r="B91">
        <v>89</v>
      </c>
      <c r="C91" t="s">
        <v>53</v>
      </c>
      <c r="D91">
        <v>1</v>
      </c>
      <c r="E91">
        <v>1</v>
      </c>
      <c r="F91">
        <v>2</v>
      </c>
      <c r="G91" t="s">
        <v>54</v>
      </c>
      <c r="H91" t="s">
        <v>113</v>
      </c>
      <c r="K91" t="s">
        <v>45</v>
      </c>
      <c r="L91">
        <v>3</v>
      </c>
      <c r="N91">
        <v>1</v>
      </c>
      <c r="O91" t="s">
        <v>47</v>
      </c>
      <c r="S91" t="s">
        <v>56</v>
      </c>
      <c r="T91">
        <v>1</v>
      </c>
      <c r="V91">
        <v>1</v>
      </c>
      <c r="W91" t="s">
        <v>57</v>
      </c>
      <c r="X91" t="s">
        <v>122</v>
      </c>
      <c r="AA91" t="s">
        <v>227</v>
      </c>
      <c r="AB91">
        <v>2</v>
      </c>
      <c r="AC91">
        <v>1</v>
      </c>
      <c r="AD91">
        <v>1</v>
      </c>
      <c r="AE91" t="s">
        <v>228</v>
      </c>
      <c r="AF91" t="s">
        <v>231</v>
      </c>
      <c r="AG91" t="s">
        <v>235</v>
      </c>
      <c r="AI91">
        <v>8</v>
      </c>
      <c r="AJ91">
        <v>24</v>
      </c>
    </row>
    <row r="92" spans="1:36" x14ac:dyDescent="0.25">
      <c r="A92" t="s">
        <v>336</v>
      </c>
      <c r="B92">
        <v>90</v>
      </c>
      <c r="C92" t="s">
        <v>48</v>
      </c>
      <c r="D92">
        <v>3</v>
      </c>
      <c r="F92">
        <v>3</v>
      </c>
      <c r="G92" t="s">
        <v>49</v>
      </c>
      <c r="H92" t="s">
        <v>84</v>
      </c>
      <c r="K92" t="s">
        <v>33</v>
      </c>
      <c r="L92">
        <v>1</v>
      </c>
      <c r="N92">
        <v>2</v>
      </c>
      <c r="O92" t="s">
        <v>46</v>
      </c>
      <c r="S92" t="s">
        <v>53</v>
      </c>
      <c r="T92">
        <v>3</v>
      </c>
      <c r="U92">
        <v>1</v>
      </c>
      <c r="V92">
        <v>2</v>
      </c>
      <c r="W92" t="s">
        <v>111</v>
      </c>
      <c r="X92" t="s">
        <v>55</v>
      </c>
      <c r="Y92" t="s">
        <v>114</v>
      </c>
      <c r="Z92" t="s">
        <v>98</v>
      </c>
      <c r="AA92" t="s">
        <v>45</v>
      </c>
      <c r="AB92">
        <v>1</v>
      </c>
      <c r="AD92">
        <v>1</v>
      </c>
      <c r="AE92" t="s">
        <v>47</v>
      </c>
      <c r="AI92">
        <v>12</v>
      </c>
      <c r="AJ92">
        <v>41</v>
      </c>
    </row>
    <row r="93" spans="1:36" x14ac:dyDescent="0.25">
      <c r="A93" t="s">
        <v>337</v>
      </c>
      <c r="B93">
        <v>91</v>
      </c>
      <c r="C93" t="s">
        <v>53</v>
      </c>
      <c r="D93">
        <v>1</v>
      </c>
      <c r="E93">
        <v>1</v>
      </c>
      <c r="F93">
        <v>1</v>
      </c>
      <c r="G93" t="s">
        <v>111</v>
      </c>
      <c r="H93" t="s">
        <v>113</v>
      </c>
      <c r="I93" t="s">
        <v>114</v>
      </c>
      <c r="K93" t="s">
        <v>45</v>
      </c>
      <c r="L93">
        <v>3</v>
      </c>
      <c r="N93">
        <v>1</v>
      </c>
      <c r="O93" t="s">
        <v>86</v>
      </c>
      <c r="S93" t="s">
        <v>48</v>
      </c>
      <c r="T93">
        <v>3</v>
      </c>
      <c r="V93">
        <v>1</v>
      </c>
      <c r="W93" t="s">
        <v>49</v>
      </c>
      <c r="AA93" t="s">
        <v>43</v>
      </c>
      <c r="AB93">
        <v>2</v>
      </c>
      <c r="AD93">
        <v>1</v>
      </c>
      <c r="AE93" t="s">
        <v>135</v>
      </c>
      <c r="AF93" t="s">
        <v>99</v>
      </c>
      <c r="AI93">
        <v>8</v>
      </c>
      <c r="AJ93">
        <v>27</v>
      </c>
    </row>
    <row r="94" spans="1:36" x14ac:dyDescent="0.25">
      <c r="A94" t="s">
        <v>338</v>
      </c>
      <c r="B94">
        <v>92</v>
      </c>
      <c r="C94" t="s">
        <v>53</v>
      </c>
      <c r="D94">
        <v>3</v>
      </c>
      <c r="E94">
        <v>1</v>
      </c>
      <c r="F94">
        <v>1</v>
      </c>
      <c r="G94" t="s">
        <v>54</v>
      </c>
      <c r="K94" t="s">
        <v>45</v>
      </c>
      <c r="L94">
        <v>3</v>
      </c>
      <c r="N94">
        <v>1</v>
      </c>
      <c r="O94" t="s">
        <v>47</v>
      </c>
      <c r="S94" t="s">
        <v>48</v>
      </c>
      <c r="T94">
        <v>1</v>
      </c>
      <c r="V94">
        <v>1</v>
      </c>
      <c r="W94" t="s">
        <v>49</v>
      </c>
      <c r="X94" t="s">
        <v>50</v>
      </c>
      <c r="Y94" t="s">
        <v>127</v>
      </c>
      <c r="Z94" t="s">
        <v>128</v>
      </c>
      <c r="AA94" t="s">
        <v>63</v>
      </c>
      <c r="AB94">
        <v>1</v>
      </c>
      <c r="AD94">
        <v>1</v>
      </c>
      <c r="AE94" t="s">
        <v>72</v>
      </c>
      <c r="AF94" t="s">
        <v>91</v>
      </c>
      <c r="AI94">
        <v>8</v>
      </c>
      <c r="AJ94">
        <v>26</v>
      </c>
    </row>
    <row r="95" spans="1:36" x14ac:dyDescent="0.25">
      <c r="A95" t="s">
        <v>339</v>
      </c>
      <c r="B95">
        <v>93</v>
      </c>
      <c r="C95" t="s">
        <v>53</v>
      </c>
      <c r="D95">
        <v>1</v>
      </c>
      <c r="E95">
        <v>1</v>
      </c>
      <c r="F95">
        <v>2</v>
      </c>
      <c r="G95" t="s">
        <v>111</v>
      </c>
      <c r="H95" t="s">
        <v>83</v>
      </c>
      <c r="K95" t="s">
        <v>45</v>
      </c>
      <c r="L95">
        <v>3</v>
      </c>
      <c r="N95">
        <v>1</v>
      </c>
      <c r="O95" t="s">
        <v>47</v>
      </c>
      <c r="S95" t="s">
        <v>48</v>
      </c>
      <c r="T95">
        <v>2</v>
      </c>
      <c r="V95">
        <v>1</v>
      </c>
      <c r="W95" t="s">
        <v>49</v>
      </c>
      <c r="AA95" t="s">
        <v>38</v>
      </c>
      <c r="AB95">
        <v>1</v>
      </c>
      <c r="AC95">
        <v>1</v>
      </c>
      <c r="AD95">
        <v>1</v>
      </c>
      <c r="AE95" t="s">
        <v>152</v>
      </c>
      <c r="AF95" t="s">
        <v>96</v>
      </c>
      <c r="AI95">
        <v>6</v>
      </c>
      <c r="AJ95">
        <v>21</v>
      </c>
    </row>
    <row r="96" spans="1:36" x14ac:dyDescent="0.25">
      <c r="A96" t="s">
        <v>340</v>
      </c>
      <c r="B96">
        <v>94</v>
      </c>
      <c r="C96" t="s">
        <v>48</v>
      </c>
      <c r="D96">
        <v>2</v>
      </c>
      <c r="F96">
        <v>1</v>
      </c>
      <c r="G96" t="s">
        <v>49</v>
      </c>
      <c r="H96" t="s">
        <v>71</v>
      </c>
      <c r="K96" t="s">
        <v>227</v>
      </c>
      <c r="L96">
        <v>2</v>
      </c>
      <c r="M96">
        <v>1</v>
      </c>
      <c r="N96">
        <v>1</v>
      </c>
      <c r="O96" t="s">
        <v>228</v>
      </c>
      <c r="S96" t="s">
        <v>53</v>
      </c>
      <c r="T96">
        <v>1</v>
      </c>
      <c r="U96">
        <v>1</v>
      </c>
      <c r="V96">
        <v>1</v>
      </c>
      <c r="W96" t="s">
        <v>54</v>
      </c>
      <c r="AA96" t="s">
        <v>45</v>
      </c>
      <c r="AB96">
        <v>1</v>
      </c>
      <c r="AD96">
        <v>1</v>
      </c>
      <c r="AE96" t="s">
        <v>47</v>
      </c>
      <c r="AI96">
        <v>3</v>
      </c>
      <c r="AJ96">
        <v>22</v>
      </c>
    </row>
    <row r="97" spans="1:36" x14ac:dyDescent="0.25">
      <c r="A97" t="s">
        <v>341</v>
      </c>
      <c r="B97">
        <v>95</v>
      </c>
      <c r="C97" t="s">
        <v>33</v>
      </c>
      <c r="D97">
        <v>1</v>
      </c>
      <c r="F97">
        <v>1</v>
      </c>
      <c r="G97" t="s">
        <v>46</v>
      </c>
      <c r="H97" t="s">
        <v>66</v>
      </c>
      <c r="K97" t="s">
        <v>43</v>
      </c>
      <c r="L97">
        <v>2</v>
      </c>
      <c r="N97">
        <v>1</v>
      </c>
      <c r="O97" t="s">
        <v>135</v>
      </c>
      <c r="P97" t="s">
        <v>74</v>
      </c>
      <c r="S97" t="s">
        <v>53</v>
      </c>
      <c r="T97">
        <v>1</v>
      </c>
      <c r="U97">
        <v>2</v>
      </c>
      <c r="V97">
        <v>1</v>
      </c>
      <c r="W97" t="s">
        <v>111</v>
      </c>
      <c r="X97" t="s">
        <v>83</v>
      </c>
      <c r="AA97" t="s">
        <v>45</v>
      </c>
      <c r="AB97">
        <v>2</v>
      </c>
      <c r="AD97">
        <v>1</v>
      </c>
      <c r="AE97" t="s">
        <v>47</v>
      </c>
      <c r="AI97">
        <v>6</v>
      </c>
      <c r="AJ97">
        <v>35</v>
      </c>
    </row>
    <row r="98" spans="1:36" x14ac:dyDescent="0.25">
      <c r="A98" t="s">
        <v>342</v>
      </c>
      <c r="B98">
        <v>96</v>
      </c>
      <c r="C98" t="s">
        <v>33</v>
      </c>
      <c r="D98">
        <v>1</v>
      </c>
      <c r="F98">
        <v>2</v>
      </c>
      <c r="G98" t="s">
        <v>46</v>
      </c>
      <c r="H98" t="s">
        <v>66</v>
      </c>
      <c r="K98" t="s">
        <v>63</v>
      </c>
      <c r="L98">
        <v>1</v>
      </c>
      <c r="N98">
        <v>1</v>
      </c>
      <c r="O98" t="s">
        <v>103</v>
      </c>
      <c r="P98" t="s">
        <v>91</v>
      </c>
      <c r="Q98" t="s">
        <v>147</v>
      </c>
      <c r="R98" t="s">
        <v>149</v>
      </c>
      <c r="S98" t="s">
        <v>53</v>
      </c>
      <c r="T98">
        <v>1</v>
      </c>
      <c r="U98">
        <v>1</v>
      </c>
      <c r="V98">
        <v>1</v>
      </c>
      <c r="W98" t="s">
        <v>54</v>
      </c>
      <c r="X98" t="s">
        <v>113</v>
      </c>
      <c r="Y98" t="s">
        <v>114</v>
      </c>
      <c r="AA98" t="s">
        <v>45</v>
      </c>
      <c r="AB98">
        <v>2</v>
      </c>
      <c r="AD98">
        <v>1</v>
      </c>
      <c r="AE98" t="s">
        <v>47</v>
      </c>
      <c r="AI98">
        <v>8</v>
      </c>
      <c r="AJ98">
        <v>37</v>
      </c>
    </row>
    <row r="99" spans="1:36" x14ac:dyDescent="0.25">
      <c r="A99" t="s">
        <v>343</v>
      </c>
      <c r="B99">
        <v>97</v>
      </c>
      <c r="C99" t="s">
        <v>33</v>
      </c>
      <c r="D99">
        <v>1</v>
      </c>
      <c r="F99">
        <v>2</v>
      </c>
      <c r="G99" t="s">
        <v>46</v>
      </c>
      <c r="H99" t="s">
        <v>66</v>
      </c>
      <c r="K99" t="s">
        <v>38</v>
      </c>
      <c r="L99">
        <v>1</v>
      </c>
      <c r="M99">
        <v>1</v>
      </c>
      <c r="N99">
        <v>1</v>
      </c>
      <c r="O99" t="s">
        <v>152</v>
      </c>
      <c r="P99" t="s">
        <v>40</v>
      </c>
      <c r="S99" t="s">
        <v>53</v>
      </c>
      <c r="T99">
        <v>1</v>
      </c>
      <c r="U99">
        <v>1</v>
      </c>
      <c r="V99">
        <v>1</v>
      </c>
      <c r="W99" t="s">
        <v>111</v>
      </c>
      <c r="AA99" t="s">
        <v>45</v>
      </c>
      <c r="AB99">
        <v>1</v>
      </c>
      <c r="AD99">
        <v>1</v>
      </c>
      <c r="AE99" t="s">
        <v>47</v>
      </c>
      <c r="AI99">
        <v>3</v>
      </c>
      <c r="AJ99">
        <v>26</v>
      </c>
    </row>
    <row r="100" spans="1:36" x14ac:dyDescent="0.25">
      <c r="A100" t="s">
        <v>344</v>
      </c>
      <c r="B100">
        <v>98</v>
      </c>
      <c r="C100" t="s">
        <v>53</v>
      </c>
      <c r="D100">
        <v>1</v>
      </c>
      <c r="E100">
        <v>1</v>
      </c>
      <c r="F100">
        <v>1</v>
      </c>
      <c r="G100" t="s">
        <v>54</v>
      </c>
      <c r="H100" t="s">
        <v>113</v>
      </c>
      <c r="K100" t="s">
        <v>45</v>
      </c>
      <c r="L100">
        <v>3</v>
      </c>
      <c r="N100">
        <v>2</v>
      </c>
      <c r="O100" t="s">
        <v>47</v>
      </c>
      <c r="S100" t="s">
        <v>33</v>
      </c>
      <c r="T100">
        <v>1</v>
      </c>
      <c r="V100">
        <v>1</v>
      </c>
      <c r="W100" t="s">
        <v>46</v>
      </c>
      <c r="AA100" t="s">
        <v>227</v>
      </c>
      <c r="AB100">
        <v>1</v>
      </c>
      <c r="AC100">
        <v>1</v>
      </c>
      <c r="AD100">
        <v>2</v>
      </c>
      <c r="AE100" t="s">
        <v>228</v>
      </c>
      <c r="AF100" t="s">
        <v>231</v>
      </c>
      <c r="AG100" t="s">
        <v>235</v>
      </c>
      <c r="AI100">
        <v>7</v>
      </c>
      <c r="AJ100">
        <v>28</v>
      </c>
    </row>
    <row r="101" spans="1:36" x14ac:dyDescent="0.25">
      <c r="A101" t="s">
        <v>345</v>
      </c>
      <c r="B101">
        <v>99</v>
      </c>
      <c r="C101" t="s">
        <v>53</v>
      </c>
      <c r="D101">
        <v>2</v>
      </c>
      <c r="E101">
        <v>2</v>
      </c>
      <c r="F101">
        <v>1</v>
      </c>
      <c r="G101" t="s">
        <v>54</v>
      </c>
      <c r="K101" t="s">
        <v>45</v>
      </c>
      <c r="L101">
        <v>3</v>
      </c>
      <c r="N101">
        <v>2</v>
      </c>
      <c r="O101" t="s">
        <v>47</v>
      </c>
      <c r="S101" t="s">
        <v>43</v>
      </c>
      <c r="T101">
        <v>1</v>
      </c>
      <c r="V101">
        <v>2</v>
      </c>
      <c r="W101" t="s">
        <v>135</v>
      </c>
      <c r="X101" t="s">
        <v>136</v>
      </c>
      <c r="AA101" t="s">
        <v>63</v>
      </c>
      <c r="AB101">
        <v>1</v>
      </c>
      <c r="AD101">
        <v>1</v>
      </c>
      <c r="AE101" t="s">
        <v>103</v>
      </c>
      <c r="AF101" t="s">
        <v>95</v>
      </c>
      <c r="AI101">
        <v>8</v>
      </c>
      <c r="AJ101">
        <v>28</v>
      </c>
    </row>
    <row r="102" spans="1:36" x14ac:dyDescent="0.25">
      <c r="A102" t="s">
        <v>346</v>
      </c>
      <c r="B102">
        <v>100</v>
      </c>
      <c r="C102" t="s">
        <v>43</v>
      </c>
      <c r="D102">
        <v>1</v>
      </c>
      <c r="F102">
        <v>1</v>
      </c>
      <c r="G102" t="s">
        <v>135</v>
      </c>
      <c r="K102" t="s">
        <v>38</v>
      </c>
      <c r="L102">
        <v>2</v>
      </c>
      <c r="M102">
        <v>2</v>
      </c>
      <c r="N102">
        <v>2</v>
      </c>
      <c r="O102" t="s">
        <v>152</v>
      </c>
      <c r="S102" t="s">
        <v>53</v>
      </c>
      <c r="T102">
        <v>2</v>
      </c>
      <c r="U102">
        <v>1</v>
      </c>
      <c r="V102">
        <v>1</v>
      </c>
      <c r="W102" t="s">
        <v>111</v>
      </c>
      <c r="X102" t="s">
        <v>55</v>
      </c>
      <c r="AA102" t="s">
        <v>45</v>
      </c>
      <c r="AB102">
        <v>2</v>
      </c>
      <c r="AD102">
        <v>1</v>
      </c>
      <c r="AE102" t="s">
        <v>86</v>
      </c>
      <c r="AI102">
        <v>6</v>
      </c>
      <c r="AJ102">
        <v>29</v>
      </c>
    </row>
    <row r="103" spans="1:36" x14ac:dyDescent="0.25">
      <c r="A103" t="s">
        <v>347</v>
      </c>
      <c r="B103">
        <v>101</v>
      </c>
      <c r="C103" t="s">
        <v>43</v>
      </c>
      <c r="D103">
        <v>1</v>
      </c>
      <c r="F103">
        <v>1</v>
      </c>
      <c r="G103" t="s">
        <v>135</v>
      </c>
      <c r="H103" t="s">
        <v>99</v>
      </c>
      <c r="K103" t="s">
        <v>227</v>
      </c>
      <c r="L103">
        <v>2</v>
      </c>
      <c r="M103">
        <v>1</v>
      </c>
      <c r="N103">
        <v>1</v>
      </c>
      <c r="O103" t="s">
        <v>228</v>
      </c>
      <c r="P103" t="s">
        <v>231</v>
      </c>
      <c r="S103" t="s">
        <v>53</v>
      </c>
      <c r="T103">
        <v>2</v>
      </c>
      <c r="U103">
        <v>1</v>
      </c>
      <c r="V103">
        <v>1</v>
      </c>
      <c r="W103" t="s">
        <v>54</v>
      </c>
      <c r="X103" t="s">
        <v>83</v>
      </c>
      <c r="AA103" t="s">
        <v>45</v>
      </c>
      <c r="AB103">
        <v>2</v>
      </c>
      <c r="AD103">
        <v>1</v>
      </c>
      <c r="AE103" t="s">
        <v>47</v>
      </c>
      <c r="AI103">
        <v>6</v>
      </c>
      <c r="AJ103">
        <v>27</v>
      </c>
    </row>
    <row r="104" spans="1:36" x14ac:dyDescent="0.25">
      <c r="A104" t="s">
        <v>348</v>
      </c>
      <c r="B104">
        <v>102</v>
      </c>
      <c r="C104" t="s">
        <v>53</v>
      </c>
      <c r="D104">
        <v>3</v>
      </c>
      <c r="E104">
        <v>1</v>
      </c>
      <c r="F104">
        <v>2</v>
      </c>
      <c r="G104" t="s">
        <v>54</v>
      </c>
      <c r="H104" t="s">
        <v>83</v>
      </c>
      <c r="I104" t="s">
        <v>97</v>
      </c>
      <c r="J104" t="s">
        <v>98</v>
      </c>
      <c r="K104" t="s">
        <v>45</v>
      </c>
      <c r="L104">
        <v>1</v>
      </c>
      <c r="N104">
        <v>1</v>
      </c>
      <c r="O104" t="s">
        <v>47</v>
      </c>
      <c r="S104" t="s">
        <v>63</v>
      </c>
      <c r="T104">
        <v>2</v>
      </c>
      <c r="V104">
        <v>1</v>
      </c>
      <c r="W104" t="s">
        <v>103</v>
      </c>
      <c r="X104" t="s">
        <v>95</v>
      </c>
      <c r="AA104" t="s">
        <v>38</v>
      </c>
      <c r="AB104">
        <v>2</v>
      </c>
      <c r="AC104">
        <v>1</v>
      </c>
      <c r="AD104">
        <v>1</v>
      </c>
      <c r="AE104" t="s">
        <v>152</v>
      </c>
      <c r="AF104" t="s">
        <v>70</v>
      </c>
      <c r="AI104">
        <v>10</v>
      </c>
      <c r="AJ104">
        <v>29</v>
      </c>
    </row>
    <row r="105" spans="1:36" x14ac:dyDescent="0.25">
      <c r="A105" t="s">
        <v>349</v>
      </c>
      <c r="B105">
        <v>103</v>
      </c>
      <c r="C105" t="s">
        <v>63</v>
      </c>
      <c r="D105">
        <v>1</v>
      </c>
      <c r="F105">
        <v>1</v>
      </c>
      <c r="G105" t="s">
        <v>103</v>
      </c>
      <c r="K105" t="s">
        <v>227</v>
      </c>
      <c r="L105">
        <v>2</v>
      </c>
      <c r="M105">
        <v>1</v>
      </c>
      <c r="N105">
        <v>1</v>
      </c>
      <c r="O105" t="s">
        <v>228</v>
      </c>
      <c r="P105" t="s">
        <v>231</v>
      </c>
      <c r="S105" t="s">
        <v>53</v>
      </c>
      <c r="T105">
        <v>2</v>
      </c>
      <c r="U105">
        <v>1</v>
      </c>
      <c r="V105">
        <v>1</v>
      </c>
      <c r="W105" t="s">
        <v>54</v>
      </c>
      <c r="X105" t="s">
        <v>83</v>
      </c>
      <c r="AA105" t="s">
        <v>45</v>
      </c>
      <c r="AB105">
        <v>2</v>
      </c>
      <c r="AD105">
        <v>1</v>
      </c>
      <c r="AE105" t="s">
        <v>47</v>
      </c>
      <c r="AI105">
        <v>5</v>
      </c>
      <c r="AJ105">
        <v>27</v>
      </c>
    </row>
    <row r="106" spans="1:36" x14ac:dyDescent="0.25">
      <c r="A106" t="s">
        <v>350</v>
      </c>
      <c r="B106">
        <v>104</v>
      </c>
      <c r="C106" t="s">
        <v>38</v>
      </c>
      <c r="D106">
        <v>1</v>
      </c>
      <c r="E106">
        <v>1</v>
      </c>
      <c r="F106">
        <v>1</v>
      </c>
      <c r="G106" t="s">
        <v>152</v>
      </c>
      <c r="H106" t="s">
        <v>70</v>
      </c>
      <c r="K106" t="s">
        <v>227</v>
      </c>
      <c r="L106">
        <v>2</v>
      </c>
      <c r="M106">
        <v>1</v>
      </c>
      <c r="N106">
        <v>2</v>
      </c>
      <c r="O106" t="s">
        <v>228</v>
      </c>
      <c r="P106" t="s">
        <v>231</v>
      </c>
      <c r="S106" t="s">
        <v>53</v>
      </c>
      <c r="T106">
        <v>3</v>
      </c>
      <c r="U106">
        <v>1</v>
      </c>
      <c r="V106">
        <v>1</v>
      </c>
      <c r="W106" t="s">
        <v>54</v>
      </c>
      <c r="X106" t="s">
        <v>113</v>
      </c>
      <c r="Y106" t="s">
        <v>114</v>
      </c>
      <c r="AA106" t="s">
        <v>45</v>
      </c>
      <c r="AB106">
        <v>2</v>
      </c>
      <c r="AD106">
        <v>1</v>
      </c>
      <c r="AE106" t="s">
        <v>47</v>
      </c>
      <c r="AI106">
        <v>9</v>
      </c>
      <c r="AJ106">
        <v>26</v>
      </c>
    </row>
    <row r="107" spans="1:36" x14ac:dyDescent="0.25">
      <c r="A107" t="s">
        <v>351</v>
      </c>
      <c r="B107">
        <v>105</v>
      </c>
      <c r="C107" t="s">
        <v>53</v>
      </c>
      <c r="D107">
        <v>2</v>
      </c>
      <c r="E107">
        <v>1</v>
      </c>
      <c r="F107">
        <v>1</v>
      </c>
      <c r="G107" t="s">
        <v>111</v>
      </c>
      <c r="K107" t="s">
        <v>63</v>
      </c>
      <c r="L107">
        <v>1</v>
      </c>
      <c r="N107">
        <v>1</v>
      </c>
      <c r="O107" t="s">
        <v>72</v>
      </c>
      <c r="S107" t="s">
        <v>56</v>
      </c>
      <c r="T107">
        <v>1</v>
      </c>
      <c r="V107">
        <v>1</v>
      </c>
      <c r="W107" t="s">
        <v>57</v>
      </c>
      <c r="AA107" t="s">
        <v>48</v>
      </c>
      <c r="AB107">
        <v>2</v>
      </c>
      <c r="AD107">
        <v>1</v>
      </c>
      <c r="AE107" t="s">
        <v>49</v>
      </c>
      <c r="AI107">
        <v>2</v>
      </c>
      <c r="AJ107">
        <v>30</v>
      </c>
    </row>
    <row r="108" spans="1:36" x14ac:dyDescent="0.25">
      <c r="A108" t="s">
        <v>352</v>
      </c>
      <c r="B108">
        <v>106</v>
      </c>
      <c r="C108" t="s">
        <v>56</v>
      </c>
      <c r="D108">
        <v>1</v>
      </c>
      <c r="F108">
        <v>1</v>
      </c>
      <c r="G108" t="s">
        <v>57</v>
      </c>
      <c r="K108" t="s">
        <v>33</v>
      </c>
      <c r="L108">
        <v>2</v>
      </c>
      <c r="N108">
        <v>3</v>
      </c>
      <c r="O108" t="s">
        <v>46</v>
      </c>
      <c r="S108" t="s">
        <v>53</v>
      </c>
      <c r="T108">
        <v>3</v>
      </c>
      <c r="U108">
        <v>1</v>
      </c>
      <c r="V108">
        <v>2</v>
      </c>
      <c r="W108" t="s">
        <v>54</v>
      </c>
      <c r="AA108" t="s">
        <v>63</v>
      </c>
      <c r="AB108">
        <v>1</v>
      </c>
      <c r="AD108">
        <v>1</v>
      </c>
      <c r="AE108" t="s">
        <v>72</v>
      </c>
      <c r="AI108">
        <v>7</v>
      </c>
      <c r="AJ108">
        <v>24</v>
      </c>
    </row>
    <row r="109" spans="1:36" x14ac:dyDescent="0.25">
      <c r="A109" t="s">
        <v>353</v>
      </c>
      <c r="B109">
        <v>107</v>
      </c>
      <c r="C109" t="s">
        <v>56</v>
      </c>
      <c r="D109">
        <v>1</v>
      </c>
      <c r="F109">
        <v>1</v>
      </c>
      <c r="G109" t="s">
        <v>57</v>
      </c>
      <c r="K109" t="s">
        <v>43</v>
      </c>
      <c r="L109">
        <v>2</v>
      </c>
      <c r="N109">
        <v>1</v>
      </c>
      <c r="O109" t="s">
        <v>135</v>
      </c>
      <c r="P109" t="s">
        <v>74</v>
      </c>
      <c r="S109" t="s">
        <v>53</v>
      </c>
      <c r="T109">
        <v>2</v>
      </c>
      <c r="U109">
        <v>1</v>
      </c>
      <c r="V109">
        <v>1</v>
      </c>
      <c r="W109" t="s">
        <v>111</v>
      </c>
      <c r="X109" t="s">
        <v>83</v>
      </c>
      <c r="AA109" t="s">
        <v>63</v>
      </c>
      <c r="AB109">
        <v>1</v>
      </c>
      <c r="AD109">
        <v>1</v>
      </c>
      <c r="AE109" t="s">
        <v>72</v>
      </c>
      <c r="AI109">
        <v>4</v>
      </c>
      <c r="AJ109">
        <v>24</v>
      </c>
    </row>
    <row r="110" spans="1:36" x14ac:dyDescent="0.25">
      <c r="A110" t="s">
        <v>354</v>
      </c>
      <c r="B110">
        <v>108</v>
      </c>
      <c r="C110" t="s">
        <v>53</v>
      </c>
      <c r="D110">
        <v>2</v>
      </c>
      <c r="E110">
        <v>1</v>
      </c>
      <c r="F110">
        <v>2</v>
      </c>
      <c r="G110" t="s">
        <v>54</v>
      </c>
      <c r="K110" t="s">
        <v>63</v>
      </c>
      <c r="L110">
        <v>1</v>
      </c>
      <c r="N110">
        <v>1</v>
      </c>
      <c r="O110" t="s">
        <v>72</v>
      </c>
      <c r="S110" t="s">
        <v>56</v>
      </c>
      <c r="T110">
        <v>2</v>
      </c>
      <c r="V110">
        <v>1</v>
      </c>
      <c r="W110" t="s">
        <v>57</v>
      </c>
      <c r="X110" t="s">
        <v>122</v>
      </c>
      <c r="AA110" t="s">
        <v>45</v>
      </c>
      <c r="AB110">
        <v>2</v>
      </c>
      <c r="AD110">
        <v>1</v>
      </c>
      <c r="AE110" t="s">
        <v>86</v>
      </c>
      <c r="AI110">
        <v>5</v>
      </c>
      <c r="AJ110">
        <v>23</v>
      </c>
    </row>
    <row r="111" spans="1:36" x14ac:dyDescent="0.25">
      <c r="A111" t="s">
        <v>355</v>
      </c>
      <c r="B111">
        <v>109</v>
      </c>
      <c r="C111" t="s">
        <v>56</v>
      </c>
      <c r="D111">
        <v>1</v>
      </c>
      <c r="F111">
        <v>1</v>
      </c>
      <c r="G111" t="s">
        <v>57</v>
      </c>
      <c r="K111" t="s">
        <v>38</v>
      </c>
      <c r="L111">
        <v>3</v>
      </c>
      <c r="M111">
        <v>1</v>
      </c>
      <c r="N111">
        <v>3</v>
      </c>
      <c r="O111" t="s">
        <v>152</v>
      </c>
      <c r="P111" t="s">
        <v>96</v>
      </c>
      <c r="Q111" t="s">
        <v>154</v>
      </c>
      <c r="R111" t="s">
        <v>42</v>
      </c>
      <c r="S111" t="s">
        <v>53</v>
      </c>
      <c r="T111">
        <v>3</v>
      </c>
      <c r="U111">
        <v>2</v>
      </c>
      <c r="V111">
        <v>3</v>
      </c>
      <c r="W111" t="s">
        <v>111</v>
      </c>
      <c r="X111" t="s">
        <v>55</v>
      </c>
      <c r="Y111" t="s">
        <v>114</v>
      </c>
      <c r="Z111" t="s">
        <v>98</v>
      </c>
      <c r="AA111" t="s">
        <v>63</v>
      </c>
      <c r="AB111">
        <v>1</v>
      </c>
      <c r="AD111">
        <v>1</v>
      </c>
      <c r="AE111" t="s">
        <v>72</v>
      </c>
      <c r="AF111" t="s">
        <v>95</v>
      </c>
      <c r="AI111">
        <v>16</v>
      </c>
      <c r="AJ111">
        <v>44</v>
      </c>
    </row>
    <row r="112" spans="1:36" x14ac:dyDescent="0.25">
      <c r="A112" t="s">
        <v>356</v>
      </c>
      <c r="B112">
        <v>110</v>
      </c>
      <c r="C112" t="s">
        <v>56</v>
      </c>
      <c r="D112">
        <v>3</v>
      </c>
      <c r="F112">
        <v>1</v>
      </c>
      <c r="G112" t="s">
        <v>57</v>
      </c>
      <c r="H112" t="s">
        <v>122</v>
      </c>
      <c r="I112" t="s">
        <v>85</v>
      </c>
      <c r="J112" t="s">
        <v>125</v>
      </c>
      <c r="K112" t="s">
        <v>227</v>
      </c>
      <c r="L112">
        <v>2</v>
      </c>
      <c r="M112">
        <v>1</v>
      </c>
      <c r="N112">
        <v>1</v>
      </c>
      <c r="O112" t="s">
        <v>228</v>
      </c>
      <c r="S112" t="s">
        <v>53</v>
      </c>
      <c r="T112">
        <v>1</v>
      </c>
      <c r="U112">
        <v>1</v>
      </c>
      <c r="V112">
        <v>1</v>
      </c>
      <c r="W112" t="s">
        <v>111</v>
      </c>
      <c r="AA112" t="s">
        <v>63</v>
      </c>
      <c r="AB112">
        <v>2</v>
      </c>
      <c r="AD112">
        <v>1</v>
      </c>
      <c r="AE112" t="s">
        <v>103</v>
      </c>
      <c r="AF112" t="s">
        <v>91</v>
      </c>
      <c r="AG112" t="s">
        <v>147</v>
      </c>
      <c r="AI112">
        <v>9</v>
      </c>
      <c r="AJ112">
        <v>30</v>
      </c>
    </row>
    <row r="113" spans="1:36" x14ac:dyDescent="0.25">
      <c r="A113" t="s">
        <v>357</v>
      </c>
      <c r="B113">
        <v>111</v>
      </c>
      <c r="C113" t="s">
        <v>48</v>
      </c>
      <c r="D113">
        <v>3</v>
      </c>
      <c r="F113">
        <v>2</v>
      </c>
      <c r="G113" t="s">
        <v>49</v>
      </c>
      <c r="K113" t="s">
        <v>33</v>
      </c>
      <c r="L113">
        <v>2</v>
      </c>
      <c r="N113">
        <v>1</v>
      </c>
      <c r="O113" t="s">
        <v>46</v>
      </c>
      <c r="S113" t="s">
        <v>53</v>
      </c>
      <c r="T113">
        <v>2</v>
      </c>
      <c r="U113">
        <v>2</v>
      </c>
      <c r="V113">
        <v>2</v>
      </c>
      <c r="W113" t="s">
        <v>111</v>
      </c>
      <c r="AA113" t="s">
        <v>63</v>
      </c>
      <c r="AB113">
        <v>1</v>
      </c>
      <c r="AD113">
        <v>1</v>
      </c>
      <c r="AE113" t="s">
        <v>72</v>
      </c>
      <c r="AI113">
        <v>7</v>
      </c>
      <c r="AJ113">
        <v>32</v>
      </c>
    </row>
    <row r="114" spans="1:36" x14ac:dyDescent="0.25">
      <c r="A114" t="s">
        <v>358</v>
      </c>
      <c r="B114">
        <v>112</v>
      </c>
      <c r="C114" t="s">
        <v>48</v>
      </c>
      <c r="D114">
        <v>3</v>
      </c>
      <c r="F114">
        <v>2</v>
      </c>
      <c r="G114" t="s">
        <v>49</v>
      </c>
      <c r="H114" t="s">
        <v>71</v>
      </c>
      <c r="I114" t="s">
        <v>127</v>
      </c>
      <c r="J114" t="s">
        <v>52</v>
      </c>
      <c r="K114" t="s">
        <v>43</v>
      </c>
      <c r="L114">
        <v>1</v>
      </c>
      <c r="N114">
        <v>1</v>
      </c>
      <c r="O114" t="s">
        <v>135</v>
      </c>
      <c r="P114" t="s">
        <v>99</v>
      </c>
      <c r="S114" t="s">
        <v>53</v>
      </c>
      <c r="T114">
        <v>2</v>
      </c>
      <c r="U114">
        <v>2</v>
      </c>
      <c r="V114">
        <v>1</v>
      </c>
      <c r="W114" t="s">
        <v>111</v>
      </c>
      <c r="AA114" t="s">
        <v>63</v>
      </c>
      <c r="AB114">
        <v>3</v>
      </c>
      <c r="AD114">
        <v>1</v>
      </c>
      <c r="AE114" t="s">
        <v>72</v>
      </c>
      <c r="AF114" t="s">
        <v>91</v>
      </c>
      <c r="AG114" t="s">
        <v>147</v>
      </c>
      <c r="AI114">
        <v>13</v>
      </c>
      <c r="AJ114">
        <v>31</v>
      </c>
    </row>
    <row r="115" spans="1:36" x14ac:dyDescent="0.25">
      <c r="A115" t="s">
        <v>359</v>
      </c>
      <c r="B115">
        <v>113</v>
      </c>
      <c r="C115" t="s">
        <v>48</v>
      </c>
      <c r="D115">
        <v>3</v>
      </c>
      <c r="F115">
        <v>1</v>
      </c>
      <c r="G115" t="s">
        <v>49</v>
      </c>
      <c r="K115" t="s">
        <v>45</v>
      </c>
      <c r="L115">
        <v>3</v>
      </c>
      <c r="N115">
        <v>1</v>
      </c>
      <c r="O115" t="s">
        <v>47</v>
      </c>
      <c r="S115" t="s">
        <v>53</v>
      </c>
      <c r="T115">
        <v>2</v>
      </c>
      <c r="U115">
        <v>1</v>
      </c>
      <c r="V115">
        <v>3</v>
      </c>
      <c r="W115" t="s">
        <v>111</v>
      </c>
      <c r="X115" t="s">
        <v>55</v>
      </c>
      <c r="AA115" t="s">
        <v>63</v>
      </c>
      <c r="AB115">
        <v>1</v>
      </c>
      <c r="AD115">
        <v>1</v>
      </c>
      <c r="AE115" t="s">
        <v>72</v>
      </c>
      <c r="AI115">
        <v>8</v>
      </c>
      <c r="AJ115">
        <v>26</v>
      </c>
    </row>
    <row r="116" spans="1:36" x14ac:dyDescent="0.25">
      <c r="A116" t="s">
        <v>360</v>
      </c>
      <c r="B116">
        <v>114</v>
      </c>
      <c r="C116" t="s">
        <v>53</v>
      </c>
      <c r="D116">
        <v>2</v>
      </c>
      <c r="E116">
        <v>1</v>
      </c>
      <c r="F116">
        <v>1</v>
      </c>
      <c r="G116" t="s">
        <v>54</v>
      </c>
      <c r="K116" t="s">
        <v>63</v>
      </c>
      <c r="L116">
        <v>1</v>
      </c>
      <c r="N116">
        <v>1</v>
      </c>
      <c r="O116" t="s">
        <v>72</v>
      </c>
      <c r="P116" t="s">
        <v>95</v>
      </c>
      <c r="S116" t="s">
        <v>48</v>
      </c>
      <c r="T116">
        <v>1</v>
      </c>
      <c r="V116">
        <v>1</v>
      </c>
      <c r="W116" t="s">
        <v>49</v>
      </c>
      <c r="AA116" t="s">
        <v>38</v>
      </c>
      <c r="AB116">
        <v>3</v>
      </c>
      <c r="AC116">
        <v>1</v>
      </c>
      <c r="AD116">
        <v>1</v>
      </c>
      <c r="AE116" t="s">
        <v>152</v>
      </c>
      <c r="AI116">
        <v>4</v>
      </c>
      <c r="AJ116">
        <v>22</v>
      </c>
    </row>
    <row r="117" spans="1:36" x14ac:dyDescent="0.25">
      <c r="A117" t="s">
        <v>361</v>
      </c>
      <c r="B117">
        <v>115</v>
      </c>
      <c r="C117" t="s">
        <v>48</v>
      </c>
      <c r="D117">
        <v>2</v>
      </c>
      <c r="F117">
        <v>1</v>
      </c>
      <c r="G117" t="s">
        <v>49</v>
      </c>
      <c r="H117" t="s">
        <v>71</v>
      </c>
      <c r="K117" t="s">
        <v>227</v>
      </c>
      <c r="L117">
        <v>2</v>
      </c>
      <c r="M117">
        <v>1</v>
      </c>
      <c r="N117">
        <v>1</v>
      </c>
      <c r="O117" t="s">
        <v>228</v>
      </c>
      <c r="S117" t="s">
        <v>53</v>
      </c>
      <c r="T117">
        <v>2</v>
      </c>
      <c r="U117">
        <v>2</v>
      </c>
      <c r="V117">
        <v>1</v>
      </c>
      <c r="W117" t="s">
        <v>111</v>
      </c>
      <c r="X117" t="s">
        <v>83</v>
      </c>
      <c r="AA117" t="s">
        <v>63</v>
      </c>
      <c r="AB117">
        <v>1</v>
      </c>
      <c r="AD117">
        <v>1</v>
      </c>
      <c r="AE117" t="s">
        <v>72</v>
      </c>
      <c r="AI117">
        <v>6</v>
      </c>
      <c r="AJ117">
        <v>34</v>
      </c>
    </row>
    <row r="118" spans="1:36" x14ac:dyDescent="0.25">
      <c r="A118" t="s">
        <v>362</v>
      </c>
      <c r="B118">
        <v>116</v>
      </c>
      <c r="C118" t="s">
        <v>33</v>
      </c>
      <c r="D118">
        <v>2</v>
      </c>
      <c r="F118">
        <v>1</v>
      </c>
      <c r="G118" t="s">
        <v>46</v>
      </c>
      <c r="H118" t="s">
        <v>35</v>
      </c>
      <c r="K118" t="s">
        <v>43</v>
      </c>
      <c r="L118">
        <v>1</v>
      </c>
      <c r="N118">
        <v>1</v>
      </c>
      <c r="O118" t="s">
        <v>135</v>
      </c>
      <c r="P118" t="s">
        <v>99</v>
      </c>
      <c r="Q118" t="s">
        <v>100</v>
      </c>
      <c r="S118" t="s">
        <v>53</v>
      </c>
      <c r="T118">
        <v>1</v>
      </c>
      <c r="U118">
        <v>1</v>
      </c>
      <c r="V118">
        <v>1</v>
      </c>
      <c r="W118" t="s">
        <v>111</v>
      </c>
      <c r="AA118" t="s">
        <v>63</v>
      </c>
      <c r="AB118">
        <v>1</v>
      </c>
      <c r="AD118">
        <v>1</v>
      </c>
      <c r="AE118" t="s">
        <v>72</v>
      </c>
      <c r="AF118" t="s">
        <v>146</v>
      </c>
      <c r="AI118">
        <v>5</v>
      </c>
      <c r="AJ118">
        <v>27</v>
      </c>
    </row>
    <row r="119" spans="1:36" x14ac:dyDescent="0.25">
      <c r="A119" t="s">
        <v>363</v>
      </c>
      <c r="B119">
        <v>117</v>
      </c>
      <c r="C119" t="s">
        <v>33</v>
      </c>
      <c r="D119">
        <v>2</v>
      </c>
      <c r="F119">
        <v>2</v>
      </c>
      <c r="G119" t="s">
        <v>46</v>
      </c>
      <c r="K119" t="s">
        <v>45</v>
      </c>
      <c r="L119">
        <v>1</v>
      </c>
      <c r="N119">
        <v>1</v>
      </c>
      <c r="O119" t="s">
        <v>47</v>
      </c>
      <c r="S119" t="s">
        <v>53</v>
      </c>
      <c r="T119">
        <v>1</v>
      </c>
      <c r="U119">
        <v>3</v>
      </c>
      <c r="V119">
        <v>1</v>
      </c>
      <c r="W119" t="s">
        <v>111</v>
      </c>
      <c r="AA119" t="s">
        <v>63</v>
      </c>
      <c r="AB119">
        <v>1</v>
      </c>
      <c r="AD119">
        <v>1</v>
      </c>
      <c r="AE119" t="s">
        <v>72</v>
      </c>
      <c r="AI119">
        <v>4</v>
      </c>
      <c r="AJ119">
        <v>37</v>
      </c>
    </row>
    <row r="120" spans="1:36" x14ac:dyDescent="0.25">
      <c r="A120" t="s">
        <v>364</v>
      </c>
      <c r="B120">
        <v>118</v>
      </c>
      <c r="C120" t="s">
        <v>53</v>
      </c>
      <c r="D120">
        <v>1</v>
      </c>
      <c r="E120">
        <v>1</v>
      </c>
      <c r="F120">
        <v>1</v>
      </c>
      <c r="G120" t="s">
        <v>111</v>
      </c>
      <c r="K120" t="s">
        <v>63</v>
      </c>
      <c r="L120">
        <v>3</v>
      </c>
      <c r="N120">
        <v>1</v>
      </c>
      <c r="O120" t="s">
        <v>72</v>
      </c>
      <c r="P120" t="s">
        <v>91</v>
      </c>
      <c r="Q120" t="s">
        <v>104</v>
      </c>
      <c r="R120" t="s">
        <v>151</v>
      </c>
      <c r="S120" t="s">
        <v>33</v>
      </c>
      <c r="T120">
        <v>1</v>
      </c>
      <c r="V120">
        <v>2</v>
      </c>
      <c r="W120" t="s">
        <v>46</v>
      </c>
      <c r="AA120" t="s">
        <v>38</v>
      </c>
      <c r="AB120">
        <v>2</v>
      </c>
      <c r="AC120">
        <v>1</v>
      </c>
      <c r="AD120">
        <v>1</v>
      </c>
      <c r="AE120" t="s">
        <v>152</v>
      </c>
      <c r="AI120">
        <v>7</v>
      </c>
      <c r="AJ120">
        <v>35</v>
      </c>
    </row>
    <row r="121" spans="1:36" x14ac:dyDescent="0.25">
      <c r="A121" t="s">
        <v>365</v>
      </c>
      <c r="B121">
        <v>119</v>
      </c>
      <c r="C121" t="s">
        <v>53</v>
      </c>
      <c r="D121">
        <v>1</v>
      </c>
      <c r="E121">
        <v>1</v>
      </c>
      <c r="F121">
        <v>1</v>
      </c>
      <c r="G121" t="s">
        <v>54</v>
      </c>
      <c r="K121" t="s">
        <v>63</v>
      </c>
      <c r="L121">
        <v>2</v>
      </c>
      <c r="N121">
        <v>2</v>
      </c>
      <c r="O121" t="s">
        <v>72</v>
      </c>
      <c r="P121" t="s">
        <v>91</v>
      </c>
      <c r="S121" t="s">
        <v>33</v>
      </c>
      <c r="T121">
        <v>2</v>
      </c>
      <c r="V121">
        <v>1</v>
      </c>
      <c r="W121" t="s">
        <v>46</v>
      </c>
      <c r="AA121" t="s">
        <v>227</v>
      </c>
      <c r="AB121">
        <v>3</v>
      </c>
      <c r="AC121">
        <v>1</v>
      </c>
      <c r="AD121">
        <v>1</v>
      </c>
      <c r="AE121" t="s">
        <v>228</v>
      </c>
      <c r="AI121">
        <v>6</v>
      </c>
      <c r="AJ121">
        <v>33</v>
      </c>
    </row>
    <row r="122" spans="1:36" x14ac:dyDescent="0.25">
      <c r="A122" t="s">
        <v>366</v>
      </c>
      <c r="B122">
        <v>120</v>
      </c>
      <c r="C122" t="s">
        <v>43</v>
      </c>
      <c r="D122">
        <v>1</v>
      </c>
      <c r="F122">
        <v>1</v>
      </c>
      <c r="G122" t="s">
        <v>135</v>
      </c>
      <c r="K122" t="s">
        <v>45</v>
      </c>
      <c r="L122">
        <v>3</v>
      </c>
      <c r="N122">
        <v>1</v>
      </c>
      <c r="O122" t="s">
        <v>47</v>
      </c>
      <c r="S122" t="s">
        <v>53</v>
      </c>
      <c r="T122">
        <v>1</v>
      </c>
      <c r="U122">
        <v>1</v>
      </c>
      <c r="V122">
        <v>1</v>
      </c>
      <c r="W122" t="s">
        <v>111</v>
      </c>
      <c r="AA122" t="s">
        <v>63</v>
      </c>
      <c r="AB122">
        <v>2</v>
      </c>
      <c r="AD122">
        <v>1</v>
      </c>
      <c r="AE122" t="s">
        <v>72</v>
      </c>
      <c r="AF122" t="s">
        <v>91</v>
      </c>
      <c r="AI122">
        <v>4</v>
      </c>
      <c r="AJ122">
        <v>27</v>
      </c>
    </row>
    <row r="123" spans="1:36" x14ac:dyDescent="0.25">
      <c r="A123" t="s">
        <v>367</v>
      </c>
      <c r="B123">
        <v>121</v>
      </c>
      <c r="C123" t="s">
        <v>43</v>
      </c>
      <c r="D123">
        <v>3</v>
      </c>
      <c r="F123">
        <v>3</v>
      </c>
      <c r="G123" t="s">
        <v>135</v>
      </c>
      <c r="H123" t="s">
        <v>74</v>
      </c>
      <c r="I123" t="s">
        <v>75</v>
      </c>
      <c r="J123" t="s">
        <v>139</v>
      </c>
      <c r="K123" t="s">
        <v>38</v>
      </c>
      <c r="L123">
        <v>1</v>
      </c>
      <c r="M123">
        <v>1</v>
      </c>
      <c r="N123">
        <v>1</v>
      </c>
      <c r="O123" t="s">
        <v>152</v>
      </c>
      <c r="P123" t="s">
        <v>70</v>
      </c>
      <c r="S123" t="s">
        <v>53</v>
      </c>
      <c r="T123">
        <v>1</v>
      </c>
      <c r="U123">
        <v>3</v>
      </c>
      <c r="V123">
        <v>2</v>
      </c>
      <c r="W123" t="s">
        <v>111</v>
      </c>
      <c r="X123" t="s">
        <v>83</v>
      </c>
      <c r="AA123" t="s">
        <v>63</v>
      </c>
      <c r="AB123">
        <v>1</v>
      </c>
      <c r="AD123">
        <v>1</v>
      </c>
      <c r="AE123" t="s">
        <v>72</v>
      </c>
      <c r="AI123">
        <v>14</v>
      </c>
      <c r="AJ123">
        <v>47</v>
      </c>
    </row>
    <row r="124" spans="1:36" x14ac:dyDescent="0.25">
      <c r="A124" t="s">
        <v>368</v>
      </c>
      <c r="B124">
        <v>122</v>
      </c>
      <c r="C124" t="s">
        <v>43</v>
      </c>
      <c r="D124">
        <v>2</v>
      </c>
      <c r="F124">
        <v>1</v>
      </c>
      <c r="G124" t="s">
        <v>135</v>
      </c>
      <c r="H124" t="s">
        <v>99</v>
      </c>
      <c r="K124" t="s">
        <v>227</v>
      </c>
      <c r="L124">
        <v>3</v>
      </c>
      <c r="M124">
        <v>1</v>
      </c>
      <c r="N124">
        <v>1</v>
      </c>
      <c r="O124" t="s">
        <v>228</v>
      </c>
      <c r="S124" t="s">
        <v>53</v>
      </c>
      <c r="T124">
        <v>1</v>
      </c>
      <c r="U124">
        <v>1</v>
      </c>
      <c r="V124">
        <v>1</v>
      </c>
      <c r="W124" t="s">
        <v>54</v>
      </c>
      <c r="AA124" t="s">
        <v>63</v>
      </c>
      <c r="AB124">
        <v>1</v>
      </c>
      <c r="AD124">
        <v>1</v>
      </c>
      <c r="AE124" t="s">
        <v>72</v>
      </c>
      <c r="AF124" t="s">
        <v>91</v>
      </c>
      <c r="AI124">
        <v>5</v>
      </c>
      <c r="AJ124">
        <v>33</v>
      </c>
    </row>
    <row r="125" spans="1:36" x14ac:dyDescent="0.25">
      <c r="A125" t="s">
        <v>369</v>
      </c>
      <c r="B125">
        <v>123</v>
      </c>
      <c r="C125" t="s">
        <v>53</v>
      </c>
      <c r="D125">
        <v>3</v>
      </c>
      <c r="E125">
        <v>1</v>
      </c>
      <c r="F125">
        <v>1</v>
      </c>
      <c r="G125" t="s">
        <v>111</v>
      </c>
      <c r="H125" t="s">
        <v>55</v>
      </c>
      <c r="I125" t="s">
        <v>97</v>
      </c>
      <c r="K125" t="s">
        <v>63</v>
      </c>
      <c r="L125">
        <v>1</v>
      </c>
      <c r="N125">
        <v>1</v>
      </c>
      <c r="O125" t="s">
        <v>72</v>
      </c>
      <c r="S125" t="s">
        <v>45</v>
      </c>
      <c r="T125">
        <v>3</v>
      </c>
      <c r="V125">
        <v>1</v>
      </c>
      <c r="W125" t="s">
        <v>47</v>
      </c>
      <c r="AA125" t="s">
        <v>38</v>
      </c>
      <c r="AB125">
        <v>3</v>
      </c>
      <c r="AC125">
        <v>1</v>
      </c>
      <c r="AD125">
        <v>1</v>
      </c>
      <c r="AE125" t="s">
        <v>152</v>
      </c>
      <c r="AI125">
        <v>8</v>
      </c>
      <c r="AJ125">
        <v>39</v>
      </c>
    </row>
    <row r="126" spans="1:36" x14ac:dyDescent="0.25">
      <c r="A126" t="s">
        <v>370</v>
      </c>
      <c r="B126">
        <v>124</v>
      </c>
      <c r="C126" t="s">
        <v>53</v>
      </c>
      <c r="D126">
        <v>1</v>
      </c>
      <c r="E126">
        <v>1</v>
      </c>
      <c r="F126">
        <v>1</v>
      </c>
      <c r="G126" t="s">
        <v>54</v>
      </c>
      <c r="H126" t="s">
        <v>83</v>
      </c>
      <c r="I126" t="s">
        <v>114</v>
      </c>
      <c r="K126" t="s">
        <v>63</v>
      </c>
      <c r="L126">
        <v>1</v>
      </c>
      <c r="N126">
        <v>1</v>
      </c>
      <c r="O126" t="s">
        <v>72</v>
      </c>
      <c r="P126" t="s">
        <v>95</v>
      </c>
      <c r="Q126" t="s">
        <v>104</v>
      </c>
      <c r="S126" t="s">
        <v>45</v>
      </c>
      <c r="T126">
        <v>2</v>
      </c>
      <c r="V126">
        <v>1</v>
      </c>
      <c r="W126" t="s">
        <v>86</v>
      </c>
      <c r="AA126" t="s">
        <v>227</v>
      </c>
      <c r="AB126">
        <v>1</v>
      </c>
      <c r="AC126">
        <v>1</v>
      </c>
      <c r="AD126">
        <v>1</v>
      </c>
      <c r="AE126" t="s">
        <v>228</v>
      </c>
      <c r="AF126" t="s">
        <v>231</v>
      </c>
      <c r="AI126">
        <v>6</v>
      </c>
      <c r="AJ126">
        <v>20</v>
      </c>
    </row>
    <row r="127" spans="1:36" x14ac:dyDescent="0.25">
      <c r="A127" t="s">
        <v>371</v>
      </c>
      <c r="B127">
        <v>125</v>
      </c>
      <c r="C127" t="s">
        <v>53</v>
      </c>
      <c r="D127">
        <v>1</v>
      </c>
      <c r="E127">
        <v>1</v>
      </c>
      <c r="F127">
        <v>1</v>
      </c>
      <c r="G127" t="s">
        <v>54</v>
      </c>
      <c r="H127" t="s">
        <v>55</v>
      </c>
      <c r="K127" t="s">
        <v>63</v>
      </c>
      <c r="L127">
        <v>1</v>
      </c>
      <c r="N127">
        <v>1</v>
      </c>
      <c r="O127" t="s">
        <v>72</v>
      </c>
      <c r="P127" t="s">
        <v>95</v>
      </c>
      <c r="S127" t="s">
        <v>38</v>
      </c>
      <c r="T127">
        <v>1</v>
      </c>
      <c r="U127">
        <v>1</v>
      </c>
      <c r="V127">
        <v>1</v>
      </c>
      <c r="W127" t="s">
        <v>152</v>
      </c>
      <c r="AA127" t="s">
        <v>227</v>
      </c>
      <c r="AB127">
        <v>1</v>
      </c>
      <c r="AC127">
        <v>1</v>
      </c>
      <c r="AD127">
        <v>1</v>
      </c>
      <c r="AE127" t="s">
        <v>228</v>
      </c>
      <c r="AI127">
        <v>2</v>
      </c>
      <c r="AJ127">
        <v>23</v>
      </c>
    </row>
    <row r="128" spans="1:36" x14ac:dyDescent="0.25">
      <c r="A128" t="s">
        <v>372</v>
      </c>
      <c r="B128">
        <v>126</v>
      </c>
      <c r="C128" t="s">
        <v>56</v>
      </c>
      <c r="D128">
        <v>3</v>
      </c>
      <c r="F128">
        <v>1</v>
      </c>
      <c r="G128" t="s">
        <v>57</v>
      </c>
      <c r="H128" t="s">
        <v>122</v>
      </c>
      <c r="I128" t="s">
        <v>123</v>
      </c>
      <c r="J128" t="s">
        <v>124</v>
      </c>
      <c r="K128" t="s">
        <v>48</v>
      </c>
      <c r="L128">
        <v>3</v>
      </c>
      <c r="N128">
        <v>1</v>
      </c>
      <c r="O128" t="s">
        <v>49</v>
      </c>
      <c r="S128" t="s">
        <v>53</v>
      </c>
      <c r="T128">
        <v>3</v>
      </c>
      <c r="U128">
        <v>3</v>
      </c>
      <c r="V128">
        <v>3</v>
      </c>
      <c r="W128" t="s">
        <v>111</v>
      </c>
      <c r="X128" t="s">
        <v>55</v>
      </c>
      <c r="Y128" t="s">
        <v>97</v>
      </c>
      <c r="Z128" t="s">
        <v>115</v>
      </c>
      <c r="AA128" t="s">
        <v>38</v>
      </c>
      <c r="AB128">
        <v>1</v>
      </c>
      <c r="AC128">
        <v>1</v>
      </c>
      <c r="AD128">
        <v>2</v>
      </c>
      <c r="AE128" t="s">
        <v>152</v>
      </c>
      <c r="AF128" t="s">
        <v>40</v>
      </c>
      <c r="AI128">
        <v>18</v>
      </c>
      <c r="AJ128">
        <v>48</v>
      </c>
    </row>
    <row r="129" spans="1:36" x14ac:dyDescent="0.25">
      <c r="A129" t="s">
        <v>373</v>
      </c>
      <c r="B129">
        <v>127</v>
      </c>
      <c r="C129" t="s">
        <v>53</v>
      </c>
      <c r="D129">
        <v>2</v>
      </c>
      <c r="E129">
        <v>1</v>
      </c>
      <c r="F129">
        <v>1</v>
      </c>
      <c r="G129" t="s">
        <v>111</v>
      </c>
      <c r="K129" t="s">
        <v>38</v>
      </c>
      <c r="L129">
        <v>1</v>
      </c>
      <c r="M129">
        <v>1</v>
      </c>
      <c r="N129">
        <v>2</v>
      </c>
      <c r="O129" t="s">
        <v>67</v>
      </c>
      <c r="S129" t="s">
        <v>56</v>
      </c>
      <c r="T129">
        <v>1</v>
      </c>
      <c r="V129">
        <v>1</v>
      </c>
      <c r="W129" t="s">
        <v>57</v>
      </c>
      <c r="X129" t="s">
        <v>122</v>
      </c>
      <c r="AA129" t="s">
        <v>33</v>
      </c>
      <c r="AB129">
        <v>1</v>
      </c>
      <c r="AD129">
        <v>3</v>
      </c>
      <c r="AE129" t="s">
        <v>46</v>
      </c>
      <c r="AI129">
        <v>5</v>
      </c>
      <c r="AJ129">
        <v>21</v>
      </c>
    </row>
    <row r="130" spans="1:36" x14ac:dyDescent="0.25">
      <c r="A130" t="s">
        <v>374</v>
      </c>
      <c r="B130">
        <v>128</v>
      </c>
      <c r="C130" t="s">
        <v>53</v>
      </c>
      <c r="D130">
        <v>2</v>
      </c>
      <c r="E130">
        <v>1</v>
      </c>
      <c r="F130">
        <v>1</v>
      </c>
      <c r="G130" t="s">
        <v>54</v>
      </c>
      <c r="H130" t="s">
        <v>55</v>
      </c>
      <c r="I130" t="s">
        <v>114</v>
      </c>
      <c r="K130" t="s">
        <v>38</v>
      </c>
      <c r="L130">
        <v>1</v>
      </c>
      <c r="M130">
        <v>1</v>
      </c>
      <c r="N130">
        <v>2</v>
      </c>
      <c r="O130" t="s">
        <v>67</v>
      </c>
      <c r="S130" t="s">
        <v>56</v>
      </c>
      <c r="T130">
        <v>1</v>
      </c>
      <c r="V130">
        <v>2</v>
      </c>
      <c r="W130" t="s">
        <v>57</v>
      </c>
      <c r="AA130" t="s">
        <v>43</v>
      </c>
      <c r="AB130">
        <v>1</v>
      </c>
      <c r="AD130">
        <v>1</v>
      </c>
      <c r="AE130" t="s">
        <v>135</v>
      </c>
      <c r="AI130">
        <v>5</v>
      </c>
      <c r="AJ130">
        <v>29</v>
      </c>
    </row>
    <row r="131" spans="1:36" x14ac:dyDescent="0.25">
      <c r="A131" t="s">
        <v>375</v>
      </c>
      <c r="B131">
        <v>129</v>
      </c>
      <c r="C131" t="s">
        <v>56</v>
      </c>
      <c r="D131">
        <v>1</v>
      </c>
      <c r="F131">
        <v>1</v>
      </c>
      <c r="G131" t="s">
        <v>57</v>
      </c>
      <c r="H131" t="s">
        <v>122</v>
      </c>
      <c r="K131" t="s">
        <v>45</v>
      </c>
      <c r="L131">
        <v>2</v>
      </c>
      <c r="N131">
        <v>1</v>
      </c>
      <c r="O131" t="s">
        <v>47</v>
      </c>
      <c r="S131" t="s">
        <v>53</v>
      </c>
      <c r="T131">
        <v>1</v>
      </c>
      <c r="U131">
        <v>2</v>
      </c>
      <c r="V131">
        <v>1</v>
      </c>
      <c r="W131" t="s">
        <v>54</v>
      </c>
      <c r="AA131" t="s">
        <v>38</v>
      </c>
      <c r="AB131">
        <v>1</v>
      </c>
      <c r="AC131">
        <v>1</v>
      </c>
      <c r="AD131">
        <v>1</v>
      </c>
      <c r="AE131" t="s">
        <v>67</v>
      </c>
      <c r="AI131">
        <v>3</v>
      </c>
      <c r="AJ131">
        <v>27</v>
      </c>
    </row>
    <row r="132" spans="1:36" x14ac:dyDescent="0.25">
      <c r="A132" t="s">
        <v>376</v>
      </c>
      <c r="B132">
        <v>130</v>
      </c>
      <c r="C132" t="s">
        <v>53</v>
      </c>
      <c r="D132">
        <v>2</v>
      </c>
      <c r="E132">
        <v>1</v>
      </c>
      <c r="F132">
        <v>1</v>
      </c>
      <c r="G132" t="s">
        <v>54</v>
      </c>
      <c r="H132" t="s">
        <v>55</v>
      </c>
      <c r="K132" t="s">
        <v>38</v>
      </c>
      <c r="L132">
        <v>3</v>
      </c>
      <c r="M132">
        <v>2</v>
      </c>
      <c r="N132">
        <v>3</v>
      </c>
      <c r="O132" t="s">
        <v>152</v>
      </c>
      <c r="P132" t="s">
        <v>70</v>
      </c>
      <c r="Q132" t="s">
        <v>154</v>
      </c>
      <c r="R132" t="s">
        <v>42</v>
      </c>
      <c r="S132" t="s">
        <v>56</v>
      </c>
      <c r="T132">
        <v>1</v>
      </c>
      <c r="V132">
        <v>1</v>
      </c>
      <c r="W132" t="s">
        <v>57</v>
      </c>
      <c r="AA132" t="s">
        <v>63</v>
      </c>
      <c r="AB132">
        <v>3</v>
      </c>
      <c r="AD132">
        <v>2</v>
      </c>
      <c r="AE132" t="s">
        <v>103</v>
      </c>
      <c r="AF132" t="s">
        <v>95</v>
      </c>
      <c r="AI132">
        <v>14</v>
      </c>
      <c r="AJ132">
        <v>57</v>
      </c>
    </row>
    <row r="133" spans="1:36" x14ac:dyDescent="0.25">
      <c r="A133" t="s">
        <v>377</v>
      </c>
      <c r="B133">
        <v>131</v>
      </c>
      <c r="C133" t="s">
        <v>53</v>
      </c>
      <c r="D133">
        <v>2</v>
      </c>
      <c r="E133">
        <v>1</v>
      </c>
      <c r="F133">
        <v>1</v>
      </c>
      <c r="G133" t="s">
        <v>54</v>
      </c>
      <c r="K133" t="s">
        <v>38</v>
      </c>
      <c r="L133">
        <v>1</v>
      </c>
      <c r="M133">
        <v>1</v>
      </c>
      <c r="N133">
        <v>2</v>
      </c>
      <c r="O133" t="s">
        <v>152</v>
      </c>
      <c r="P133" t="s">
        <v>70</v>
      </c>
      <c r="S133" t="s">
        <v>56</v>
      </c>
      <c r="T133">
        <v>1</v>
      </c>
      <c r="V133">
        <v>1</v>
      </c>
      <c r="W133" t="s">
        <v>57</v>
      </c>
      <c r="AA133" t="s">
        <v>227</v>
      </c>
      <c r="AB133">
        <v>1</v>
      </c>
      <c r="AC133">
        <v>1</v>
      </c>
      <c r="AD133">
        <v>2</v>
      </c>
      <c r="AE133" t="s">
        <v>228</v>
      </c>
      <c r="AI133">
        <v>4</v>
      </c>
      <c r="AJ133">
        <v>27</v>
      </c>
    </row>
    <row r="134" spans="1:36" x14ac:dyDescent="0.25">
      <c r="A134" t="s">
        <v>378</v>
      </c>
      <c r="B134">
        <v>132</v>
      </c>
      <c r="C134" t="s">
        <v>48</v>
      </c>
      <c r="D134">
        <v>3</v>
      </c>
      <c r="F134">
        <v>1</v>
      </c>
      <c r="G134" t="s">
        <v>49</v>
      </c>
      <c r="K134" t="s">
        <v>33</v>
      </c>
      <c r="L134">
        <v>2</v>
      </c>
      <c r="N134">
        <v>2</v>
      </c>
      <c r="O134" t="s">
        <v>46</v>
      </c>
      <c r="S134" t="s">
        <v>53</v>
      </c>
      <c r="T134">
        <v>1</v>
      </c>
      <c r="U134">
        <v>1</v>
      </c>
      <c r="V134">
        <v>2</v>
      </c>
      <c r="W134" t="s">
        <v>111</v>
      </c>
      <c r="X134" t="s">
        <v>55</v>
      </c>
      <c r="AA134" t="s">
        <v>38</v>
      </c>
      <c r="AB134">
        <v>1</v>
      </c>
      <c r="AC134">
        <v>1</v>
      </c>
      <c r="AD134">
        <v>1</v>
      </c>
      <c r="AE134" t="s">
        <v>67</v>
      </c>
      <c r="AI134">
        <v>6</v>
      </c>
      <c r="AJ134">
        <v>25</v>
      </c>
    </row>
    <row r="135" spans="1:36" x14ac:dyDescent="0.25">
      <c r="A135" t="s">
        <v>379</v>
      </c>
      <c r="B135">
        <v>133</v>
      </c>
      <c r="C135" t="s">
        <v>53</v>
      </c>
      <c r="D135">
        <v>2</v>
      </c>
      <c r="E135">
        <v>1</v>
      </c>
      <c r="F135">
        <v>1</v>
      </c>
      <c r="G135" t="s">
        <v>54</v>
      </c>
      <c r="H135" t="s">
        <v>83</v>
      </c>
      <c r="I135" t="s">
        <v>114</v>
      </c>
      <c r="K135" t="s">
        <v>38</v>
      </c>
      <c r="L135">
        <v>1</v>
      </c>
      <c r="M135">
        <v>1</v>
      </c>
      <c r="N135">
        <v>2</v>
      </c>
      <c r="O135" t="s">
        <v>67</v>
      </c>
      <c r="P135" t="s">
        <v>40</v>
      </c>
      <c r="S135" t="s">
        <v>48</v>
      </c>
      <c r="T135">
        <v>3</v>
      </c>
      <c r="V135">
        <v>2</v>
      </c>
      <c r="W135" t="s">
        <v>49</v>
      </c>
      <c r="AA135" t="s">
        <v>43</v>
      </c>
      <c r="AB135">
        <v>1</v>
      </c>
      <c r="AD135">
        <v>1</v>
      </c>
      <c r="AE135" t="s">
        <v>135</v>
      </c>
      <c r="AI135">
        <v>8</v>
      </c>
      <c r="AJ135">
        <v>36</v>
      </c>
    </row>
    <row r="136" spans="1:36" x14ac:dyDescent="0.25">
      <c r="A136" t="s">
        <v>380</v>
      </c>
      <c r="B136">
        <v>134</v>
      </c>
      <c r="C136" t="s">
        <v>48</v>
      </c>
      <c r="D136">
        <v>1</v>
      </c>
      <c r="F136">
        <v>2</v>
      </c>
      <c r="G136" t="s">
        <v>49</v>
      </c>
      <c r="H136" t="s">
        <v>84</v>
      </c>
      <c r="I136" t="s">
        <v>127</v>
      </c>
      <c r="K136" t="s">
        <v>45</v>
      </c>
      <c r="L136">
        <v>3</v>
      </c>
      <c r="N136">
        <v>1</v>
      </c>
      <c r="O136" t="s">
        <v>86</v>
      </c>
      <c r="S136" t="s">
        <v>53</v>
      </c>
      <c r="T136">
        <v>2</v>
      </c>
      <c r="U136">
        <v>1</v>
      </c>
      <c r="V136">
        <v>1</v>
      </c>
      <c r="W136" t="s">
        <v>54</v>
      </c>
      <c r="X136" t="s">
        <v>83</v>
      </c>
      <c r="AA136" t="s">
        <v>38</v>
      </c>
      <c r="AB136">
        <v>2</v>
      </c>
      <c r="AC136">
        <v>1</v>
      </c>
      <c r="AD136">
        <v>1</v>
      </c>
      <c r="AE136" t="s">
        <v>67</v>
      </c>
      <c r="AI136">
        <v>8</v>
      </c>
      <c r="AJ136">
        <v>29</v>
      </c>
    </row>
    <row r="137" spans="1:36" x14ac:dyDescent="0.25">
      <c r="A137" t="s">
        <v>381</v>
      </c>
      <c r="B137">
        <v>135</v>
      </c>
      <c r="C137" t="s">
        <v>48</v>
      </c>
      <c r="D137">
        <v>2</v>
      </c>
      <c r="F137">
        <v>1</v>
      </c>
      <c r="G137" t="s">
        <v>49</v>
      </c>
      <c r="K137" t="s">
        <v>63</v>
      </c>
      <c r="L137">
        <v>1</v>
      </c>
      <c r="N137">
        <v>1</v>
      </c>
      <c r="O137" t="s">
        <v>103</v>
      </c>
      <c r="P137" t="s">
        <v>95</v>
      </c>
      <c r="S137" t="s">
        <v>53</v>
      </c>
      <c r="T137">
        <v>1</v>
      </c>
      <c r="U137">
        <v>3</v>
      </c>
      <c r="V137">
        <v>1</v>
      </c>
      <c r="W137" t="s">
        <v>111</v>
      </c>
      <c r="AA137" t="s">
        <v>38</v>
      </c>
      <c r="AB137">
        <v>1</v>
      </c>
      <c r="AC137">
        <v>1</v>
      </c>
      <c r="AD137">
        <v>1</v>
      </c>
      <c r="AE137" t="s">
        <v>152</v>
      </c>
      <c r="AI137">
        <v>4</v>
      </c>
      <c r="AJ137">
        <v>30</v>
      </c>
    </row>
    <row r="138" spans="1:36" x14ac:dyDescent="0.25">
      <c r="A138" t="s">
        <v>382</v>
      </c>
      <c r="B138">
        <v>136</v>
      </c>
      <c r="C138" t="s">
        <v>53</v>
      </c>
      <c r="D138">
        <v>3</v>
      </c>
      <c r="E138">
        <v>1</v>
      </c>
      <c r="F138">
        <v>1</v>
      </c>
      <c r="G138" t="s">
        <v>54</v>
      </c>
      <c r="H138" t="s">
        <v>55</v>
      </c>
      <c r="I138" t="s">
        <v>114</v>
      </c>
      <c r="K138" t="s">
        <v>38</v>
      </c>
      <c r="L138">
        <v>1</v>
      </c>
      <c r="M138">
        <v>1</v>
      </c>
      <c r="N138">
        <v>1</v>
      </c>
      <c r="O138" t="s">
        <v>67</v>
      </c>
      <c r="P138" t="s">
        <v>70</v>
      </c>
      <c r="S138" t="s">
        <v>48</v>
      </c>
      <c r="T138">
        <v>3</v>
      </c>
      <c r="V138">
        <v>2</v>
      </c>
      <c r="W138" t="s">
        <v>49</v>
      </c>
      <c r="X138" t="s">
        <v>84</v>
      </c>
      <c r="AA138" t="s">
        <v>227</v>
      </c>
      <c r="AB138">
        <v>1</v>
      </c>
      <c r="AC138">
        <v>1</v>
      </c>
      <c r="AD138">
        <v>1</v>
      </c>
      <c r="AE138" t="s">
        <v>228</v>
      </c>
      <c r="AI138">
        <v>9</v>
      </c>
      <c r="AJ138">
        <v>28</v>
      </c>
    </row>
    <row r="139" spans="1:36" x14ac:dyDescent="0.25">
      <c r="A139" t="s">
        <v>383</v>
      </c>
      <c r="B139">
        <v>137</v>
      </c>
      <c r="C139" t="s">
        <v>53</v>
      </c>
      <c r="D139">
        <v>1</v>
      </c>
      <c r="E139">
        <v>1</v>
      </c>
      <c r="F139">
        <v>2</v>
      </c>
      <c r="G139" t="s">
        <v>111</v>
      </c>
      <c r="K139" t="s">
        <v>38</v>
      </c>
      <c r="L139">
        <v>1</v>
      </c>
      <c r="M139">
        <v>1</v>
      </c>
      <c r="N139">
        <v>2</v>
      </c>
      <c r="O139" t="s">
        <v>67</v>
      </c>
      <c r="P139" t="s">
        <v>70</v>
      </c>
      <c r="S139" t="s">
        <v>33</v>
      </c>
      <c r="T139">
        <v>1</v>
      </c>
      <c r="V139">
        <v>2</v>
      </c>
      <c r="W139" t="s">
        <v>46</v>
      </c>
      <c r="AA139" t="s">
        <v>43</v>
      </c>
      <c r="AB139">
        <v>1</v>
      </c>
      <c r="AD139">
        <v>1</v>
      </c>
      <c r="AE139" t="s">
        <v>135</v>
      </c>
      <c r="AF139" t="s">
        <v>74</v>
      </c>
      <c r="AI139">
        <v>5</v>
      </c>
      <c r="AJ139">
        <v>21</v>
      </c>
    </row>
    <row r="140" spans="1:36" x14ac:dyDescent="0.25">
      <c r="A140" t="s">
        <v>384</v>
      </c>
      <c r="B140">
        <v>138</v>
      </c>
      <c r="C140" t="s">
        <v>33</v>
      </c>
      <c r="D140">
        <v>1</v>
      </c>
      <c r="F140">
        <v>3</v>
      </c>
      <c r="G140" t="s">
        <v>46</v>
      </c>
      <c r="K140" t="s">
        <v>45</v>
      </c>
      <c r="L140">
        <v>1</v>
      </c>
      <c r="N140">
        <v>1</v>
      </c>
      <c r="O140" t="s">
        <v>47</v>
      </c>
      <c r="S140" t="s">
        <v>53</v>
      </c>
      <c r="T140">
        <v>2</v>
      </c>
      <c r="U140">
        <v>1</v>
      </c>
      <c r="V140">
        <v>2</v>
      </c>
      <c r="W140" t="s">
        <v>111</v>
      </c>
      <c r="AA140" t="s">
        <v>38</v>
      </c>
      <c r="AB140">
        <v>1</v>
      </c>
      <c r="AC140">
        <v>1</v>
      </c>
      <c r="AD140">
        <v>2</v>
      </c>
      <c r="AE140" t="s">
        <v>67</v>
      </c>
      <c r="AI140">
        <v>5</v>
      </c>
      <c r="AJ140">
        <v>27</v>
      </c>
    </row>
    <row r="141" spans="1:36" x14ac:dyDescent="0.25">
      <c r="A141" t="s">
        <v>385</v>
      </c>
      <c r="B141">
        <v>139</v>
      </c>
      <c r="C141" t="s">
        <v>33</v>
      </c>
      <c r="D141">
        <v>2</v>
      </c>
      <c r="F141">
        <v>1</v>
      </c>
      <c r="G141" t="s">
        <v>46</v>
      </c>
      <c r="K141" t="s">
        <v>63</v>
      </c>
      <c r="L141">
        <v>2</v>
      </c>
      <c r="N141">
        <v>1</v>
      </c>
      <c r="O141" t="s">
        <v>103</v>
      </c>
      <c r="S141" t="s">
        <v>53</v>
      </c>
      <c r="T141">
        <v>3</v>
      </c>
      <c r="U141">
        <v>1</v>
      </c>
      <c r="V141">
        <v>1</v>
      </c>
      <c r="W141" t="s">
        <v>111</v>
      </c>
      <c r="AA141" t="s">
        <v>38</v>
      </c>
      <c r="AB141">
        <v>1</v>
      </c>
      <c r="AC141">
        <v>1</v>
      </c>
      <c r="AD141">
        <v>1</v>
      </c>
      <c r="AE141" t="s">
        <v>152</v>
      </c>
      <c r="AF141" t="s">
        <v>96</v>
      </c>
      <c r="AI141">
        <v>5</v>
      </c>
      <c r="AJ141">
        <v>23</v>
      </c>
    </row>
    <row r="142" spans="1:36" x14ac:dyDescent="0.25">
      <c r="A142" t="s">
        <v>386</v>
      </c>
      <c r="B142">
        <v>140</v>
      </c>
      <c r="C142" t="s">
        <v>53</v>
      </c>
      <c r="D142">
        <v>3</v>
      </c>
      <c r="E142">
        <v>1</v>
      </c>
      <c r="F142">
        <v>1</v>
      </c>
      <c r="G142" t="s">
        <v>111</v>
      </c>
      <c r="K142" t="s">
        <v>38</v>
      </c>
      <c r="L142">
        <v>1</v>
      </c>
      <c r="M142">
        <v>1</v>
      </c>
      <c r="N142">
        <v>1</v>
      </c>
      <c r="O142" t="s">
        <v>67</v>
      </c>
      <c r="P142" t="s">
        <v>70</v>
      </c>
      <c r="S142" t="s">
        <v>33</v>
      </c>
      <c r="T142">
        <v>1</v>
      </c>
      <c r="V142">
        <v>2</v>
      </c>
      <c r="W142" t="s">
        <v>46</v>
      </c>
      <c r="AA142" t="s">
        <v>227</v>
      </c>
      <c r="AB142">
        <v>1</v>
      </c>
      <c r="AC142">
        <v>1</v>
      </c>
      <c r="AD142">
        <v>1</v>
      </c>
      <c r="AE142" t="s">
        <v>228</v>
      </c>
      <c r="AI142">
        <v>4</v>
      </c>
      <c r="AJ142">
        <v>24</v>
      </c>
    </row>
    <row r="143" spans="1:36" x14ac:dyDescent="0.25">
      <c r="A143" t="s">
        <v>387</v>
      </c>
      <c r="B143">
        <v>141</v>
      </c>
      <c r="C143" t="s">
        <v>53</v>
      </c>
      <c r="D143">
        <v>1</v>
      </c>
      <c r="E143">
        <v>1</v>
      </c>
      <c r="F143">
        <v>1</v>
      </c>
      <c r="G143" t="s">
        <v>54</v>
      </c>
      <c r="K143" t="s">
        <v>38</v>
      </c>
      <c r="L143">
        <v>2</v>
      </c>
      <c r="M143">
        <v>1</v>
      </c>
      <c r="N143">
        <v>2</v>
      </c>
      <c r="O143" t="s">
        <v>67</v>
      </c>
      <c r="P143" t="s">
        <v>70</v>
      </c>
      <c r="S143" t="s">
        <v>43</v>
      </c>
      <c r="T143">
        <v>1</v>
      </c>
      <c r="V143">
        <v>1</v>
      </c>
      <c r="W143" t="s">
        <v>135</v>
      </c>
      <c r="X143" t="s">
        <v>136</v>
      </c>
      <c r="AA143" t="s">
        <v>45</v>
      </c>
      <c r="AB143">
        <v>2</v>
      </c>
      <c r="AD143">
        <v>2</v>
      </c>
      <c r="AE143" t="s">
        <v>47</v>
      </c>
      <c r="AI143">
        <v>6</v>
      </c>
      <c r="AJ143">
        <v>27</v>
      </c>
    </row>
    <row r="144" spans="1:36" x14ac:dyDescent="0.25">
      <c r="A144" t="s">
        <v>388</v>
      </c>
      <c r="B144">
        <v>142</v>
      </c>
      <c r="C144" t="s">
        <v>43</v>
      </c>
      <c r="D144">
        <v>2</v>
      </c>
      <c r="F144">
        <v>1</v>
      </c>
      <c r="G144" t="s">
        <v>135</v>
      </c>
      <c r="H144" t="s">
        <v>99</v>
      </c>
      <c r="K144" t="s">
        <v>63</v>
      </c>
      <c r="L144">
        <v>1</v>
      </c>
      <c r="N144">
        <v>1</v>
      </c>
      <c r="O144" t="s">
        <v>103</v>
      </c>
      <c r="P144" t="s">
        <v>91</v>
      </c>
      <c r="S144" t="s">
        <v>53</v>
      </c>
      <c r="T144">
        <v>2</v>
      </c>
      <c r="U144">
        <v>1</v>
      </c>
      <c r="V144">
        <v>1</v>
      </c>
      <c r="W144" t="s">
        <v>54</v>
      </c>
      <c r="X144" t="s">
        <v>83</v>
      </c>
      <c r="Y144" t="s">
        <v>97</v>
      </c>
      <c r="AA144" t="s">
        <v>38</v>
      </c>
      <c r="AB144">
        <v>1</v>
      </c>
      <c r="AC144">
        <v>1</v>
      </c>
      <c r="AD144">
        <v>1</v>
      </c>
      <c r="AE144" t="s">
        <v>67</v>
      </c>
      <c r="AI144">
        <v>6</v>
      </c>
      <c r="AJ144">
        <v>32</v>
      </c>
    </row>
    <row r="145" spans="1:36" x14ac:dyDescent="0.25">
      <c r="A145" t="s">
        <v>389</v>
      </c>
      <c r="B145">
        <v>143</v>
      </c>
      <c r="C145" t="s">
        <v>43</v>
      </c>
      <c r="D145">
        <v>2</v>
      </c>
      <c r="F145">
        <v>1</v>
      </c>
      <c r="G145" t="s">
        <v>135</v>
      </c>
      <c r="H145" t="s">
        <v>74</v>
      </c>
      <c r="I145" t="s">
        <v>75</v>
      </c>
      <c r="J145" t="s">
        <v>101</v>
      </c>
      <c r="K145" t="s">
        <v>227</v>
      </c>
      <c r="L145">
        <v>1</v>
      </c>
      <c r="M145">
        <v>1</v>
      </c>
      <c r="N145">
        <v>1</v>
      </c>
      <c r="O145" t="s">
        <v>228</v>
      </c>
      <c r="S145" t="s">
        <v>53</v>
      </c>
      <c r="T145">
        <v>1</v>
      </c>
      <c r="U145">
        <v>2</v>
      </c>
      <c r="V145">
        <v>1</v>
      </c>
      <c r="W145" t="s">
        <v>54</v>
      </c>
      <c r="AA145" t="s">
        <v>38</v>
      </c>
      <c r="AB145">
        <v>1</v>
      </c>
      <c r="AC145">
        <v>1</v>
      </c>
      <c r="AD145">
        <v>1</v>
      </c>
      <c r="AE145" t="s">
        <v>67</v>
      </c>
      <c r="AF145" t="s">
        <v>70</v>
      </c>
      <c r="AI145">
        <v>6</v>
      </c>
      <c r="AJ145">
        <v>33</v>
      </c>
    </row>
    <row r="146" spans="1:36" x14ac:dyDescent="0.25">
      <c r="A146" t="s">
        <v>390</v>
      </c>
      <c r="B146">
        <v>144</v>
      </c>
      <c r="C146" t="s">
        <v>45</v>
      </c>
      <c r="D146">
        <v>3</v>
      </c>
      <c r="F146">
        <v>1</v>
      </c>
      <c r="G146" t="s">
        <v>47</v>
      </c>
      <c r="K146" t="s">
        <v>63</v>
      </c>
      <c r="L146">
        <v>2</v>
      </c>
      <c r="N146">
        <v>1</v>
      </c>
      <c r="O146" t="s">
        <v>103</v>
      </c>
      <c r="S146" t="s">
        <v>53</v>
      </c>
      <c r="T146">
        <v>2</v>
      </c>
      <c r="U146">
        <v>1</v>
      </c>
      <c r="V146">
        <v>1</v>
      </c>
      <c r="W146" t="s">
        <v>54</v>
      </c>
      <c r="X146" t="s">
        <v>83</v>
      </c>
      <c r="AA146" t="s">
        <v>38</v>
      </c>
      <c r="AB146">
        <v>1</v>
      </c>
      <c r="AC146">
        <v>1</v>
      </c>
      <c r="AD146">
        <v>2</v>
      </c>
      <c r="AE146" t="s">
        <v>67</v>
      </c>
      <c r="AI146">
        <v>6</v>
      </c>
      <c r="AJ146">
        <v>23</v>
      </c>
    </row>
    <row r="147" spans="1:36" x14ac:dyDescent="0.25">
      <c r="A147" t="s">
        <v>391</v>
      </c>
      <c r="B147">
        <v>145</v>
      </c>
      <c r="C147" t="s">
        <v>53</v>
      </c>
      <c r="D147">
        <v>1</v>
      </c>
      <c r="E147">
        <v>1</v>
      </c>
      <c r="F147">
        <v>1</v>
      </c>
      <c r="G147" t="s">
        <v>111</v>
      </c>
      <c r="K147" t="s">
        <v>38</v>
      </c>
      <c r="L147">
        <v>2</v>
      </c>
      <c r="M147">
        <v>1</v>
      </c>
      <c r="N147">
        <v>2</v>
      </c>
      <c r="O147" t="s">
        <v>152</v>
      </c>
      <c r="P147" t="s">
        <v>70</v>
      </c>
      <c r="S147" t="s">
        <v>45</v>
      </c>
      <c r="T147">
        <v>2</v>
      </c>
      <c r="V147">
        <v>1</v>
      </c>
      <c r="W147" t="s">
        <v>47</v>
      </c>
      <c r="AA147" t="s">
        <v>227</v>
      </c>
      <c r="AB147">
        <v>1</v>
      </c>
      <c r="AC147">
        <v>1</v>
      </c>
      <c r="AD147">
        <v>1</v>
      </c>
      <c r="AE147" t="s">
        <v>228</v>
      </c>
      <c r="AI147">
        <v>4</v>
      </c>
      <c r="AJ147">
        <v>21</v>
      </c>
    </row>
    <row r="148" spans="1:36" x14ac:dyDescent="0.25">
      <c r="A148" t="s">
        <v>392</v>
      </c>
      <c r="B148">
        <v>146</v>
      </c>
      <c r="C148" t="s">
        <v>53</v>
      </c>
      <c r="D148">
        <v>1</v>
      </c>
      <c r="E148">
        <v>1</v>
      </c>
      <c r="F148">
        <v>1</v>
      </c>
      <c r="G148" t="s">
        <v>54</v>
      </c>
      <c r="K148" t="s">
        <v>38</v>
      </c>
      <c r="L148">
        <v>1</v>
      </c>
      <c r="M148">
        <v>1</v>
      </c>
      <c r="N148">
        <v>2</v>
      </c>
      <c r="O148" t="s">
        <v>152</v>
      </c>
      <c r="P148" t="s">
        <v>70</v>
      </c>
      <c r="S148" t="s">
        <v>63</v>
      </c>
      <c r="T148">
        <v>1</v>
      </c>
      <c r="V148">
        <v>1</v>
      </c>
      <c r="W148" t="s">
        <v>103</v>
      </c>
      <c r="AA148" t="s">
        <v>227</v>
      </c>
      <c r="AB148">
        <v>2</v>
      </c>
      <c r="AC148">
        <v>1</v>
      </c>
      <c r="AD148">
        <v>1</v>
      </c>
      <c r="AE148" t="s">
        <v>228</v>
      </c>
      <c r="AF148" t="s">
        <v>231</v>
      </c>
      <c r="AI148">
        <v>4</v>
      </c>
      <c r="AJ148">
        <v>41</v>
      </c>
    </row>
    <row r="149" spans="1:36" x14ac:dyDescent="0.25">
      <c r="A149" t="s">
        <v>393</v>
      </c>
      <c r="B149">
        <v>147</v>
      </c>
      <c r="C149" t="s">
        <v>56</v>
      </c>
      <c r="D149">
        <v>1</v>
      </c>
      <c r="F149">
        <v>1</v>
      </c>
      <c r="G149" t="s">
        <v>57</v>
      </c>
      <c r="K149" t="s">
        <v>48</v>
      </c>
      <c r="L149">
        <v>2</v>
      </c>
      <c r="N149">
        <v>1</v>
      </c>
      <c r="O149" t="s">
        <v>89</v>
      </c>
      <c r="S149" t="s">
        <v>53</v>
      </c>
      <c r="T149">
        <v>3</v>
      </c>
      <c r="U149">
        <v>1</v>
      </c>
      <c r="V149">
        <v>1</v>
      </c>
      <c r="W149" t="s">
        <v>54</v>
      </c>
      <c r="X149" t="s">
        <v>55</v>
      </c>
      <c r="AA149" t="s">
        <v>227</v>
      </c>
      <c r="AB149">
        <v>2</v>
      </c>
      <c r="AC149">
        <v>1</v>
      </c>
      <c r="AD149">
        <v>1</v>
      </c>
      <c r="AE149" t="s">
        <v>228</v>
      </c>
      <c r="AI149">
        <v>5</v>
      </c>
      <c r="AJ149">
        <v>25</v>
      </c>
    </row>
    <row r="150" spans="1:36" x14ac:dyDescent="0.25">
      <c r="A150" t="s">
        <v>394</v>
      </c>
      <c r="B150">
        <v>148</v>
      </c>
      <c r="C150" t="s">
        <v>56</v>
      </c>
      <c r="D150">
        <v>1</v>
      </c>
      <c r="F150">
        <v>1</v>
      </c>
      <c r="G150" t="s">
        <v>57</v>
      </c>
      <c r="H150" t="s">
        <v>122</v>
      </c>
      <c r="K150" t="s">
        <v>33</v>
      </c>
      <c r="L150">
        <v>2</v>
      </c>
      <c r="N150">
        <v>2</v>
      </c>
      <c r="O150" t="s">
        <v>46</v>
      </c>
      <c r="S150" t="s">
        <v>53</v>
      </c>
      <c r="T150">
        <v>1</v>
      </c>
      <c r="U150">
        <v>1</v>
      </c>
      <c r="V150">
        <v>1</v>
      </c>
      <c r="W150" t="s">
        <v>54</v>
      </c>
      <c r="X150" t="s">
        <v>83</v>
      </c>
      <c r="AA150" t="s">
        <v>227</v>
      </c>
      <c r="AB150">
        <v>1</v>
      </c>
      <c r="AC150">
        <v>1</v>
      </c>
      <c r="AD150">
        <v>1</v>
      </c>
      <c r="AE150" t="s">
        <v>228</v>
      </c>
      <c r="AI150">
        <v>4</v>
      </c>
      <c r="AJ150">
        <v>23</v>
      </c>
    </row>
    <row r="151" spans="1:36" x14ac:dyDescent="0.25">
      <c r="A151" t="s">
        <v>395</v>
      </c>
      <c r="B151">
        <v>149</v>
      </c>
      <c r="C151" t="s">
        <v>56</v>
      </c>
      <c r="D151">
        <v>1</v>
      </c>
      <c r="F151">
        <v>1</v>
      </c>
      <c r="G151" t="s">
        <v>57</v>
      </c>
      <c r="H151" t="s">
        <v>69</v>
      </c>
      <c r="I151" t="s">
        <v>85</v>
      </c>
      <c r="K151" t="s">
        <v>43</v>
      </c>
      <c r="L151">
        <v>1</v>
      </c>
      <c r="N151">
        <v>1</v>
      </c>
      <c r="O151" t="s">
        <v>73</v>
      </c>
      <c r="P151" t="s">
        <v>99</v>
      </c>
      <c r="S151" t="s">
        <v>53</v>
      </c>
      <c r="T151">
        <v>2</v>
      </c>
      <c r="U151">
        <v>1</v>
      </c>
      <c r="V151">
        <v>1</v>
      </c>
      <c r="W151" t="s">
        <v>111</v>
      </c>
      <c r="X151" t="s">
        <v>55</v>
      </c>
      <c r="AA151" t="s">
        <v>227</v>
      </c>
      <c r="AB151">
        <v>1</v>
      </c>
      <c r="AC151">
        <v>1</v>
      </c>
      <c r="AD151">
        <v>2</v>
      </c>
      <c r="AE151" t="s">
        <v>228</v>
      </c>
      <c r="AI151">
        <v>6</v>
      </c>
      <c r="AJ151">
        <v>24</v>
      </c>
    </row>
    <row r="152" spans="1:36" x14ac:dyDescent="0.25">
      <c r="A152" t="s">
        <v>396</v>
      </c>
      <c r="B152">
        <v>150</v>
      </c>
      <c r="C152" t="s">
        <v>53</v>
      </c>
      <c r="D152">
        <v>2</v>
      </c>
      <c r="E152">
        <v>1</v>
      </c>
      <c r="F152">
        <v>2</v>
      </c>
      <c r="G152" t="s">
        <v>111</v>
      </c>
      <c r="K152" t="s">
        <v>227</v>
      </c>
      <c r="L152">
        <v>1</v>
      </c>
      <c r="M152">
        <v>1</v>
      </c>
      <c r="N152">
        <v>1</v>
      </c>
      <c r="O152" t="s">
        <v>228</v>
      </c>
      <c r="P152" t="s">
        <v>231</v>
      </c>
      <c r="S152" t="s">
        <v>56</v>
      </c>
      <c r="T152">
        <v>1</v>
      </c>
      <c r="V152">
        <v>1</v>
      </c>
      <c r="W152" t="s">
        <v>57</v>
      </c>
      <c r="AA152" t="s">
        <v>45</v>
      </c>
      <c r="AB152">
        <v>3</v>
      </c>
      <c r="AD152">
        <v>3</v>
      </c>
      <c r="AE152" t="s">
        <v>47</v>
      </c>
      <c r="AI152">
        <v>7</v>
      </c>
      <c r="AJ152">
        <v>29</v>
      </c>
    </row>
    <row r="153" spans="1:36" x14ac:dyDescent="0.25">
      <c r="A153" t="s">
        <v>397</v>
      </c>
      <c r="B153">
        <v>151</v>
      </c>
      <c r="C153" t="s">
        <v>56</v>
      </c>
      <c r="D153">
        <v>2</v>
      </c>
      <c r="F153">
        <v>1</v>
      </c>
      <c r="G153" t="s">
        <v>57</v>
      </c>
      <c r="K153" t="s">
        <v>63</v>
      </c>
      <c r="L153">
        <v>1</v>
      </c>
      <c r="N153">
        <v>1</v>
      </c>
      <c r="O153" t="s">
        <v>103</v>
      </c>
      <c r="P153" t="s">
        <v>95</v>
      </c>
      <c r="S153" t="s">
        <v>53</v>
      </c>
      <c r="T153">
        <v>2</v>
      </c>
      <c r="U153">
        <v>1</v>
      </c>
      <c r="V153">
        <v>1</v>
      </c>
      <c r="W153" t="s">
        <v>54</v>
      </c>
      <c r="X153" t="s">
        <v>83</v>
      </c>
      <c r="AA153" t="s">
        <v>227</v>
      </c>
      <c r="AB153">
        <v>1</v>
      </c>
      <c r="AC153">
        <v>1</v>
      </c>
      <c r="AD153">
        <v>1</v>
      </c>
      <c r="AE153" t="s">
        <v>228</v>
      </c>
      <c r="AI153">
        <v>4</v>
      </c>
      <c r="AJ153">
        <v>26</v>
      </c>
    </row>
    <row r="154" spans="1:36" x14ac:dyDescent="0.25">
      <c r="A154" t="s">
        <v>398</v>
      </c>
      <c r="B154">
        <v>152</v>
      </c>
      <c r="C154" t="s">
        <v>53</v>
      </c>
      <c r="D154">
        <v>1</v>
      </c>
      <c r="E154">
        <v>1</v>
      </c>
      <c r="F154">
        <v>1</v>
      </c>
      <c r="G154" t="s">
        <v>111</v>
      </c>
      <c r="K154" t="s">
        <v>227</v>
      </c>
      <c r="L154">
        <v>2</v>
      </c>
      <c r="M154">
        <v>1</v>
      </c>
      <c r="N154">
        <v>2</v>
      </c>
      <c r="O154" t="s">
        <v>228</v>
      </c>
      <c r="P154" t="s">
        <v>231</v>
      </c>
      <c r="Q154" t="s">
        <v>235</v>
      </c>
      <c r="S154" t="s">
        <v>56</v>
      </c>
      <c r="T154">
        <v>1</v>
      </c>
      <c r="V154">
        <v>1</v>
      </c>
      <c r="W154" t="s">
        <v>57</v>
      </c>
      <c r="X154" t="s">
        <v>122</v>
      </c>
      <c r="AA154" t="s">
        <v>38</v>
      </c>
      <c r="AB154">
        <v>1</v>
      </c>
      <c r="AC154">
        <v>1</v>
      </c>
      <c r="AD154">
        <v>1</v>
      </c>
      <c r="AE154" t="s">
        <v>152</v>
      </c>
      <c r="AF154" t="s">
        <v>70</v>
      </c>
      <c r="AG154" t="s">
        <v>41</v>
      </c>
      <c r="AI154">
        <v>7</v>
      </c>
      <c r="AJ154">
        <v>27</v>
      </c>
    </row>
    <row r="155" spans="1:36" x14ac:dyDescent="0.25">
      <c r="A155" t="s">
        <v>399</v>
      </c>
      <c r="B155">
        <v>153</v>
      </c>
      <c r="C155" t="s">
        <v>53</v>
      </c>
      <c r="D155">
        <v>2</v>
      </c>
      <c r="E155">
        <v>1</v>
      </c>
      <c r="F155">
        <v>2</v>
      </c>
      <c r="G155" t="s">
        <v>111</v>
      </c>
      <c r="K155" t="s">
        <v>227</v>
      </c>
      <c r="L155">
        <v>1</v>
      </c>
      <c r="M155">
        <v>1</v>
      </c>
      <c r="N155">
        <v>3</v>
      </c>
      <c r="O155" t="s">
        <v>228</v>
      </c>
      <c r="P155" t="s">
        <v>231</v>
      </c>
      <c r="Q155" t="s">
        <v>236</v>
      </c>
      <c r="S155" t="s">
        <v>48</v>
      </c>
      <c r="T155">
        <v>1</v>
      </c>
      <c r="V155">
        <v>1</v>
      </c>
      <c r="W155" t="s">
        <v>49</v>
      </c>
      <c r="AA155" t="s">
        <v>33</v>
      </c>
      <c r="AB155">
        <v>2</v>
      </c>
      <c r="AD155">
        <v>3</v>
      </c>
      <c r="AE155" t="s">
        <v>46</v>
      </c>
      <c r="AF155" t="s">
        <v>35</v>
      </c>
      <c r="AI155">
        <v>10</v>
      </c>
      <c r="AJ155">
        <v>31</v>
      </c>
    </row>
    <row r="156" spans="1:36" x14ac:dyDescent="0.25">
      <c r="A156" t="s">
        <v>400</v>
      </c>
      <c r="B156">
        <v>154</v>
      </c>
      <c r="C156" t="s">
        <v>48</v>
      </c>
      <c r="D156">
        <v>2</v>
      </c>
      <c r="F156">
        <v>1</v>
      </c>
      <c r="G156" t="s">
        <v>49</v>
      </c>
      <c r="H156" t="s">
        <v>71</v>
      </c>
      <c r="K156" t="s">
        <v>43</v>
      </c>
      <c r="L156">
        <v>1</v>
      </c>
      <c r="N156">
        <v>1</v>
      </c>
      <c r="O156" t="s">
        <v>73</v>
      </c>
      <c r="S156" t="s">
        <v>53</v>
      </c>
      <c r="T156">
        <v>1</v>
      </c>
      <c r="U156">
        <v>1</v>
      </c>
      <c r="V156">
        <v>1</v>
      </c>
      <c r="W156" t="s">
        <v>111</v>
      </c>
      <c r="X156" t="s">
        <v>83</v>
      </c>
      <c r="Y156" t="s">
        <v>105</v>
      </c>
      <c r="AA156" t="s">
        <v>227</v>
      </c>
      <c r="AB156">
        <v>1</v>
      </c>
      <c r="AC156">
        <v>1</v>
      </c>
      <c r="AD156">
        <v>1</v>
      </c>
      <c r="AE156" t="s">
        <v>228</v>
      </c>
      <c r="AI156">
        <v>4</v>
      </c>
      <c r="AJ156">
        <v>36</v>
      </c>
    </row>
    <row r="157" spans="1:36" x14ac:dyDescent="0.25">
      <c r="A157" t="s">
        <v>401</v>
      </c>
      <c r="B157">
        <v>155</v>
      </c>
      <c r="C157" t="s">
        <v>48</v>
      </c>
      <c r="D157">
        <v>2</v>
      </c>
      <c r="F157">
        <v>1</v>
      </c>
      <c r="G157" t="s">
        <v>89</v>
      </c>
      <c r="K157" t="s">
        <v>45</v>
      </c>
      <c r="L157">
        <v>3</v>
      </c>
      <c r="N157">
        <v>2</v>
      </c>
      <c r="O157" t="s">
        <v>47</v>
      </c>
      <c r="S157" t="s">
        <v>53</v>
      </c>
      <c r="T157">
        <v>2</v>
      </c>
      <c r="U157">
        <v>1</v>
      </c>
      <c r="V157">
        <v>1</v>
      </c>
      <c r="W157" t="s">
        <v>54</v>
      </c>
      <c r="X157" t="s">
        <v>55</v>
      </c>
      <c r="AA157" t="s">
        <v>227</v>
      </c>
      <c r="AB157">
        <v>1</v>
      </c>
      <c r="AC157">
        <v>1</v>
      </c>
      <c r="AD157">
        <v>1</v>
      </c>
      <c r="AE157" t="s">
        <v>228</v>
      </c>
      <c r="AI157">
        <v>6</v>
      </c>
      <c r="AJ157">
        <v>25</v>
      </c>
    </row>
    <row r="158" spans="1:36" x14ac:dyDescent="0.25">
      <c r="A158" t="s">
        <v>402</v>
      </c>
      <c r="B158">
        <v>156</v>
      </c>
      <c r="C158" t="s">
        <v>48</v>
      </c>
      <c r="D158">
        <v>2</v>
      </c>
      <c r="F158">
        <v>1</v>
      </c>
      <c r="G158" t="s">
        <v>89</v>
      </c>
      <c r="K158" t="s">
        <v>63</v>
      </c>
      <c r="L158">
        <v>1</v>
      </c>
      <c r="N158">
        <v>1</v>
      </c>
      <c r="O158" t="s">
        <v>103</v>
      </c>
      <c r="P158" t="s">
        <v>95</v>
      </c>
      <c r="S158" t="s">
        <v>53</v>
      </c>
      <c r="T158">
        <v>1</v>
      </c>
      <c r="U158">
        <v>1</v>
      </c>
      <c r="V158">
        <v>1</v>
      </c>
      <c r="W158" t="s">
        <v>111</v>
      </c>
      <c r="AA158" t="s">
        <v>227</v>
      </c>
      <c r="AB158">
        <v>1</v>
      </c>
      <c r="AC158">
        <v>1</v>
      </c>
      <c r="AD158">
        <v>1</v>
      </c>
      <c r="AE158" t="s">
        <v>228</v>
      </c>
      <c r="AI158">
        <v>2</v>
      </c>
      <c r="AJ158">
        <v>32</v>
      </c>
    </row>
    <row r="159" spans="1:36" x14ac:dyDescent="0.25">
      <c r="A159" t="s">
        <v>403</v>
      </c>
      <c r="B159">
        <v>157</v>
      </c>
      <c r="C159" t="s">
        <v>48</v>
      </c>
      <c r="D159">
        <v>3</v>
      </c>
      <c r="F159">
        <v>1</v>
      </c>
      <c r="G159" t="s">
        <v>89</v>
      </c>
      <c r="K159" t="s">
        <v>38</v>
      </c>
      <c r="L159">
        <v>1</v>
      </c>
      <c r="M159">
        <v>1</v>
      </c>
      <c r="N159">
        <v>1</v>
      </c>
      <c r="O159" t="s">
        <v>152</v>
      </c>
      <c r="P159" t="s">
        <v>70</v>
      </c>
      <c r="S159" t="s">
        <v>53</v>
      </c>
      <c r="T159">
        <v>3</v>
      </c>
      <c r="U159">
        <v>1</v>
      </c>
      <c r="V159">
        <v>1</v>
      </c>
      <c r="W159" t="s">
        <v>54</v>
      </c>
      <c r="X159" t="s">
        <v>55</v>
      </c>
      <c r="Y159" t="s">
        <v>97</v>
      </c>
      <c r="AA159" t="s">
        <v>227</v>
      </c>
      <c r="AB159">
        <v>1</v>
      </c>
      <c r="AC159">
        <v>1</v>
      </c>
      <c r="AD159">
        <v>1</v>
      </c>
      <c r="AE159" t="s">
        <v>228</v>
      </c>
      <c r="AI159">
        <v>7</v>
      </c>
      <c r="AJ159">
        <v>37</v>
      </c>
    </row>
    <row r="160" spans="1:36" x14ac:dyDescent="0.25">
      <c r="A160" t="s">
        <v>404</v>
      </c>
      <c r="B160">
        <v>158</v>
      </c>
      <c r="C160" t="s">
        <v>33</v>
      </c>
      <c r="D160">
        <v>1</v>
      </c>
      <c r="F160">
        <v>3</v>
      </c>
      <c r="G160" t="s">
        <v>46</v>
      </c>
      <c r="K160" t="s">
        <v>43</v>
      </c>
      <c r="L160">
        <v>1</v>
      </c>
      <c r="N160">
        <v>1</v>
      </c>
      <c r="O160" t="s">
        <v>73</v>
      </c>
      <c r="P160" t="s">
        <v>74</v>
      </c>
      <c r="S160" t="s">
        <v>53</v>
      </c>
      <c r="T160">
        <v>1</v>
      </c>
      <c r="U160">
        <v>1</v>
      </c>
      <c r="V160">
        <v>2</v>
      </c>
      <c r="W160" t="s">
        <v>111</v>
      </c>
      <c r="AA160" t="s">
        <v>227</v>
      </c>
      <c r="AB160">
        <v>2</v>
      </c>
      <c r="AC160">
        <v>1</v>
      </c>
      <c r="AD160">
        <v>1</v>
      </c>
      <c r="AE160" t="s">
        <v>228</v>
      </c>
      <c r="AI160">
        <v>5</v>
      </c>
      <c r="AJ160">
        <v>31</v>
      </c>
    </row>
    <row r="161" spans="1:36" x14ac:dyDescent="0.25">
      <c r="A161" t="s">
        <v>405</v>
      </c>
      <c r="B161">
        <v>159</v>
      </c>
      <c r="C161" t="s">
        <v>33</v>
      </c>
      <c r="D161">
        <v>3</v>
      </c>
      <c r="F161">
        <v>3</v>
      </c>
      <c r="G161" t="s">
        <v>46</v>
      </c>
      <c r="K161" t="s">
        <v>45</v>
      </c>
      <c r="L161">
        <v>2</v>
      </c>
      <c r="N161">
        <v>1</v>
      </c>
      <c r="O161" t="s">
        <v>47</v>
      </c>
      <c r="S161" t="s">
        <v>53</v>
      </c>
      <c r="T161">
        <v>2</v>
      </c>
      <c r="U161">
        <v>1</v>
      </c>
      <c r="V161">
        <v>2</v>
      </c>
      <c r="W161" t="s">
        <v>111</v>
      </c>
      <c r="X161" t="s">
        <v>55</v>
      </c>
      <c r="AA161" t="s">
        <v>227</v>
      </c>
      <c r="AB161">
        <v>1</v>
      </c>
      <c r="AC161">
        <v>1</v>
      </c>
      <c r="AD161">
        <v>2</v>
      </c>
      <c r="AE161" t="s">
        <v>228</v>
      </c>
      <c r="AI161">
        <v>9</v>
      </c>
      <c r="AJ161">
        <v>23</v>
      </c>
    </row>
    <row r="162" spans="1:36" x14ac:dyDescent="0.25">
      <c r="A162" t="s">
        <v>406</v>
      </c>
      <c r="B162">
        <v>160</v>
      </c>
      <c r="C162" t="s">
        <v>33</v>
      </c>
      <c r="D162">
        <v>2</v>
      </c>
      <c r="F162">
        <v>1</v>
      </c>
      <c r="G162" t="s">
        <v>46</v>
      </c>
      <c r="K162" t="s">
        <v>63</v>
      </c>
      <c r="L162">
        <v>1</v>
      </c>
      <c r="N162">
        <v>1</v>
      </c>
      <c r="O162" t="s">
        <v>103</v>
      </c>
      <c r="P162" t="s">
        <v>95</v>
      </c>
      <c r="S162" t="s">
        <v>53</v>
      </c>
      <c r="T162">
        <v>1</v>
      </c>
      <c r="U162">
        <v>1</v>
      </c>
      <c r="V162">
        <v>1</v>
      </c>
      <c r="W162" t="s">
        <v>111</v>
      </c>
      <c r="X162" t="s">
        <v>83</v>
      </c>
      <c r="AA162" t="s">
        <v>227</v>
      </c>
      <c r="AB162">
        <v>1</v>
      </c>
      <c r="AC162">
        <v>1</v>
      </c>
      <c r="AD162">
        <v>1</v>
      </c>
      <c r="AE162" t="s">
        <v>228</v>
      </c>
      <c r="AI162">
        <v>3</v>
      </c>
      <c r="AJ162">
        <v>21</v>
      </c>
    </row>
    <row r="163" spans="1:36" x14ac:dyDescent="0.25">
      <c r="A163" t="s">
        <v>407</v>
      </c>
      <c r="B163">
        <v>161</v>
      </c>
      <c r="C163" t="s">
        <v>53</v>
      </c>
      <c r="D163">
        <v>1</v>
      </c>
      <c r="E163">
        <v>1</v>
      </c>
      <c r="F163">
        <v>1</v>
      </c>
      <c r="G163" t="s">
        <v>111</v>
      </c>
      <c r="K163" t="s">
        <v>227</v>
      </c>
      <c r="L163">
        <v>2</v>
      </c>
      <c r="M163">
        <v>1</v>
      </c>
      <c r="N163">
        <v>2</v>
      </c>
      <c r="O163" t="s">
        <v>228</v>
      </c>
      <c r="P163" t="s">
        <v>231</v>
      </c>
      <c r="S163" t="s">
        <v>33</v>
      </c>
      <c r="T163">
        <v>1</v>
      </c>
      <c r="V163">
        <v>2</v>
      </c>
      <c r="W163" t="s">
        <v>46</v>
      </c>
      <c r="X163" t="s">
        <v>130</v>
      </c>
      <c r="AA163" t="s">
        <v>38</v>
      </c>
      <c r="AB163">
        <v>1</v>
      </c>
      <c r="AC163">
        <v>1</v>
      </c>
      <c r="AD163">
        <v>1</v>
      </c>
      <c r="AE163" t="s">
        <v>152</v>
      </c>
      <c r="AF163" t="s">
        <v>70</v>
      </c>
      <c r="AI163">
        <v>6</v>
      </c>
      <c r="AJ163">
        <v>23</v>
      </c>
    </row>
    <row r="164" spans="1:36" x14ac:dyDescent="0.25">
      <c r="A164" t="s">
        <v>408</v>
      </c>
      <c r="B164">
        <v>162</v>
      </c>
      <c r="C164" t="s">
        <v>43</v>
      </c>
      <c r="D164">
        <v>1</v>
      </c>
      <c r="F164">
        <v>1</v>
      </c>
      <c r="G164" t="s">
        <v>73</v>
      </c>
      <c r="H164" t="s">
        <v>74</v>
      </c>
      <c r="K164" t="s">
        <v>45</v>
      </c>
      <c r="L164">
        <v>2</v>
      </c>
      <c r="N164">
        <v>1</v>
      </c>
      <c r="O164" t="s">
        <v>47</v>
      </c>
      <c r="S164" t="s">
        <v>53</v>
      </c>
      <c r="T164">
        <v>1</v>
      </c>
      <c r="U164">
        <v>1</v>
      </c>
      <c r="V164">
        <v>1</v>
      </c>
      <c r="W164" t="s">
        <v>111</v>
      </c>
      <c r="AA164" t="s">
        <v>227</v>
      </c>
      <c r="AB164">
        <v>1</v>
      </c>
      <c r="AC164">
        <v>1</v>
      </c>
      <c r="AD164">
        <v>1</v>
      </c>
      <c r="AE164" t="s">
        <v>228</v>
      </c>
      <c r="AI164">
        <v>2</v>
      </c>
      <c r="AJ164">
        <v>29</v>
      </c>
    </row>
    <row r="165" spans="1:36" x14ac:dyDescent="0.25">
      <c r="A165" t="s">
        <v>409</v>
      </c>
      <c r="B165">
        <v>163</v>
      </c>
      <c r="C165" t="s">
        <v>43</v>
      </c>
      <c r="D165">
        <v>1</v>
      </c>
      <c r="F165">
        <v>2</v>
      </c>
      <c r="G165" t="s">
        <v>73</v>
      </c>
      <c r="H165" t="s">
        <v>99</v>
      </c>
      <c r="I165" t="s">
        <v>75</v>
      </c>
      <c r="K165" t="s">
        <v>63</v>
      </c>
      <c r="L165">
        <v>1</v>
      </c>
      <c r="N165">
        <v>1</v>
      </c>
      <c r="O165" t="s">
        <v>103</v>
      </c>
      <c r="S165" t="s">
        <v>53</v>
      </c>
      <c r="T165">
        <v>2</v>
      </c>
      <c r="U165">
        <v>1</v>
      </c>
      <c r="V165">
        <v>1</v>
      </c>
      <c r="W165" t="s">
        <v>111</v>
      </c>
      <c r="X165" t="s">
        <v>55</v>
      </c>
      <c r="Y165" t="s">
        <v>97</v>
      </c>
      <c r="AA165" t="s">
        <v>227</v>
      </c>
      <c r="AB165">
        <v>1</v>
      </c>
      <c r="AC165">
        <v>1</v>
      </c>
      <c r="AD165">
        <v>1</v>
      </c>
      <c r="AE165" t="s">
        <v>228</v>
      </c>
      <c r="AF165" t="s">
        <v>231</v>
      </c>
      <c r="AI165">
        <v>7</v>
      </c>
      <c r="AJ165">
        <v>47</v>
      </c>
    </row>
    <row r="166" spans="1:36" x14ac:dyDescent="0.25">
      <c r="A166" t="s">
        <v>410</v>
      </c>
      <c r="B166">
        <v>164</v>
      </c>
      <c r="C166" t="s">
        <v>43</v>
      </c>
      <c r="D166">
        <v>1</v>
      </c>
      <c r="F166">
        <v>1</v>
      </c>
      <c r="G166" t="s">
        <v>73</v>
      </c>
      <c r="H166" t="s">
        <v>99</v>
      </c>
      <c r="K166" t="s">
        <v>38</v>
      </c>
      <c r="L166">
        <v>1</v>
      </c>
      <c r="M166">
        <v>1</v>
      </c>
      <c r="N166">
        <v>1</v>
      </c>
      <c r="O166" t="s">
        <v>152</v>
      </c>
      <c r="P166" t="s">
        <v>70</v>
      </c>
      <c r="S166" t="s">
        <v>53</v>
      </c>
      <c r="T166">
        <v>2</v>
      </c>
      <c r="U166">
        <v>1</v>
      </c>
      <c r="V166">
        <v>1</v>
      </c>
      <c r="W166" t="s">
        <v>111</v>
      </c>
      <c r="X166" t="s">
        <v>113</v>
      </c>
      <c r="AA166" t="s">
        <v>227</v>
      </c>
      <c r="AB166">
        <v>1</v>
      </c>
      <c r="AC166">
        <v>1</v>
      </c>
      <c r="AD166">
        <v>1</v>
      </c>
      <c r="AE166" t="s">
        <v>228</v>
      </c>
      <c r="AI166">
        <v>4</v>
      </c>
      <c r="AJ166">
        <v>41</v>
      </c>
    </row>
    <row r="167" spans="1:36" x14ac:dyDescent="0.25">
      <c r="A167" t="s">
        <v>411</v>
      </c>
      <c r="B167">
        <v>165</v>
      </c>
      <c r="C167" t="s">
        <v>45</v>
      </c>
      <c r="D167">
        <v>2</v>
      </c>
      <c r="F167">
        <v>2</v>
      </c>
      <c r="G167" t="s">
        <v>47</v>
      </c>
      <c r="K167" t="s">
        <v>63</v>
      </c>
      <c r="L167">
        <v>1</v>
      </c>
      <c r="N167">
        <v>1</v>
      </c>
      <c r="O167" t="s">
        <v>103</v>
      </c>
      <c r="P167" t="s">
        <v>95</v>
      </c>
      <c r="S167" t="s">
        <v>53</v>
      </c>
      <c r="T167">
        <v>1</v>
      </c>
      <c r="U167">
        <v>1</v>
      </c>
      <c r="V167">
        <v>1</v>
      </c>
      <c r="W167" t="s">
        <v>54</v>
      </c>
      <c r="AA167" t="s">
        <v>227</v>
      </c>
      <c r="AB167">
        <v>3</v>
      </c>
      <c r="AC167">
        <v>1</v>
      </c>
      <c r="AD167">
        <v>1</v>
      </c>
      <c r="AE167" t="s">
        <v>228</v>
      </c>
      <c r="AF167" t="s">
        <v>231</v>
      </c>
      <c r="AG167" t="s">
        <v>235</v>
      </c>
      <c r="AI167">
        <v>7</v>
      </c>
      <c r="AJ167">
        <v>26</v>
      </c>
    </row>
    <row r="168" spans="1:36" x14ac:dyDescent="0.25">
      <c r="A168" t="s">
        <v>412</v>
      </c>
      <c r="B168">
        <v>166</v>
      </c>
      <c r="C168" t="s">
        <v>45</v>
      </c>
      <c r="D168">
        <v>3</v>
      </c>
      <c r="F168">
        <v>3</v>
      </c>
      <c r="G168" t="s">
        <v>47</v>
      </c>
      <c r="K168" t="s">
        <v>38</v>
      </c>
      <c r="L168">
        <v>1</v>
      </c>
      <c r="M168">
        <v>1</v>
      </c>
      <c r="N168">
        <v>1</v>
      </c>
      <c r="O168" t="s">
        <v>152</v>
      </c>
      <c r="P168" t="s">
        <v>70</v>
      </c>
      <c r="S168" t="s">
        <v>53</v>
      </c>
      <c r="T168">
        <v>2</v>
      </c>
      <c r="U168">
        <v>1</v>
      </c>
      <c r="V168">
        <v>1</v>
      </c>
      <c r="W168" t="s">
        <v>111</v>
      </c>
      <c r="X168" t="s">
        <v>55</v>
      </c>
      <c r="Y168" t="s">
        <v>97</v>
      </c>
      <c r="AA168" t="s">
        <v>227</v>
      </c>
      <c r="AB168">
        <v>1</v>
      </c>
      <c r="AC168">
        <v>1</v>
      </c>
      <c r="AD168">
        <v>1</v>
      </c>
      <c r="AE168" t="s">
        <v>228</v>
      </c>
      <c r="AI168">
        <v>8</v>
      </c>
      <c r="AJ168">
        <v>24</v>
      </c>
    </row>
    <row r="169" spans="1:36" x14ac:dyDescent="0.25">
      <c r="A169" t="s">
        <v>413</v>
      </c>
      <c r="B169">
        <v>167</v>
      </c>
      <c r="C169" t="s">
        <v>63</v>
      </c>
      <c r="D169">
        <v>1</v>
      </c>
      <c r="F169">
        <v>1</v>
      </c>
      <c r="G169" t="s">
        <v>103</v>
      </c>
      <c r="H169" t="s">
        <v>91</v>
      </c>
      <c r="I169" t="s">
        <v>147</v>
      </c>
      <c r="K169" t="s">
        <v>38</v>
      </c>
      <c r="L169">
        <v>1</v>
      </c>
      <c r="M169">
        <v>1</v>
      </c>
      <c r="N169">
        <v>1</v>
      </c>
      <c r="O169" t="s">
        <v>152</v>
      </c>
      <c r="P169" t="s">
        <v>70</v>
      </c>
      <c r="S169" t="s">
        <v>53</v>
      </c>
      <c r="T169">
        <v>2</v>
      </c>
      <c r="U169">
        <v>1</v>
      </c>
      <c r="V169">
        <v>1</v>
      </c>
      <c r="W169" t="s">
        <v>54</v>
      </c>
      <c r="AA169" t="s">
        <v>227</v>
      </c>
      <c r="AB169">
        <v>1</v>
      </c>
      <c r="AC169">
        <v>1</v>
      </c>
      <c r="AD169">
        <v>1</v>
      </c>
      <c r="AE169" t="s">
        <v>228</v>
      </c>
      <c r="AI169">
        <v>4</v>
      </c>
      <c r="AJ169">
        <v>29</v>
      </c>
    </row>
    <row r="170" spans="1:36" x14ac:dyDescent="0.25">
      <c r="A170" t="s">
        <v>414</v>
      </c>
      <c r="B170">
        <v>168</v>
      </c>
      <c r="C170" t="s">
        <v>33</v>
      </c>
      <c r="D170">
        <v>1</v>
      </c>
      <c r="F170">
        <v>2</v>
      </c>
      <c r="G170" t="s">
        <v>46</v>
      </c>
      <c r="K170" t="s">
        <v>43</v>
      </c>
      <c r="L170">
        <v>1</v>
      </c>
      <c r="N170">
        <v>1</v>
      </c>
      <c r="O170" t="s">
        <v>135</v>
      </c>
      <c r="P170" t="s">
        <v>74</v>
      </c>
      <c r="Q170" t="s">
        <v>100</v>
      </c>
      <c r="S170" t="s">
        <v>56</v>
      </c>
      <c r="T170">
        <v>3</v>
      </c>
      <c r="V170">
        <v>1</v>
      </c>
      <c r="W170" t="s">
        <v>68</v>
      </c>
      <c r="X170" t="s">
        <v>122</v>
      </c>
      <c r="AA170" t="s">
        <v>48</v>
      </c>
      <c r="AB170">
        <v>2</v>
      </c>
      <c r="AD170">
        <v>1</v>
      </c>
      <c r="AE170" t="s">
        <v>89</v>
      </c>
      <c r="AI170">
        <v>7</v>
      </c>
      <c r="AJ170">
        <v>25</v>
      </c>
    </row>
    <row r="171" spans="1:36" x14ac:dyDescent="0.25">
      <c r="A171" t="s">
        <v>415</v>
      </c>
      <c r="B171">
        <v>169</v>
      </c>
      <c r="C171" t="s">
        <v>33</v>
      </c>
      <c r="D171">
        <v>1</v>
      </c>
      <c r="F171">
        <v>2</v>
      </c>
      <c r="G171" t="s">
        <v>46</v>
      </c>
      <c r="K171" t="s">
        <v>45</v>
      </c>
      <c r="L171">
        <v>2</v>
      </c>
      <c r="N171">
        <v>1</v>
      </c>
      <c r="O171" t="s">
        <v>47</v>
      </c>
      <c r="S171" t="s">
        <v>56</v>
      </c>
      <c r="T171">
        <v>2</v>
      </c>
      <c r="V171">
        <v>1</v>
      </c>
      <c r="W171" t="s">
        <v>68</v>
      </c>
      <c r="AA171" t="s">
        <v>48</v>
      </c>
      <c r="AB171">
        <v>1</v>
      </c>
      <c r="AD171">
        <v>1</v>
      </c>
      <c r="AE171" t="s">
        <v>89</v>
      </c>
      <c r="AF171" t="s">
        <v>84</v>
      </c>
      <c r="AI171">
        <v>4</v>
      </c>
      <c r="AJ171">
        <v>27</v>
      </c>
    </row>
    <row r="172" spans="1:36" x14ac:dyDescent="0.25">
      <c r="A172" t="s">
        <v>416</v>
      </c>
      <c r="B172">
        <v>170</v>
      </c>
      <c r="C172" t="s">
        <v>33</v>
      </c>
      <c r="D172">
        <v>3</v>
      </c>
      <c r="F172">
        <v>3</v>
      </c>
      <c r="G172" t="s">
        <v>46</v>
      </c>
      <c r="H172" t="s">
        <v>35</v>
      </c>
      <c r="K172" t="s">
        <v>63</v>
      </c>
      <c r="L172">
        <v>1</v>
      </c>
      <c r="N172">
        <v>1</v>
      </c>
      <c r="O172" t="s">
        <v>72</v>
      </c>
      <c r="S172" t="s">
        <v>56</v>
      </c>
      <c r="T172">
        <v>2</v>
      </c>
      <c r="V172">
        <v>1</v>
      </c>
      <c r="W172" t="s">
        <v>68</v>
      </c>
      <c r="AA172" t="s">
        <v>48</v>
      </c>
      <c r="AB172">
        <v>3</v>
      </c>
      <c r="AD172">
        <v>1</v>
      </c>
      <c r="AE172" t="s">
        <v>49</v>
      </c>
      <c r="AI172">
        <v>8</v>
      </c>
      <c r="AJ172">
        <v>24</v>
      </c>
    </row>
    <row r="173" spans="1:36" x14ac:dyDescent="0.25">
      <c r="A173" t="s">
        <v>417</v>
      </c>
      <c r="B173">
        <v>171</v>
      </c>
      <c r="C173" t="s">
        <v>56</v>
      </c>
      <c r="D173">
        <v>1</v>
      </c>
      <c r="F173">
        <v>1</v>
      </c>
      <c r="G173" t="s">
        <v>68</v>
      </c>
      <c r="H173" t="s">
        <v>69</v>
      </c>
      <c r="K173" t="s">
        <v>48</v>
      </c>
      <c r="L173">
        <v>3</v>
      </c>
      <c r="N173">
        <v>1</v>
      </c>
      <c r="O173" t="s">
        <v>89</v>
      </c>
      <c r="P173" t="s">
        <v>71</v>
      </c>
      <c r="S173" t="s">
        <v>33</v>
      </c>
      <c r="T173">
        <v>2</v>
      </c>
      <c r="V173">
        <v>2</v>
      </c>
      <c r="W173" t="s">
        <v>46</v>
      </c>
      <c r="AA173" t="s">
        <v>38</v>
      </c>
      <c r="AB173">
        <v>1</v>
      </c>
      <c r="AC173">
        <v>1</v>
      </c>
      <c r="AD173">
        <v>1</v>
      </c>
      <c r="AE173" t="s">
        <v>152</v>
      </c>
      <c r="AI173">
        <v>6</v>
      </c>
      <c r="AJ173">
        <v>31</v>
      </c>
    </row>
    <row r="174" spans="1:36" x14ac:dyDescent="0.25">
      <c r="A174" t="s">
        <v>418</v>
      </c>
      <c r="B174">
        <v>172</v>
      </c>
      <c r="C174" t="s">
        <v>33</v>
      </c>
      <c r="D174">
        <v>1</v>
      </c>
      <c r="F174">
        <v>3</v>
      </c>
      <c r="G174" t="s">
        <v>46</v>
      </c>
      <c r="H174" t="s">
        <v>66</v>
      </c>
      <c r="K174" t="s">
        <v>227</v>
      </c>
      <c r="L174">
        <v>1</v>
      </c>
      <c r="M174">
        <v>1</v>
      </c>
      <c r="N174">
        <v>2</v>
      </c>
      <c r="O174" t="s">
        <v>228</v>
      </c>
      <c r="S174" t="s">
        <v>56</v>
      </c>
      <c r="T174">
        <v>2</v>
      </c>
      <c r="V174">
        <v>2</v>
      </c>
      <c r="W174" t="s">
        <v>68</v>
      </c>
      <c r="AA174" t="s">
        <v>48</v>
      </c>
      <c r="AB174">
        <v>2</v>
      </c>
      <c r="AD174">
        <v>1</v>
      </c>
      <c r="AE174" t="s">
        <v>89</v>
      </c>
      <c r="AI174">
        <v>7</v>
      </c>
      <c r="AJ174">
        <v>25</v>
      </c>
    </row>
    <row r="175" spans="1:36" x14ac:dyDescent="0.25">
      <c r="A175" t="s">
        <v>419</v>
      </c>
      <c r="B175">
        <v>173</v>
      </c>
      <c r="C175" t="s">
        <v>56</v>
      </c>
      <c r="D175">
        <v>1</v>
      </c>
      <c r="F175">
        <v>1</v>
      </c>
      <c r="G175" t="s">
        <v>68</v>
      </c>
      <c r="H175" t="s">
        <v>122</v>
      </c>
      <c r="K175" t="s">
        <v>48</v>
      </c>
      <c r="L175">
        <v>3</v>
      </c>
      <c r="N175">
        <v>1</v>
      </c>
      <c r="O175" t="s">
        <v>89</v>
      </c>
      <c r="S175" t="s">
        <v>43</v>
      </c>
      <c r="T175">
        <v>1</v>
      </c>
      <c r="V175">
        <v>1</v>
      </c>
      <c r="W175" t="s">
        <v>135</v>
      </c>
      <c r="AA175" t="s">
        <v>45</v>
      </c>
      <c r="AB175">
        <v>2</v>
      </c>
      <c r="AD175">
        <v>1</v>
      </c>
      <c r="AE175" t="s">
        <v>47</v>
      </c>
      <c r="AI175">
        <v>4</v>
      </c>
      <c r="AJ175">
        <v>21</v>
      </c>
    </row>
    <row r="176" spans="1:36" x14ac:dyDescent="0.25">
      <c r="A176" t="s">
        <v>420</v>
      </c>
      <c r="B176">
        <v>174</v>
      </c>
      <c r="C176" t="s">
        <v>43</v>
      </c>
      <c r="D176">
        <v>2</v>
      </c>
      <c r="F176">
        <v>1</v>
      </c>
      <c r="G176" t="s">
        <v>135</v>
      </c>
      <c r="H176" t="s">
        <v>99</v>
      </c>
      <c r="K176" t="s">
        <v>63</v>
      </c>
      <c r="L176">
        <v>2</v>
      </c>
      <c r="N176">
        <v>1</v>
      </c>
      <c r="O176" t="s">
        <v>103</v>
      </c>
      <c r="P176" t="s">
        <v>91</v>
      </c>
      <c r="Q176" t="s">
        <v>104</v>
      </c>
      <c r="S176" t="s">
        <v>56</v>
      </c>
      <c r="T176">
        <v>2</v>
      </c>
      <c r="V176">
        <v>2</v>
      </c>
      <c r="W176" t="s">
        <v>68</v>
      </c>
      <c r="AA176" t="s">
        <v>48</v>
      </c>
      <c r="AB176">
        <v>3</v>
      </c>
      <c r="AD176">
        <v>1</v>
      </c>
      <c r="AE176" t="s">
        <v>49</v>
      </c>
      <c r="AI176">
        <v>9</v>
      </c>
      <c r="AJ176">
        <v>28</v>
      </c>
    </row>
    <row r="177" spans="1:36" x14ac:dyDescent="0.25">
      <c r="A177" t="s">
        <v>421</v>
      </c>
      <c r="B177">
        <v>175</v>
      </c>
      <c r="C177" t="s">
        <v>43</v>
      </c>
      <c r="D177">
        <v>1</v>
      </c>
      <c r="F177">
        <v>2</v>
      </c>
      <c r="G177" t="s">
        <v>135</v>
      </c>
      <c r="H177" t="s">
        <v>99</v>
      </c>
      <c r="I177" t="s">
        <v>100</v>
      </c>
      <c r="K177" t="s">
        <v>38</v>
      </c>
      <c r="L177">
        <v>2</v>
      </c>
      <c r="M177">
        <v>1</v>
      </c>
      <c r="N177">
        <v>2</v>
      </c>
      <c r="O177" t="s">
        <v>152</v>
      </c>
      <c r="S177" t="s">
        <v>56</v>
      </c>
      <c r="T177">
        <v>3</v>
      </c>
      <c r="V177">
        <v>1</v>
      </c>
      <c r="W177" t="s">
        <v>68</v>
      </c>
      <c r="X177" t="s">
        <v>122</v>
      </c>
      <c r="AA177" t="s">
        <v>48</v>
      </c>
      <c r="AB177">
        <v>2</v>
      </c>
      <c r="AD177">
        <v>1</v>
      </c>
      <c r="AE177" t="s">
        <v>89</v>
      </c>
      <c r="AI177">
        <v>9</v>
      </c>
      <c r="AJ177">
        <v>31</v>
      </c>
    </row>
    <row r="178" spans="1:36" x14ac:dyDescent="0.25">
      <c r="A178" t="s">
        <v>422</v>
      </c>
      <c r="B178">
        <v>176</v>
      </c>
      <c r="C178" t="s">
        <v>43</v>
      </c>
      <c r="D178">
        <v>3</v>
      </c>
      <c r="F178">
        <v>1</v>
      </c>
      <c r="G178" t="s">
        <v>135</v>
      </c>
      <c r="H178" t="s">
        <v>74</v>
      </c>
      <c r="I178" t="s">
        <v>75</v>
      </c>
      <c r="J178" t="s">
        <v>139</v>
      </c>
      <c r="K178" t="s">
        <v>227</v>
      </c>
      <c r="L178">
        <v>1</v>
      </c>
      <c r="M178">
        <v>1</v>
      </c>
      <c r="N178">
        <v>1</v>
      </c>
      <c r="O178" t="s">
        <v>228</v>
      </c>
      <c r="S178" t="s">
        <v>56</v>
      </c>
      <c r="T178">
        <v>1</v>
      </c>
      <c r="V178">
        <v>1</v>
      </c>
      <c r="W178" t="s">
        <v>68</v>
      </c>
      <c r="AA178" t="s">
        <v>48</v>
      </c>
      <c r="AB178">
        <v>3</v>
      </c>
      <c r="AD178">
        <v>1</v>
      </c>
      <c r="AE178" t="s">
        <v>89</v>
      </c>
      <c r="AI178">
        <v>7</v>
      </c>
      <c r="AJ178">
        <v>24</v>
      </c>
    </row>
    <row r="179" spans="1:36" x14ac:dyDescent="0.25">
      <c r="A179" t="s">
        <v>423</v>
      </c>
      <c r="B179">
        <v>177</v>
      </c>
      <c r="C179" t="s">
        <v>56</v>
      </c>
      <c r="D179">
        <v>1</v>
      </c>
      <c r="F179">
        <v>1</v>
      </c>
      <c r="G179" t="s">
        <v>68</v>
      </c>
      <c r="K179" t="s">
        <v>48</v>
      </c>
      <c r="L179">
        <v>3</v>
      </c>
      <c r="N179">
        <v>2</v>
      </c>
      <c r="O179" t="s">
        <v>49</v>
      </c>
      <c r="P179" t="s">
        <v>84</v>
      </c>
      <c r="Q179" t="s">
        <v>90</v>
      </c>
      <c r="S179" t="s">
        <v>45</v>
      </c>
      <c r="T179">
        <v>3</v>
      </c>
      <c r="V179">
        <v>1</v>
      </c>
      <c r="W179" t="s">
        <v>47</v>
      </c>
      <c r="AA179" t="s">
        <v>63</v>
      </c>
      <c r="AB179">
        <v>1</v>
      </c>
      <c r="AD179">
        <v>1</v>
      </c>
      <c r="AE179" t="s">
        <v>72</v>
      </c>
      <c r="AI179">
        <v>7</v>
      </c>
      <c r="AJ179">
        <v>37</v>
      </c>
    </row>
    <row r="180" spans="1:36" x14ac:dyDescent="0.25">
      <c r="A180" t="s">
        <v>424</v>
      </c>
      <c r="B180">
        <v>178</v>
      </c>
      <c r="C180" t="s">
        <v>56</v>
      </c>
      <c r="D180">
        <v>1</v>
      </c>
      <c r="F180">
        <v>1</v>
      </c>
      <c r="G180" t="s">
        <v>68</v>
      </c>
      <c r="K180" t="s">
        <v>48</v>
      </c>
      <c r="L180">
        <v>3</v>
      </c>
      <c r="N180">
        <v>2</v>
      </c>
      <c r="O180" t="s">
        <v>89</v>
      </c>
      <c r="S180" t="s">
        <v>45</v>
      </c>
      <c r="T180">
        <v>2</v>
      </c>
      <c r="V180">
        <v>1</v>
      </c>
      <c r="W180" t="s">
        <v>47</v>
      </c>
      <c r="AA180" t="s">
        <v>38</v>
      </c>
      <c r="AB180">
        <v>1</v>
      </c>
      <c r="AC180">
        <v>1</v>
      </c>
      <c r="AD180">
        <v>1</v>
      </c>
      <c r="AE180" t="s">
        <v>152</v>
      </c>
      <c r="AF180" t="s">
        <v>96</v>
      </c>
      <c r="AI180">
        <v>5</v>
      </c>
      <c r="AJ180">
        <v>22</v>
      </c>
    </row>
    <row r="181" spans="1:36" x14ac:dyDescent="0.25">
      <c r="A181" t="s">
        <v>425</v>
      </c>
      <c r="B181">
        <v>179</v>
      </c>
      <c r="C181" t="s">
        <v>45</v>
      </c>
      <c r="D181">
        <v>3</v>
      </c>
      <c r="F181">
        <v>3</v>
      </c>
      <c r="G181" t="s">
        <v>86</v>
      </c>
      <c r="K181" t="s">
        <v>227</v>
      </c>
      <c r="L181">
        <v>1</v>
      </c>
      <c r="M181">
        <v>1</v>
      </c>
      <c r="N181">
        <v>1</v>
      </c>
      <c r="O181" t="s">
        <v>228</v>
      </c>
      <c r="S181" t="s">
        <v>56</v>
      </c>
      <c r="T181">
        <v>1</v>
      </c>
      <c r="V181">
        <v>2</v>
      </c>
      <c r="W181" t="s">
        <v>68</v>
      </c>
      <c r="AA181" t="s">
        <v>48</v>
      </c>
      <c r="AB181">
        <v>1</v>
      </c>
      <c r="AD181">
        <v>1</v>
      </c>
      <c r="AE181" t="s">
        <v>89</v>
      </c>
      <c r="AI181">
        <v>5</v>
      </c>
      <c r="AJ181">
        <v>33</v>
      </c>
    </row>
    <row r="182" spans="1:36" x14ac:dyDescent="0.25">
      <c r="A182" t="s">
        <v>426</v>
      </c>
      <c r="B182">
        <v>180</v>
      </c>
      <c r="C182" t="s">
        <v>56</v>
      </c>
      <c r="D182">
        <v>1</v>
      </c>
      <c r="F182">
        <v>1</v>
      </c>
      <c r="G182" t="s">
        <v>57</v>
      </c>
      <c r="H182" t="s">
        <v>122</v>
      </c>
      <c r="K182" t="s">
        <v>48</v>
      </c>
      <c r="L182">
        <v>3</v>
      </c>
      <c r="N182">
        <v>1</v>
      </c>
      <c r="O182" t="s">
        <v>49</v>
      </c>
      <c r="S182" t="s">
        <v>63</v>
      </c>
      <c r="T182">
        <v>1</v>
      </c>
      <c r="V182">
        <v>1</v>
      </c>
      <c r="W182" t="s">
        <v>72</v>
      </c>
      <c r="AA182" t="s">
        <v>38</v>
      </c>
      <c r="AB182">
        <v>1</v>
      </c>
      <c r="AC182">
        <v>1</v>
      </c>
      <c r="AD182">
        <v>2</v>
      </c>
      <c r="AE182" t="s">
        <v>152</v>
      </c>
      <c r="AI182">
        <v>4</v>
      </c>
      <c r="AJ182">
        <v>23</v>
      </c>
    </row>
    <row r="183" spans="1:36" x14ac:dyDescent="0.25">
      <c r="A183" t="s">
        <v>427</v>
      </c>
      <c r="B183">
        <v>181</v>
      </c>
      <c r="C183" t="s">
        <v>56</v>
      </c>
      <c r="D183">
        <v>1</v>
      </c>
      <c r="F183">
        <v>1</v>
      </c>
      <c r="G183" t="s">
        <v>57</v>
      </c>
      <c r="H183" t="s">
        <v>122</v>
      </c>
      <c r="I183" t="s">
        <v>123</v>
      </c>
      <c r="K183" t="s">
        <v>48</v>
      </c>
      <c r="L183">
        <v>1</v>
      </c>
      <c r="N183">
        <v>1</v>
      </c>
      <c r="O183" t="s">
        <v>89</v>
      </c>
      <c r="P183" t="s">
        <v>50</v>
      </c>
      <c r="Q183" t="s">
        <v>127</v>
      </c>
      <c r="S183" t="s">
        <v>63</v>
      </c>
      <c r="T183">
        <v>1</v>
      </c>
      <c r="V183">
        <v>1</v>
      </c>
      <c r="W183" t="s">
        <v>72</v>
      </c>
      <c r="AA183" t="s">
        <v>227</v>
      </c>
      <c r="AB183">
        <v>2</v>
      </c>
      <c r="AC183">
        <v>1</v>
      </c>
      <c r="AD183">
        <v>1</v>
      </c>
      <c r="AE183" t="s">
        <v>228</v>
      </c>
      <c r="AI183">
        <v>5</v>
      </c>
      <c r="AJ183">
        <v>20</v>
      </c>
    </row>
    <row r="184" spans="1:36" x14ac:dyDescent="0.25">
      <c r="A184" t="s">
        <v>428</v>
      </c>
      <c r="B184">
        <v>182</v>
      </c>
      <c r="C184" t="s">
        <v>56</v>
      </c>
      <c r="D184">
        <v>1</v>
      </c>
      <c r="F184">
        <v>1</v>
      </c>
      <c r="G184" t="s">
        <v>57</v>
      </c>
      <c r="K184" t="s">
        <v>48</v>
      </c>
      <c r="L184">
        <v>2</v>
      </c>
      <c r="N184">
        <v>1</v>
      </c>
      <c r="O184" t="s">
        <v>89</v>
      </c>
      <c r="S184" t="s">
        <v>38</v>
      </c>
      <c r="T184">
        <v>2</v>
      </c>
      <c r="U184">
        <v>1</v>
      </c>
      <c r="V184">
        <v>3</v>
      </c>
      <c r="W184" t="s">
        <v>152</v>
      </c>
      <c r="AA184" t="s">
        <v>227</v>
      </c>
      <c r="AB184">
        <v>1</v>
      </c>
      <c r="AC184">
        <v>1</v>
      </c>
      <c r="AD184">
        <v>1</v>
      </c>
      <c r="AE184" t="s">
        <v>228</v>
      </c>
      <c r="AI184">
        <v>4</v>
      </c>
      <c r="AJ184">
        <v>29</v>
      </c>
    </row>
    <row r="185" spans="1:36" x14ac:dyDescent="0.25">
      <c r="A185" t="s">
        <v>429</v>
      </c>
      <c r="B185">
        <v>183</v>
      </c>
      <c r="C185" t="s">
        <v>48</v>
      </c>
      <c r="D185">
        <v>3</v>
      </c>
      <c r="F185">
        <v>3</v>
      </c>
      <c r="G185" t="s">
        <v>49</v>
      </c>
      <c r="H185" t="s">
        <v>84</v>
      </c>
      <c r="I185" t="s">
        <v>127</v>
      </c>
      <c r="J185" t="s">
        <v>128</v>
      </c>
      <c r="K185" t="s">
        <v>43</v>
      </c>
      <c r="L185">
        <v>3</v>
      </c>
      <c r="N185">
        <v>1</v>
      </c>
      <c r="O185" t="s">
        <v>135</v>
      </c>
      <c r="P185" t="s">
        <v>136</v>
      </c>
      <c r="S185" t="s">
        <v>56</v>
      </c>
      <c r="T185">
        <v>3</v>
      </c>
      <c r="V185">
        <v>2</v>
      </c>
      <c r="W185" t="s">
        <v>68</v>
      </c>
      <c r="AA185" t="s">
        <v>33</v>
      </c>
      <c r="AB185">
        <v>3</v>
      </c>
      <c r="AD185">
        <v>3</v>
      </c>
      <c r="AE185" t="s">
        <v>46</v>
      </c>
      <c r="AI185">
        <v>17</v>
      </c>
      <c r="AJ185">
        <v>50</v>
      </c>
    </row>
    <row r="186" spans="1:36" x14ac:dyDescent="0.25">
      <c r="A186" t="s">
        <v>430</v>
      </c>
      <c r="B186">
        <v>184</v>
      </c>
      <c r="C186" t="s">
        <v>56</v>
      </c>
      <c r="D186">
        <v>1</v>
      </c>
      <c r="F186">
        <v>3</v>
      </c>
      <c r="G186" t="s">
        <v>68</v>
      </c>
      <c r="H186" t="s">
        <v>69</v>
      </c>
      <c r="I186" t="s">
        <v>85</v>
      </c>
      <c r="J186" t="s">
        <v>125</v>
      </c>
      <c r="K186" t="s">
        <v>33</v>
      </c>
      <c r="L186">
        <v>2</v>
      </c>
      <c r="N186">
        <v>3</v>
      </c>
      <c r="O186" t="s">
        <v>46</v>
      </c>
      <c r="S186" t="s">
        <v>48</v>
      </c>
      <c r="T186">
        <v>1</v>
      </c>
      <c r="V186">
        <v>1</v>
      </c>
      <c r="W186" t="s">
        <v>49</v>
      </c>
      <c r="AA186" t="s">
        <v>45</v>
      </c>
      <c r="AB186">
        <v>3</v>
      </c>
      <c r="AD186">
        <v>1</v>
      </c>
      <c r="AE186" t="s">
        <v>47</v>
      </c>
      <c r="AI186">
        <v>10</v>
      </c>
      <c r="AJ186">
        <v>31</v>
      </c>
    </row>
    <row r="187" spans="1:36" x14ac:dyDescent="0.25">
      <c r="A187" t="s">
        <v>431</v>
      </c>
      <c r="B187">
        <v>185</v>
      </c>
      <c r="C187" t="s">
        <v>56</v>
      </c>
      <c r="D187">
        <v>1</v>
      </c>
      <c r="F187">
        <v>1</v>
      </c>
      <c r="G187" t="s">
        <v>57</v>
      </c>
      <c r="K187" t="s">
        <v>33</v>
      </c>
      <c r="L187">
        <v>1</v>
      </c>
      <c r="N187">
        <v>2</v>
      </c>
      <c r="O187" t="s">
        <v>46</v>
      </c>
      <c r="S187" t="s">
        <v>48</v>
      </c>
      <c r="T187">
        <v>1</v>
      </c>
      <c r="V187">
        <v>1</v>
      </c>
      <c r="W187" t="s">
        <v>89</v>
      </c>
      <c r="AA187" t="s">
        <v>63</v>
      </c>
      <c r="AB187">
        <v>1</v>
      </c>
      <c r="AD187">
        <v>1</v>
      </c>
      <c r="AE187" t="s">
        <v>72</v>
      </c>
      <c r="AF187" t="s">
        <v>91</v>
      </c>
      <c r="AI187">
        <v>2</v>
      </c>
      <c r="AJ187">
        <v>23</v>
      </c>
    </row>
    <row r="188" spans="1:36" x14ac:dyDescent="0.25">
      <c r="A188" t="s">
        <v>432</v>
      </c>
      <c r="B188">
        <v>186</v>
      </c>
      <c r="C188" t="s">
        <v>48</v>
      </c>
      <c r="D188">
        <v>1</v>
      </c>
      <c r="F188">
        <v>1</v>
      </c>
      <c r="G188" t="s">
        <v>89</v>
      </c>
      <c r="H188" t="s">
        <v>50</v>
      </c>
      <c r="K188" t="s">
        <v>38</v>
      </c>
      <c r="L188">
        <v>2</v>
      </c>
      <c r="M188">
        <v>1</v>
      </c>
      <c r="N188">
        <v>3</v>
      </c>
      <c r="O188" t="s">
        <v>152</v>
      </c>
      <c r="P188" t="s">
        <v>70</v>
      </c>
      <c r="S188" t="s">
        <v>56</v>
      </c>
      <c r="T188">
        <v>1</v>
      </c>
      <c r="V188">
        <v>2</v>
      </c>
      <c r="W188" t="s">
        <v>68</v>
      </c>
      <c r="X188" t="s">
        <v>122</v>
      </c>
      <c r="AA188" t="s">
        <v>33</v>
      </c>
      <c r="AB188">
        <v>1</v>
      </c>
      <c r="AD188">
        <v>3</v>
      </c>
      <c r="AE188" t="s">
        <v>46</v>
      </c>
      <c r="AI188">
        <v>9</v>
      </c>
      <c r="AJ188">
        <v>29</v>
      </c>
    </row>
    <row r="189" spans="1:36" x14ac:dyDescent="0.25">
      <c r="A189" t="s">
        <v>433</v>
      </c>
      <c r="B189">
        <v>187</v>
      </c>
      <c r="C189" t="s">
        <v>56</v>
      </c>
      <c r="D189">
        <v>2</v>
      </c>
      <c r="F189">
        <v>1</v>
      </c>
      <c r="G189" t="s">
        <v>57</v>
      </c>
      <c r="K189" t="s">
        <v>33</v>
      </c>
      <c r="L189">
        <v>2</v>
      </c>
      <c r="N189">
        <v>1</v>
      </c>
      <c r="O189" t="s">
        <v>46</v>
      </c>
      <c r="S189" t="s">
        <v>48</v>
      </c>
      <c r="T189">
        <v>1</v>
      </c>
      <c r="V189">
        <v>1</v>
      </c>
      <c r="W189" t="s">
        <v>49</v>
      </c>
      <c r="AA189" t="s">
        <v>227</v>
      </c>
      <c r="AB189">
        <v>2</v>
      </c>
      <c r="AC189">
        <v>1</v>
      </c>
      <c r="AD189">
        <v>1</v>
      </c>
      <c r="AE189" t="s">
        <v>228</v>
      </c>
      <c r="AI189">
        <v>3</v>
      </c>
      <c r="AJ189">
        <v>19</v>
      </c>
    </row>
    <row r="190" spans="1:36" x14ac:dyDescent="0.25">
      <c r="A190" t="s">
        <v>434</v>
      </c>
      <c r="B190">
        <v>188</v>
      </c>
      <c r="C190" t="s">
        <v>56</v>
      </c>
      <c r="D190">
        <v>2</v>
      </c>
      <c r="F190">
        <v>1</v>
      </c>
      <c r="G190" t="s">
        <v>68</v>
      </c>
      <c r="K190" t="s">
        <v>33</v>
      </c>
      <c r="L190">
        <v>2</v>
      </c>
      <c r="N190">
        <v>2</v>
      </c>
      <c r="O190" t="s">
        <v>46</v>
      </c>
      <c r="S190" t="s">
        <v>43</v>
      </c>
      <c r="T190">
        <v>3</v>
      </c>
      <c r="V190">
        <v>1</v>
      </c>
      <c r="W190" t="s">
        <v>135</v>
      </c>
      <c r="X190" t="s">
        <v>136</v>
      </c>
      <c r="AA190" t="s">
        <v>45</v>
      </c>
      <c r="AB190">
        <v>2</v>
      </c>
      <c r="AD190">
        <v>1</v>
      </c>
      <c r="AE190" t="s">
        <v>47</v>
      </c>
      <c r="AI190">
        <v>7</v>
      </c>
      <c r="AJ190">
        <v>24</v>
      </c>
    </row>
    <row r="191" spans="1:36" x14ac:dyDescent="0.25">
      <c r="A191" t="s">
        <v>435</v>
      </c>
      <c r="B191">
        <v>189</v>
      </c>
      <c r="C191" t="s">
        <v>56</v>
      </c>
      <c r="D191">
        <v>1</v>
      </c>
      <c r="F191">
        <v>1</v>
      </c>
      <c r="G191" t="s">
        <v>68</v>
      </c>
      <c r="K191" t="s">
        <v>33</v>
      </c>
      <c r="L191">
        <v>1</v>
      </c>
      <c r="N191">
        <v>2</v>
      </c>
      <c r="O191" t="s">
        <v>46</v>
      </c>
      <c r="S191" t="s">
        <v>43</v>
      </c>
      <c r="T191">
        <v>1</v>
      </c>
      <c r="V191">
        <v>1</v>
      </c>
      <c r="W191" t="s">
        <v>135</v>
      </c>
      <c r="X191" t="s">
        <v>136</v>
      </c>
      <c r="AA191" t="s">
        <v>63</v>
      </c>
      <c r="AB191">
        <v>1</v>
      </c>
      <c r="AD191">
        <v>1</v>
      </c>
      <c r="AE191" t="s">
        <v>72</v>
      </c>
      <c r="AF191" t="s">
        <v>91</v>
      </c>
      <c r="AI191">
        <v>3</v>
      </c>
      <c r="AJ191">
        <v>25</v>
      </c>
    </row>
    <row r="192" spans="1:36" x14ac:dyDescent="0.25">
      <c r="A192" t="s">
        <v>436</v>
      </c>
      <c r="B192">
        <v>190</v>
      </c>
      <c r="C192" t="s">
        <v>43</v>
      </c>
      <c r="D192">
        <v>3</v>
      </c>
      <c r="F192">
        <v>1</v>
      </c>
      <c r="G192" t="s">
        <v>135</v>
      </c>
      <c r="H192" t="s">
        <v>99</v>
      </c>
      <c r="K192" t="s">
        <v>38</v>
      </c>
      <c r="L192">
        <v>2</v>
      </c>
      <c r="M192">
        <v>1</v>
      </c>
      <c r="N192">
        <v>2</v>
      </c>
      <c r="O192" t="s">
        <v>67</v>
      </c>
      <c r="S192" t="s">
        <v>56</v>
      </c>
      <c r="T192">
        <v>2</v>
      </c>
      <c r="V192">
        <v>1</v>
      </c>
      <c r="W192" t="s">
        <v>68</v>
      </c>
      <c r="AA192" t="s">
        <v>33</v>
      </c>
      <c r="AB192">
        <v>1</v>
      </c>
      <c r="AD192">
        <v>2</v>
      </c>
      <c r="AE192" t="s">
        <v>46</v>
      </c>
      <c r="AI192">
        <v>7</v>
      </c>
      <c r="AJ192">
        <v>25</v>
      </c>
    </row>
    <row r="193" spans="1:36" x14ac:dyDescent="0.25">
      <c r="A193" t="s">
        <v>437</v>
      </c>
      <c r="B193">
        <v>191</v>
      </c>
      <c r="C193" t="s">
        <v>43</v>
      </c>
      <c r="D193">
        <v>1</v>
      </c>
      <c r="F193">
        <v>1</v>
      </c>
      <c r="G193" t="s">
        <v>135</v>
      </c>
      <c r="H193" t="s">
        <v>74</v>
      </c>
      <c r="K193" t="s">
        <v>227</v>
      </c>
      <c r="L193">
        <v>2</v>
      </c>
      <c r="M193">
        <v>1</v>
      </c>
      <c r="N193">
        <v>1</v>
      </c>
      <c r="O193" t="s">
        <v>228</v>
      </c>
      <c r="S193" t="s">
        <v>56</v>
      </c>
      <c r="T193">
        <v>2</v>
      </c>
      <c r="V193">
        <v>1</v>
      </c>
      <c r="W193" t="s">
        <v>120</v>
      </c>
      <c r="X193" t="s">
        <v>122</v>
      </c>
      <c r="Y193" t="s">
        <v>85</v>
      </c>
      <c r="AA193" t="s">
        <v>33</v>
      </c>
      <c r="AB193">
        <v>1</v>
      </c>
      <c r="AD193">
        <v>2</v>
      </c>
      <c r="AE193" t="s">
        <v>46</v>
      </c>
      <c r="AI193">
        <v>6</v>
      </c>
      <c r="AJ193">
        <v>22</v>
      </c>
    </row>
    <row r="194" spans="1:36" x14ac:dyDescent="0.25">
      <c r="A194" t="s">
        <v>438</v>
      </c>
      <c r="B194">
        <v>192</v>
      </c>
      <c r="C194" t="s">
        <v>56</v>
      </c>
      <c r="D194">
        <v>1</v>
      </c>
      <c r="F194">
        <v>1</v>
      </c>
      <c r="G194" t="s">
        <v>68</v>
      </c>
      <c r="K194" t="s">
        <v>33</v>
      </c>
      <c r="L194">
        <v>1</v>
      </c>
      <c r="N194">
        <v>2</v>
      </c>
      <c r="O194" t="s">
        <v>46</v>
      </c>
      <c r="S194" t="s">
        <v>45</v>
      </c>
      <c r="T194">
        <v>2</v>
      </c>
      <c r="V194">
        <v>1</v>
      </c>
      <c r="W194" t="s">
        <v>47</v>
      </c>
      <c r="AA194" t="s">
        <v>63</v>
      </c>
      <c r="AB194">
        <v>1</v>
      </c>
      <c r="AD194">
        <v>1</v>
      </c>
      <c r="AE194" t="s">
        <v>72</v>
      </c>
      <c r="AI194">
        <v>2</v>
      </c>
      <c r="AJ194">
        <v>17</v>
      </c>
    </row>
    <row r="195" spans="1:36" x14ac:dyDescent="0.25">
      <c r="A195" t="s">
        <v>439</v>
      </c>
      <c r="B195">
        <v>193</v>
      </c>
      <c r="C195" t="s">
        <v>45</v>
      </c>
      <c r="D195">
        <v>2</v>
      </c>
      <c r="F195">
        <v>1</v>
      </c>
      <c r="G195" t="s">
        <v>47</v>
      </c>
      <c r="K195" t="s">
        <v>38</v>
      </c>
      <c r="L195">
        <v>1</v>
      </c>
      <c r="M195">
        <v>2</v>
      </c>
      <c r="N195">
        <v>2</v>
      </c>
      <c r="O195" t="s">
        <v>152</v>
      </c>
      <c r="S195" t="s">
        <v>56</v>
      </c>
      <c r="T195">
        <v>1</v>
      </c>
      <c r="V195">
        <v>2</v>
      </c>
      <c r="W195" t="s">
        <v>68</v>
      </c>
      <c r="AA195" t="s">
        <v>33</v>
      </c>
      <c r="AB195">
        <v>1</v>
      </c>
      <c r="AD195">
        <v>2</v>
      </c>
      <c r="AE195" t="s">
        <v>46</v>
      </c>
      <c r="AI195">
        <v>5</v>
      </c>
      <c r="AJ195">
        <v>28</v>
      </c>
    </row>
    <row r="196" spans="1:36" x14ac:dyDescent="0.25">
      <c r="A196" t="s">
        <v>440</v>
      </c>
      <c r="B196">
        <v>194</v>
      </c>
      <c r="C196" t="s">
        <v>56</v>
      </c>
      <c r="D196">
        <v>3</v>
      </c>
      <c r="F196">
        <v>1</v>
      </c>
      <c r="G196" t="s">
        <v>68</v>
      </c>
      <c r="H196" t="s">
        <v>122</v>
      </c>
      <c r="K196" t="s">
        <v>33</v>
      </c>
      <c r="L196">
        <v>1</v>
      </c>
      <c r="N196">
        <v>2</v>
      </c>
      <c r="O196" t="s">
        <v>46</v>
      </c>
      <c r="S196" t="s">
        <v>45</v>
      </c>
      <c r="T196">
        <v>3</v>
      </c>
      <c r="V196">
        <v>1</v>
      </c>
      <c r="W196" t="s">
        <v>47</v>
      </c>
      <c r="AA196" t="s">
        <v>227</v>
      </c>
      <c r="AB196">
        <v>1</v>
      </c>
      <c r="AC196">
        <v>1</v>
      </c>
      <c r="AD196">
        <v>1</v>
      </c>
      <c r="AE196" t="s">
        <v>228</v>
      </c>
      <c r="AI196">
        <v>6</v>
      </c>
      <c r="AJ196">
        <v>24</v>
      </c>
    </row>
    <row r="197" spans="1:36" x14ac:dyDescent="0.25">
      <c r="A197" t="s">
        <v>441</v>
      </c>
      <c r="B197">
        <v>195</v>
      </c>
      <c r="C197" t="s">
        <v>56</v>
      </c>
      <c r="D197">
        <v>2</v>
      </c>
      <c r="F197">
        <v>1</v>
      </c>
      <c r="G197" t="s">
        <v>68</v>
      </c>
      <c r="H197" t="s">
        <v>122</v>
      </c>
      <c r="I197" t="s">
        <v>85</v>
      </c>
      <c r="K197" t="s">
        <v>33</v>
      </c>
      <c r="L197">
        <v>1</v>
      </c>
      <c r="N197">
        <v>2</v>
      </c>
      <c r="O197" t="s">
        <v>46</v>
      </c>
      <c r="S197" t="s">
        <v>63</v>
      </c>
      <c r="T197">
        <v>1</v>
      </c>
      <c r="V197">
        <v>1</v>
      </c>
      <c r="W197" t="s">
        <v>72</v>
      </c>
      <c r="AA197" t="s">
        <v>38</v>
      </c>
      <c r="AB197">
        <v>1</v>
      </c>
      <c r="AC197">
        <v>2</v>
      </c>
      <c r="AD197">
        <v>3</v>
      </c>
      <c r="AE197" t="s">
        <v>67</v>
      </c>
      <c r="AI197">
        <v>7</v>
      </c>
      <c r="AJ197">
        <v>23</v>
      </c>
    </row>
    <row r="198" spans="1:36" x14ac:dyDescent="0.25">
      <c r="A198" t="s">
        <v>442</v>
      </c>
      <c r="B198">
        <v>196</v>
      </c>
      <c r="C198" t="s">
        <v>56</v>
      </c>
      <c r="D198">
        <v>2</v>
      </c>
      <c r="F198">
        <v>1</v>
      </c>
      <c r="G198" t="s">
        <v>57</v>
      </c>
      <c r="H198" t="s">
        <v>122</v>
      </c>
      <c r="K198" t="s">
        <v>33</v>
      </c>
      <c r="L198">
        <v>2</v>
      </c>
      <c r="N198">
        <v>1</v>
      </c>
      <c r="O198" t="s">
        <v>46</v>
      </c>
      <c r="S198" t="s">
        <v>63</v>
      </c>
      <c r="T198">
        <v>1</v>
      </c>
      <c r="V198">
        <v>1</v>
      </c>
      <c r="W198" t="s">
        <v>72</v>
      </c>
      <c r="AA198" t="s">
        <v>227</v>
      </c>
      <c r="AB198">
        <v>1</v>
      </c>
      <c r="AC198">
        <v>1</v>
      </c>
      <c r="AD198">
        <v>3</v>
      </c>
      <c r="AE198" t="s">
        <v>228</v>
      </c>
      <c r="AF198" t="s">
        <v>231</v>
      </c>
      <c r="AI198">
        <v>6</v>
      </c>
      <c r="AJ198">
        <v>30</v>
      </c>
    </row>
    <row r="199" spans="1:36" x14ac:dyDescent="0.25">
      <c r="A199" t="s">
        <v>443</v>
      </c>
      <c r="B199">
        <v>197</v>
      </c>
      <c r="C199" t="s">
        <v>38</v>
      </c>
      <c r="D199">
        <v>1</v>
      </c>
      <c r="E199">
        <v>1</v>
      </c>
      <c r="F199">
        <v>2</v>
      </c>
      <c r="G199" t="s">
        <v>67</v>
      </c>
      <c r="K199" t="s">
        <v>227</v>
      </c>
      <c r="L199">
        <v>1</v>
      </c>
      <c r="M199">
        <v>1</v>
      </c>
      <c r="N199">
        <v>3</v>
      </c>
      <c r="O199" t="s">
        <v>228</v>
      </c>
      <c r="P199" t="s">
        <v>231</v>
      </c>
      <c r="Q199" t="s">
        <v>235</v>
      </c>
      <c r="R199" t="s">
        <v>237</v>
      </c>
      <c r="S199" t="s">
        <v>56</v>
      </c>
      <c r="T199">
        <v>3</v>
      </c>
      <c r="V199">
        <v>1</v>
      </c>
      <c r="W199" t="s">
        <v>57</v>
      </c>
      <c r="X199" t="s">
        <v>122</v>
      </c>
      <c r="AA199" t="s">
        <v>33</v>
      </c>
      <c r="AB199">
        <v>1</v>
      </c>
      <c r="AD199">
        <v>1</v>
      </c>
      <c r="AE199" t="s">
        <v>46</v>
      </c>
      <c r="AI199">
        <v>9</v>
      </c>
      <c r="AJ199">
        <v>30</v>
      </c>
    </row>
    <row r="200" spans="1:36" x14ac:dyDescent="0.25">
      <c r="A200" t="s">
        <v>444</v>
      </c>
      <c r="B200">
        <v>198</v>
      </c>
      <c r="C200" t="s">
        <v>48</v>
      </c>
      <c r="D200">
        <v>1</v>
      </c>
      <c r="F200">
        <v>1</v>
      </c>
      <c r="G200" t="s">
        <v>49</v>
      </c>
      <c r="H200" t="s">
        <v>71</v>
      </c>
      <c r="K200" t="s">
        <v>33</v>
      </c>
      <c r="L200">
        <v>2</v>
      </c>
      <c r="N200">
        <v>1</v>
      </c>
      <c r="O200" t="s">
        <v>46</v>
      </c>
      <c r="P200" t="s">
        <v>35</v>
      </c>
      <c r="S200" t="s">
        <v>56</v>
      </c>
      <c r="T200">
        <v>1</v>
      </c>
      <c r="V200">
        <v>2</v>
      </c>
      <c r="W200" t="s">
        <v>68</v>
      </c>
      <c r="AA200" t="s">
        <v>43</v>
      </c>
      <c r="AB200">
        <v>2</v>
      </c>
      <c r="AD200">
        <v>1</v>
      </c>
      <c r="AE200" t="s">
        <v>135</v>
      </c>
      <c r="AI200">
        <v>5</v>
      </c>
      <c r="AJ200">
        <v>21</v>
      </c>
    </row>
    <row r="201" spans="1:36" x14ac:dyDescent="0.25">
      <c r="A201" t="s">
        <v>445</v>
      </c>
      <c r="B201">
        <v>199</v>
      </c>
      <c r="C201" t="s">
        <v>48</v>
      </c>
      <c r="D201">
        <v>2</v>
      </c>
      <c r="F201">
        <v>2</v>
      </c>
      <c r="G201" t="s">
        <v>49</v>
      </c>
      <c r="K201" t="s">
        <v>45</v>
      </c>
      <c r="L201">
        <v>2</v>
      </c>
      <c r="N201">
        <v>1</v>
      </c>
      <c r="O201" t="s">
        <v>47</v>
      </c>
      <c r="S201" t="s">
        <v>56</v>
      </c>
      <c r="T201">
        <v>3</v>
      </c>
      <c r="V201">
        <v>1</v>
      </c>
      <c r="W201" t="s">
        <v>68</v>
      </c>
      <c r="X201" t="s">
        <v>122</v>
      </c>
      <c r="AA201" t="s">
        <v>43</v>
      </c>
      <c r="AB201">
        <v>2</v>
      </c>
      <c r="AD201">
        <v>1</v>
      </c>
      <c r="AE201" t="s">
        <v>135</v>
      </c>
      <c r="AF201" t="s">
        <v>136</v>
      </c>
      <c r="AI201">
        <v>8</v>
      </c>
      <c r="AJ201">
        <v>31</v>
      </c>
    </row>
    <row r="202" spans="1:36" x14ac:dyDescent="0.25">
      <c r="A202" t="s">
        <v>446</v>
      </c>
      <c r="B202">
        <v>200</v>
      </c>
      <c r="C202" t="s">
        <v>56</v>
      </c>
      <c r="D202">
        <v>1</v>
      </c>
      <c r="F202">
        <v>1</v>
      </c>
      <c r="G202" t="s">
        <v>57</v>
      </c>
      <c r="K202" t="s">
        <v>43</v>
      </c>
      <c r="L202">
        <v>2</v>
      </c>
      <c r="N202">
        <v>1</v>
      </c>
      <c r="O202" t="s">
        <v>135</v>
      </c>
      <c r="S202" t="s">
        <v>48</v>
      </c>
      <c r="T202">
        <v>1</v>
      </c>
      <c r="V202">
        <v>1</v>
      </c>
      <c r="W202" t="s">
        <v>49</v>
      </c>
      <c r="AA202" t="s">
        <v>63</v>
      </c>
      <c r="AB202">
        <v>1</v>
      </c>
      <c r="AD202">
        <v>1</v>
      </c>
      <c r="AE202" t="s">
        <v>72</v>
      </c>
      <c r="AI202">
        <v>1</v>
      </c>
      <c r="AJ202">
        <v>24</v>
      </c>
    </row>
    <row r="203" spans="1:36" x14ac:dyDescent="0.25">
      <c r="A203" t="s">
        <v>447</v>
      </c>
      <c r="B203">
        <v>201</v>
      </c>
      <c r="C203" t="s">
        <v>48</v>
      </c>
      <c r="D203">
        <v>1</v>
      </c>
      <c r="F203">
        <v>2</v>
      </c>
      <c r="G203" t="s">
        <v>49</v>
      </c>
      <c r="H203" t="s">
        <v>84</v>
      </c>
      <c r="I203" t="s">
        <v>90</v>
      </c>
      <c r="J203" t="s">
        <v>129</v>
      </c>
      <c r="K203" t="s">
        <v>38</v>
      </c>
      <c r="L203">
        <v>1</v>
      </c>
      <c r="M203">
        <v>2</v>
      </c>
      <c r="N203">
        <v>1</v>
      </c>
      <c r="O203" t="s">
        <v>152</v>
      </c>
      <c r="P203" t="s">
        <v>70</v>
      </c>
      <c r="S203" t="s">
        <v>56</v>
      </c>
      <c r="T203">
        <v>3</v>
      </c>
      <c r="V203">
        <v>1</v>
      </c>
      <c r="W203" t="s">
        <v>68</v>
      </c>
      <c r="X203" t="s">
        <v>122</v>
      </c>
      <c r="AA203" t="s">
        <v>43</v>
      </c>
      <c r="AB203">
        <v>1</v>
      </c>
      <c r="AD203">
        <v>1</v>
      </c>
      <c r="AE203" t="s">
        <v>135</v>
      </c>
      <c r="AI203">
        <v>9</v>
      </c>
      <c r="AJ203">
        <v>35</v>
      </c>
    </row>
    <row r="204" spans="1:36" x14ac:dyDescent="0.25">
      <c r="A204" t="s">
        <v>448</v>
      </c>
      <c r="B204">
        <v>202</v>
      </c>
      <c r="C204" t="s">
        <v>56</v>
      </c>
      <c r="D204">
        <v>1</v>
      </c>
      <c r="F204">
        <v>1</v>
      </c>
      <c r="G204" t="s">
        <v>57</v>
      </c>
      <c r="H204" t="s">
        <v>122</v>
      </c>
      <c r="K204" t="s">
        <v>43</v>
      </c>
      <c r="L204">
        <v>1</v>
      </c>
      <c r="N204">
        <v>1</v>
      </c>
      <c r="O204" t="s">
        <v>73</v>
      </c>
      <c r="P204" t="s">
        <v>99</v>
      </c>
      <c r="S204" t="s">
        <v>48</v>
      </c>
      <c r="T204">
        <v>2</v>
      </c>
      <c r="V204">
        <v>1</v>
      </c>
      <c r="W204" t="s">
        <v>89</v>
      </c>
      <c r="AA204" t="s">
        <v>227</v>
      </c>
      <c r="AB204">
        <v>1</v>
      </c>
      <c r="AC204">
        <v>1</v>
      </c>
      <c r="AD204">
        <v>1</v>
      </c>
      <c r="AE204" t="s">
        <v>228</v>
      </c>
      <c r="AF204" t="s">
        <v>231</v>
      </c>
      <c r="AI204">
        <v>4</v>
      </c>
      <c r="AJ204">
        <v>24</v>
      </c>
    </row>
    <row r="205" spans="1:36" x14ac:dyDescent="0.25">
      <c r="A205" t="s">
        <v>449</v>
      </c>
      <c r="B205">
        <v>203</v>
      </c>
      <c r="C205" t="s">
        <v>56</v>
      </c>
      <c r="D205">
        <v>1</v>
      </c>
      <c r="F205">
        <v>1</v>
      </c>
      <c r="G205" t="s">
        <v>68</v>
      </c>
      <c r="K205" t="s">
        <v>43</v>
      </c>
      <c r="L205">
        <v>1</v>
      </c>
      <c r="N205">
        <v>3</v>
      </c>
      <c r="O205" t="s">
        <v>135</v>
      </c>
      <c r="P205" t="s">
        <v>136</v>
      </c>
      <c r="S205" t="s">
        <v>33</v>
      </c>
      <c r="T205">
        <v>1</v>
      </c>
      <c r="V205">
        <v>1</v>
      </c>
      <c r="W205" t="s">
        <v>46</v>
      </c>
      <c r="AA205" t="s">
        <v>45</v>
      </c>
      <c r="AB205">
        <v>2</v>
      </c>
      <c r="AD205">
        <v>1</v>
      </c>
      <c r="AE205" t="s">
        <v>47</v>
      </c>
      <c r="AI205">
        <v>4</v>
      </c>
      <c r="AJ205">
        <v>19</v>
      </c>
    </row>
    <row r="206" spans="1:36" x14ac:dyDescent="0.25">
      <c r="A206" t="s">
        <v>450</v>
      </c>
      <c r="B206">
        <v>204</v>
      </c>
      <c r="C206" t="s">
        <v>33</v>
      </c>
      <c r="D206">
        <v>2</v>
      </c>
      <c r="F206">
        <v>3</v>
      </c>
      <c r="G206" t="s">
        <v>46</v>
      </c>
      <c r="H206" t="s">
        <v>66</v>
      </c>
      <c r="K206" t="s">
        <v>63</v>
      </c>
      <c r="L206">
        <v>1</v>
      </c>
      <c r="N206">
        <v>1</v>
      </c>
      <c r="O206" t="s">
        <v>145</v>
      </c>
      <c r="S206" t="s">
        <v>56</v>
      </c>
      <c r="T206">
        <v>1</v>
      </c>
      <c r="V206">
        <v>1</v>
      </c>
      <c r="W206" t="s">
        <v>68</v>
      </c>
      <c r="AA206" t="s">
        <v>43</v>
      </c>
      <c r="AB206">
        <v>3</v>
      </c>
      <c r="AD206">
        <v>1</v>
      </c>
      <c r="AE206" t="s">
        <v>135</v>
      </c>
      <c r="AF206" t="s">
        <v>74</v>
      </c>
      <c r="AI206">
        <v>7</v>
      </c>
      <c r="AJ206">
        <v>23</v>
      </c>
    </row>
    <row r="207" spans="1:36" x14ac:dyDescent="0.25">
      <c r="A207" t="s">
        <v>451</v>
      </c>
      <c r="B207">
        <v>205</v>
      </c>
      <c r="C207" t="s">
        <v>33</v>
      </c>
      <c r="D207">
        <v>1</v>
      </c>
      <c r="F207">
        <v>2</v>
      </c>
      <c r="G207" t="s">
        <v>46</v>
      </c>
      <c r="K207" t="s">
        <v>38</v>
      </c>
      <c r="L207">
        <v>1</v>
      </c>
      <c r="M207">
        <v>1</v>
      </c>
      <c r="N207">
        <v>3</v>
      </c>
      <c r="O207" t="s">
        <v>67</v>
      </c>
      <c r="P207" t="s">
        <v>70</v>
      </c>
      <c r="S207" t="s">
        <v>56</v>
      </c>
      <c r="T207">
        <v>2</v>
      </c>
      <c r="V207">
        <v>1</v>
      </c>
      <c r="W207" t="s">
        <v>68</v>
      </c>
      <c r="X207" t="s">
        <v>122</v>
      </c>
      <c r="AA207" t="s">
        <v>43</v>
      </c>
      <c r="AB207">
        <v>1</v>
      </c>
      <c r="AD207">
        <v>1</v>
      </c>
      <c r="AE207" t="s">
        <v>135</v>
      </c>
      <c r="AI207">
        <v>6</v>
      </c>
      <c r="AJ207">
        <v>24</v>
      </c>
    </row>
    <row r="208" spans="1:36" x14ac:dyDescent="0.25">
      <c r="A208" t="s">
        <v>452</v>
      </c>
      <c r="B208">
        <v>206</v>
      </c>
      <c r="C208" t="s">
        <v>33</v>
      </c>
      <c r="D208">
        <v>3</v>
      </c>
      <c r="F208">
        <v>1</v>
      </c>
      <c r="G208" t="s">
        <v>46</v>
      </c>
      <c r="H208" t="s">
        <v>66</v>
      </c>
      <c r="K208" t="s">
        <v>227</v>
      </c>
      <c r="L208">
        <v>1</v>
      </c>
      <c r="M208">
        <v>1</v>
      </c>
      <c r="N208">
        <v>2</v>
      </c>
      <c r="O208" t="s">
        <v>228</v>
      </c>
      <c r="S208" t="s">
        <v>56</v>
      </c>
      <c r="T208">
        <v>1</v>
      </c>
      <c r="V208">
        <v>1</v>
      </c>
      <c r="W208" t="s">
        <v>68</v>
      </c>
      <c r="AA208" t="s">
        <v>43</v>
      </c>
      <c r="AB208">
        <v>1</v>
      </c>
      <c r="AD208">
        <v>1</v>
      </c>
      <c r="AE208" t="s">
        <v>73</v>
      </c>
      <c r="AF208" t="s">
        <v>136</v>
      </c>
      <c r="AI208">
        <v>5</v>
      </c>
      <c r="AJ208">
        <v>23</v>
      </c>
    </row>
    <row r="209" spans="1:36" x14ac:dyDescent="0.25">
      <c r="A209" t="s">
        <v>453</v>
      </c>
      <c r="B209">
        <v>207</v>
      </c>
      <c r="C209" t="s">
        <v>45</v>
      </c>
      <c r="D209">
        <v>2</v>
      </c>
      <c r="F209">
        <v>1</v>
      </c>
      <c r="G209" t="s">
        <v>47</v>
      </c>
      <c r="K209" t="s">
        <v>63</v>
      </c>
      <c r="L209">
        <v>3</v>
      </c>
      <c r="N209">
        <v>1</v>
      </c>
      <c r="O209" t="s">
        <v>72</v>
      </c>
      <c r="P209" t="s">
        <v>146</v>
      </c>
      <c r="S209" t="s">
        <v>56</v>
      </c>
      <c r="T209">
        <v>2</v>
      </c>
      <c r="V209">
        <v>1</v>
      </c>
      <c r="W209" t="s">
        <v>68</v>
      </c>
      <c r="AA209" t="s">
        <v>43</v>
      </c>
      <c r="AB209">
        <v>2</v>
      </c>
      <c r="AD209">
        <v>3</v>
      </c>
      <c r="AE209" t="s">
        <v>135</v>
      </c>
      <c r="AF209" t="s">
        <v>136</v>
      </c>
      <c r="AG209" t="s">
        <v>100</v>
      </c>
      <c r="AI209">
        <v>10</v>
      </c>
      <c r="AJ209">
        <v>37</v>
      </c>
    </row>
    <row r="210" spans="1:36" x14ac:dyDescent="0.25">
      <c r="A210" t="s">
        <v>454</v>
      </c>
      <c r="B210">
        <v>208</v>
      </c>
      <c r="C210" t="s">
        <v>45</v>
      </c>
      <c r="D210">
        <v>3</v>
      </c>
      <c r="F210">
        <v>1</v>
      </c>
      <c r="G210" t="s">
        <v>47</v>
      </c>
      <c r="K210" t="s">
        <v>38</v>
      </c>
      <c r="L210">
        <v>1</v>
      </c>
      <c r="M210">
        <v>1</v>
      </c>
      <c r="N210">
        <v>1</v>
      </c>
      <c r="O210" t="s">
        <v>152</v>
      </c>
      <c r="P210" t="s">
        <v>70</v>
      </c>
      <c r="S210" t="s">
        <v>56</v>
      </c>
      <c r="T210">
        <v>2</v>
      </c>
      <c r="V210">
        <v>1</v>
      </c>
      <c r="W210" t="s">
        <v>68</v>
      </c>
      <c r="AA210" t="s">
        <v>43</v>
      </c>
      <c r="AB210">
        <v>2</v>
      </c>
      <c r="AD210">
        <v>1</v>
      </c>
      <c r="AE210" t="s">
        <v>135</v>
      </c>
      <c r="AF210" t="s">
        <v>99</v>
      </c>
      <c r="AI210">
        <v>6</v>
      </c>
      <c r="AJ210">
        <v>21</v>
      </c>
    </row>
    <row r="211" spans="1:36" x14ac:dyDescent="0.25">
      <c r="A211" t="s">
        <v>455</v>
      </c>
      <c r="B211">
        <v>209</v>
      </c>
      <c r="C211" t="s">
        <v>45</v>
      </c>
      <c r="D211">
        <v>3</v>
      </c>
      <c r="F211">
        <v>2</v>
      </c>
      <c r="G211" t="s">
        <v>47</v>
      </c>
      <c r="K211" t="s">
        <v>227</v>
      </c>
      <c r="L211">
        <v>1</v>
      </c>
      <c r="M211">
        <v>1</v>
      </c>
      <c r="N211">
        <v>1</v>
      </c>
      <c r="O211" t="s">
        <v>228</v>
      </c>
      <c r="S211" t="s">
        <v>56</v>
      </c>
      <c r="T211">
        <v>1</v>
      </c>
      <c r="V211">
        <v>3</v>
      </c>
      <c r="W211" t="s">
        <v>68</v>
      </c>
      <c r="AA211" t="s">
        <v>43</v>
      </c>
      <c r="AB211">
        <v>1</v>
      </c>
      <c r="AD211">
        <v>1</v>
      </c>
      <c r="AE211" t="s">
        <v>73</v>
      </c>
      <c r="AI211">
        <v>5</v>
      </c>
      <c r="AJ211">
        <v>26</v>
      </c>
    </row>
    <row r="212" spans="1:36" x14ac:dyDescent="0.25">
      <c r="A212" t="s">
        <v>456</v>
      </c>
      <c r="B212">
        <v>210</v>
      </c>
      <c r="C212" t="s">
        <v>56</v>
      </c>
      <c r="D212">
        <v>1</v>
      </c>
      <c r="F212">
        <v>1</v>
      </c>
      <c r="G212" t="s">
        <v>57</v>
      </c>
      <c r="H212" t="s">
        <v>122</v>
      </c>
      <c r="I212" t="s">
        <v>85</v>
      </c>
      <c r="K212" t="s">
        <v>43</v>
      </c>
      <c r="L212">
        <v>2</v>
      </c>
      <c r="N212">
        <v>1</v>
      </c>
      <c r="O212" t="s">
        <v>135</v>
      </c>
      <c r="P212" t="s">
        <v>74</v>
      </c>
      <c r="S212" t="s">
        <v>63</v>
      </c>
      <c r="T212">
        <v>1</v>
      </c>
      <c r="V212">
        <v>1</v>
      </c>
      <c r="W212" t="s">
        <v>72</v>
      </c>
      <c r="AA212" t="s">
        <v>38</v>
      </c>
      <c r="AB212">
        <v>1</v>
      </c>
      <c r="AC212">
        <v>2</v>
      </c>
      <c r="AD212">
        <v>2</v>
      </c>
      <c r="AE212" t="s">
        <v>152</v>
      </c>
      <c r="AI212">
        <v>6</v>
      </c>
      <c r="AJ212">
        <v>18</v>
      </c>
    </row>
    <row r="213" spans="1:36" x14ac:dyDescent="0.25">
      <c r="A213" s="39" t="s">
        <v>457</v>
      </c>
      <c r="B213">
        <v>211</v>
      </c>
      <c r="C213" t="s">
        <v>56</v>
      </c>
      <c r="D213">
        <v>1</v>
      </c>
      <c r="F213">
        <v>1</v>
      </c>
      <c r="G213" t="s">
        <v>57</v>
      </c>
      <c r="K213" t="s">
        <v>43</v>
      </c>
      <c r="L213">
        <v>1</v>
      </c>
      <c r="N213">
        <v>1</v>
      </c>
      <c r="O213" t="s">
        <v>73</v>
      </c>
      <c r="P213" t="s">
        <v>99</v>
      </c>
      <c r="S213" t="s">
        <v>63</v>
      </c>
      <c r="T213">
        <v>2</v>
      </c>
      <c r="V213">
        <v>1</v>
      </c>
      <c r="W213" t="s">
        <v>72</v>
      </c>
      <c r="AA213" t="s">
        <v>227</v>
      </c>
      <c r="AB213">
        <v>1</v>
      </c>
      <c r="AC213">
        <v>1</v>
      </c>
      <c r="AD213">
        <v>1</v>
      </c>
      <c r="AE213" t="s">
        <v>228</v>
      </c>
      <c r="AI213">
        <v>2</v>
      </c>
      <c r="AJ213">
        <v>28</v>
      </c>
    </row>
    <row r="214" spans="1:36" x14ac:dyDescent="0.25">
      <c r="A214" t="s">
        <v>458</v>
      </c>
      <c r="B214">
        <v>212</v>
      </c>
      <c r="C214" t="s">
        <v>56</v>
      </c>
      <c r="D214">
        <v>1</v>
      </c>
      <c r="F214">
        <v>1</v>
      </c>
      <c r="G214" t="s">
        <v>68</v>
      </c>
      <c r="H214" t="s">
        <v>121</v>
      </c>
      <c r="K214" t="s">
        <v>43</v>
      </c>
      <c r="L214">
        <v>1</v>
      </c>
      <c r="N214">
        <v>1</v>
      </c>
      <c r="O214" t="s">
        <v>73</v>
      </c>
      <c r="P214" t="s">
        <v>99</v>
      </c>
      <c r="Q214" t="s">
        <v>75</v>
      </c>
      <c r="S214" t="s">
        <v>38</v>
      </c>
      <c r="T214">
        <v>1</v>
      </c>
      <c r="U214">
        <v>1</v>
      </c>
      <c r="V214">
        <v>2</v>
      </c>
      <c r="W214" t="s">
        <v>152</v>
      </c>
      <c r="AA214" t="s">
        <v>227</v>
      </c>
      <c r="AB214">
        <v>1</v>
      </c>
      <c r="AC214">
        <v>1</v>
      </c>
      <c r="AD214">
        <v>1</v>
      </c>
      <c r="AE214" t="s">
        <v>228</v>
      </c>
      <c r="AI214">
        <v>4</v>
      </c>
      <c r="AJ214">
        <v>30</v>
      </c>
    </row>
    <row r="215" spans="1:36" x14ac:dyDescent="0.25">
      <c r="A215" t="s">
        <v>459</v>
      </c>
      <c r="B215">
        <v>213</v>
      </c>
      <c r="C215" t="s">
        <v>48</v>
      </c>
      <c r="D215">
        <v>1</v>
      </c>
      <c r="F215">
        <v>1</v>
      </c>
      <c r="G215" t="s">
        <v>49</v>
      </c>
      <c r="K215" t="s">
        <v>33</v>
      </c>
      <c r="L215">
        <v>1</v>
      </c>
      <c r="N215">
        <v>2</v>
      </c>
      <c r="O215" t="s">
        <v>46</v>
      </c>
      <c r="S215" t="s">
        <v>56</v>
      </c>
      <c r="T215">
        <v>1</v>
      </c>
      <c r="V215">
        <v>1</v>
      </c>
      <c r="W215" t="s">
        <v>68</v>
      </c>
      <c r="AA215" t="s">
        <v>45</v>
      </c>
      <c r="AB215">
        <v>1</v>
      </c>
      <c r="AD215">
        <v>1</v>
      </c>
      <c r="AE215" t="s">
        <v>47</v>
      </c>
      <c r="AI215">
        <v>1</v>
      </c>
      <c r="AJ215">
        <v>19</v>
      </c>
    </row>
    <row r="216" spans="1:36" x14ac:dyDescent="0.25">
      <c r="A216" t="s">
        <v>460</v>
      </c>
      <c r="B216">
        <v>214</v>
      </c>
      <c r="C216" t="s">
        <v>56</v>
      </c>
      <c r="D216">
        <v>2</v>
      </c>
      <c r="F216">
        <v>3</v>
      </c>
      <c r="G216" t="s">
        <v>68</v>
      </c>
      <c r="K216" t="s">
        <v>45</v>
      </c>
      <c r="L216">
        <v>2</v>
      </c>
      <c r="N216">
        <v>1</v>
      </c>
      <c r="O216" t="s">
        <v>47</v>
      </c>
      <c r="S216" t="s">
        <v>48</v>
      </c>
      <c r="T216">
        <v>1</v>
      </c>
      <c r="V216">
        <v>1</v>
      </c>
      <c r="W216" t="s">
        <v>49</v>
      </c>
      <c r="AA216" t="s">
        <v>43</v>
      </c>
      <c r="AB216">
        <v>2</v>
      </c>
      <c r="AD216">
        <v>1</v>
      </c>
      <c r="AE216" t="s">
        <v>135</v>
      </c>
      <c r="AF216" t="s">
        <v>99</v>
      </c>
      <c r="AG216" t="s">
        <v>100</v>
      </c>
      <c r="AH216" t="s">
        <v>139</v>
      </c>
      <c r="AI216">
        <v>8</v>
      </c>
      <c r="AJ216">
        <v>37</v>
      </c>
    </row>
    <row r="217" spans="1:36" x14ac:dyDescent="0.25">
      <c r="A217" t="s">
        <v>461</v>
      </c>
      <c r="B217">
        <v>215</v>
      </c>
      <c r="C217" t="s">
        <v>56</v>
      </c>
      <c r="D217">
        <v>1</v>
      </c>
      <c r="F217">
        <v>2</v>
      </c>
      <c r="G217" t="s">
        <v>57</v>
      </c>
      <c r="K217" t="s">
        <v>45</v>
      </c>
      <c r="L217">
        <v>2</v>
      </c>
      <c r="N217">
        <v>1</v>
      </c>
      <c r="O217" t="s">
        <v>47</v>
      </c>
      <c r="S217" t="s">
        <v>48</v>
      </c>
      <c r="T217">
        <v>2</v>
      </c>
      <c r="V217">
        <v>1</v>
      </c>
      <c r="W217" t="s">
        <v>89</v>
      </c>
      <c r="AA217" t="s">
        <v>63</v>
      </c>
      <c r="AB217">
        <v>1</v>
      </c>
      <c r="AD217">
        <v>1</v>
      </c>
      <c r="AE217" t="s">
        <v>72</v>
      </c>
      <c r="AI217">
        <v>3</v>
      </c>
      <c r="AJ217">
        <v>20</v>
      </c>
    </row>
    <row r="218" spans="1:36" x14ac:dyDescent="0.25">
      <c r="A218" t="s">
        <v>462</v>
      </c>
      <c r="B218">
        <v>216</v>
      </c>
      <c r="C218" t="s">
        <v>56</v>
      </c>
      <c r="D218">
        <v>1</v>
      </c>
      <c r="F218">
        <v>1</v>
      </c>
      <c r="G218" t="s">
        <v>57</v>
      </c>
      <c r="K218" t="s">
        <v>45</v>
      </c>
      <c r="L218">
        <v>3</v>
      </c>
      <c r="N218">
        <v>1</v>
      </c>
      <c r="O218" t="s">
        <v>47</v>
      </c>
      <c r="S218" t="s">
        <v>48</v>
      </c>
      <c r="T218">
        <v>1</v>
      </c>
      <c r="V218">
        <v>1</v>
      </c>
      <c r="W218" t="s">
        <v>49</v>
      </c>
      <c r="AA218" t="s">
        <v>38</v>
      </c>
      <c r="AB218">
        <v>1</v>
      </c>
      <c r="AC218">
        <v>1</v>
      </c>
      <c r="AD218">
        <v>2</v>
      </c>
      <c r="AE218" t="s">
        <v>152</v>
      </c>
      <c r="AI218">
        <v>3</v>
      </c>
      <c r="AJ218">
        <v>20</v>
      </c>
    </row>
    <row r="219" spans="1:36" x14ac:dyDescent="0.25">
      <c r="A219" t="s">
        <v>463</v>
      </c>
      <c r="B219">
        <v>217</v>
      </c>
      <c r="C219" t="s">
        <v>48</v>
      </c>
      <c r="D219">
        <v>3</v>
      </c>
      <c r="F219">
        <v>1</v>
      </c>
      <c r="G219" t="s">
        <v>49</v>
      </c>
      <c r="H219" t="s">
        <v>71</v>
      </c>
      <c r="K219" t="s">
        <v>227</v>
      </c>
      <c r="L219">
        <v>2</v>
      </c>
      <c r="M219">
        <v>1</v>
      </c>
      <c r="N219">
        <v>1</v>
      </c>
      <c r="O219" t="s">
        <v>228</v>
      </c>
      <c r="P219" t="s">
        <v>231</v>
      </c>
      <c r="S219" t="s">
        <v>56</v>
      </c>
      <c r="T219">
        <v>1</v>
      </c>
      <c r="V219">
        <v>1</v>
      </c>
      <c r="W219" t="s">
        <v>57</v>
      </c>
      <c r="AA219" t="s">
        <v>45</v>
      </c>
      <c r="AB219">
        <v>1</v>
      </c>
      <c r="AD219">
        <v>1</v>
      </c>
      <c r="AE219" t="s">
        <v>47</v>
      </c>
      <c r="AI219">
        <v>5</v>
      </c>
      <c r="AJ219">
        <v>28</v>
      </c>
    </row>
    <row r="220" spans="1:36" x14ac:dyDescent="0.25">
      <c r="A220" t="s">
        <v>464</v>
      </c>
      <c r="B220">
        <v>218</v>
      </c>
      <c r="C220" t="s">
        <v>56</v>
      </c>
      <c r="D220">
        <v>1</v>
      </c>
      <c r="F220">
        <v>2</v>
      </c>
      <c r="G220" t="s">
        <v>120</v>
      </c>
      <c r="K220" t="s">
        <v>45</v>
      </c>
      <c r="L220">
        <v>2</v>
      </c>
      <c r="N220">
        <v>1</v>
      </c>
      <c r="O220" t="s">
        <v>140</v>
      </c>
      <c r="S220" t="s">
        <v>33</v>
      </c>
      <c r="T220">
        <v>1</v>
      </c>
      <c r="V220">
        <v>1</v>
      </c>
      <c r="W220" t="s">
        <v>46</v>
      </c>
      <c r="AA220" t="s">
        <v>43</v>
      </c>
      <c r="AB220">
        <v>3</v>
      </c>
      <c r="AD220">
        <v>1</v>
      </c>
      <c r="AE220" t="s">
        <v>135</v>
      </c>
      <c r="AF220" t="s">
        <v>74</v>
      </c>
      <c r="AI220">
        <v>5</v>
      </c>
      <c r="AJ220">
        <v>16</v>
      </c>
    </row>
    <row r="221" spans="1:36" x14ac:dyDescent="0.25">
      <c r="A221" t="s">
        <v>465</v>
      </c>
      <c r="B221">
        <v>219</v>
      </c>
      <c r="C221" t="s">
        <v>33</v>
      </c>
      <c r="D221">
        <v>1</v>
      </c>
      <c r="F221">
        <v>2</v>
      </c>
      <c r="G221" t="s">
        <v>46</v>
      </c>
      <c r="K221" t="s">
        <v>63</v>
      </c>
      <c r="L221">
        <v>1</v>
      </c>
      <c r="N221">
        <v>1</v>
      </c>
      <c r="O221" t="s">
        <v>72</v>
      </c>
      <c r="P221" t="s">
        <v>95</v>
      </c>
      <c r="Q221" t="s">
        <v>104</v>
      </c>
      <c r="S221" t="s">
        <v>56</v>
      </c>
      <c r="T221">
        <v>2</v>
      </c>
      <c r="V221">
        <v>1</v>
      </c>
      <c r="W221" t="s">
        <v>57</v>
      </c>
      <c r="X221" t="s">
        <v>122</v>
      </c>
      <c r="Y221" t="s">
        <v>85</v>
      </c>
      <c r="AA221" t="s">
        <v>45</v>
      </c>
      <c r="AB221">
        <v>2</v>
      </c>
      <c r="AD221">
        <v>1</v>
      </c>
      <c r="AE221" t="s">
        <v>47</v>
      </c>
      <c r="AI221">
        <v>7</v>
      </c>
      <c r="AJ221">
        <v>28</v>
      </c>
    </row>
    <row r="222" spans="1:36" x14ac:dyDescent="0.25">
      <c r="A222" t="s">
        <v>466</v>
      </c>
      <c r="B222">
        <v>220</v>
      </c>
      <c r="C222" t="s">
        <v>33</v>
      </c>
      <c r="D222">
        <v>1</v>
      </c>
      <c r="F222">
        <v>3</v>
      </c>
      <c r="G222" t="s">
        <v>46</v>
      </c>
      <c r="H222" t="s">
        <v>35</v>
      </c>
      <c r="K222" t="s">
        <v>38</v>
      </c>
      <c r="L222">
        <v>1</v>
      </c>
      <c r="M222">
        <v>1</v>
      </c>
      <c r="N222">
        <v>2</v>
      </c>
      <c r="O222" t="s">
        <v>67</v>
      </c>
      <c r="S222" t="s">
        <v>56</v>
      </c>
      <c r="T222">
        <v>2</v>
      </c>
      <c r="V222">
        <v>1</v>
      </c>
      <c r="W222" t="s">
        <v>68</v>
      </c>
      <c r="AA222" t="s">
        <v>45</v>
      </c>
      <c r="AB222">
        <v>2</v>
      </c>
      <c r="AD222">
        <v>1</v>
      </c>
      <c r="AE222" t="s">
        <v>47</v>
      </c>
      <c r="AI222">
        <v>6</v>
      </c>
      <c r="AJ222">
        <v>22</v>
      </c>
    </row>
    <row r="223" spans="1:36" x14ac:dyDescent="0.25">
      <c r="A223" t="s">
        <v>467</v>
      </c>
      <c r="B223">
        <v>221</v>
      </c>
      <c r="C223" t="s">
        <v>56</v>
      </c>
      <c r="D223">
        <v>3</v>
      </c>
      <c r="F223">
        <v>1</v>
      </c>
      <c r="G223" t="s">
        <v>57</v>
      </c>
      <c r="K223" t="s">
        <v>45</v>
      </c>
      <c r="L223">
        <v>2</v>
      </c>
      <c r="N223">
        <v>1</v>
      </c>
      <c r="O223" t="s">
        <v>47</v>
      </c>
      <c r="S223" t="s">
        <v>33</v>
      </c>
      <c r="T223">
        <v>2</v>
      </c>
      <c r="V223">
        <v>2</v>
      </c>
      <c r="W223" t="s">
        <v>46</v>
      </c>
      <c r="AA223" t="s">
        <v>227</v>
      </c>
      <c r="AB223">
        <v>1</v>
      </c>
      <c r="AC223">
        <v>1</v>
      </c>
      <c r="AD223">
        <v>3</v>
      </c>
      <c r="AE223" t="s">
        <v>228</v>
      </c>
      <c r="AF223" t="s">
        <v>231</v>
      </c>
      <c r="AI223">
        <v>8</v>
      </c>
      <c r="AJ223">
        <v>22</v>
      </c>
    </row>
    <row r="224" spans="1:36" x14ac:dyDescent="0.25">
      <c r="A224" s="39" t="s">
        <v>468</v>
      </c>
      <c r="B224">
        <v>222</v>
      </c>
      <c r="C224" t="s">
        <v>43</v>
      </c>
      <c r="D224">
        <v>2</v>
      </c>
      <c r="F224">
        <v>1</v>
      </c>
      <c r="G224" t="s">
        <v>135</v>
      </c>
      <c r="H224" t="s">
        <v>99</v>
      </c>
      <c r="K224" t="s">
        <v>63</v>
      </c>
      <c r="L224">
        <v>1</v>
      </c>
      <c r="N224">
        <v>1</v>
      </c>
      <c r="O224" t="s">
        <v>72</v>
      </c>
      <c r="P224" t="s">
        <v>95</v>
      </c>
      <c r="S224" t="s">
        <v>56</v>
      </c>
      <c r="T224">
        <v>1</v>
      </c>
      <c r="V224">
        <v>1</v>
      </c>
      <c r="W224" t="s">
        <v>68</v>
      </c>
      <c r="AA224" t="s">
        <v>45</v>
      </c>
      <c r="AB224">
        <v>2</v>
      </c>
      <c r="AD224">
        <v>1</v>
      </c>
      <c r="AE224" t="s">
        <v>47</v>
      </c>
      <c r="AI224">
        <v>4</v>
      </c>
      <c r="AJ224">
        <v>19</v>
      </c>
    </row>
    <row r="225" spans="1:36" x14ac:dyDescent="0.25">
      <c r="A225" t="s">
        <v>469</v>
      </c>
      <c r="B225">
        <v>223</v>
      </c>
      <c r="C225" t="s">
        <v>43</v>
      </c>
      <c r="D225">
        <v>1</v>
      </c>
      <c r="F225">
        <v>1</v>
      </c>
      <c r="G225" t="s">
        <v>135</v>
      </c>
      <c r="H225" t="s">
        <v>74</v>
      </c>
      <c r="K225" t="s">
        <v>38</v>
      </c>
      <c r="L225">
        <v>1</v>
      </c>
      <c r="M225">
        <v>1</v>
      </c>
      <c r="N225">
        <v>2</v>
      </c>
      <c r="O225" t="s">
        <v>67</v>
      </c>
      <c r="S225" t="s">
        <v>56</v>
      </c>
      <c r="T225">
        <v>1</v>
      </c>
      <c r="V225">
        <v>2</v>
      </c>
      <c r="W225" t="s">
        <v>68</v>
      </c>
      <c r="AA225" t="s">
        <v>45</v>
      </c>
      <c r="AB225">
        <v>1</v>
      </c>
      <c r="AD225">
        <v>1</v>
      </c>
      <c r="AE225" t="s">
        <v>47</v>
      </c>
      <c r="AI225">
        <v>3</v>
      </c>
      <c r="AJ225">
        <v>23</v>
      </c>
    </row>
    <row r="226" spans="1:36" x14ac:dyDescent="0.25">
      <c r="A226" t="s">
        <v>470</v>
      </c>
      <c r="B226">
        <v>224</v>
      </c>
      <c r="C226" t="s">
        <v>43</v>
      </c>
      <c r="D226">
        <v>2</v>
      </c>
      <c r="F226">
        <v>1</v>
      </c>
      <c r="G226" t="s">
        <v>135</v>
      </c>
      <c r="H226" t="s">
        <v>74</v>
      </c>
      <c r="I226" t="s">
        <v>100</v>
      </c>
      <c r="J226" t="s">
        <v>139</v>
      </c>
      <c r="K226" t="s">
        <v>227</v>
      </c>
      <c r="L226">
        <v>1</v>
      </c>
      <c r="M226">
        <v>1</v>
      </c>
      <c r="N226">
        <v>1</v>
      </c>
      <c r="O226" t="s">
        <v>228</v>
      </c>
      <c r="S226" t="s">
        <v>56</v>
      </c>
      <c r="T226">
        <v>1</v>
      </c>
      <c r="V226">
        <v>1</v>
      </c>
      <c r="W226" t="s">
        <v>57</v>
      </c>
      <c r="AA226" t="s">
        <v>45</v>
      </c>
      <c r="AB226">
        <v>1</v>
      </c>
      <c r="AD226">
        <v>1</v>
      </c>
      <c r="AE226" t="s">
        <v>47</v>
      </c>
      <c r="AI226">
        <v>4</v>
      </c>
      <c r="AJ226">
        <v>24</v>
      </c>
    </row>
    <row r="227" spans="1:36" x14ac:dyDescent="0.25">
      <c r="A227" t="s">
        <v>471</v>
      </c>
      <c r="B227">
        <v>225</v>
      </c>
      <c r="C227" t="s">
        <v>56</v>
      </c>
      <c r="D227">
        <v>2</v>
      </c>
      <c r="F227">
        <v>1</v>
      </c>
      <c r="G227" t="s">
        <v>57</v>
      </c>
      <c r="H227" t="s">
        <v>122</v>
      </c>
      <c r="I227" t="s">
        <v>85</v>
      </c>
      <c r="K227" t="s">
        <v>45</v>
      </c>
      <c r="L227">
        <v>3</v>
      </c>
      <c r="N227">
        <v>1</v>
      </c>
      <c r="O227" t="s">
        <v>47</v>
      </c>
      <c r="S227" t="s">
        <v>63</v>
      </c>
      <c r="T227">
        <v>1</v>
      </c>
      <c r="V227">
        <v>1</v>
      </c>
      <c r="W227" t="s">
        <v>72</v>
      </c>
      <c r="X227" t="s">
        <v>91</v>
      </c>
      <c r="AA227" t="s">
        <v>38</v>
      </c>
      <c r="AB227">
        <v>1</v>
      </c>
      <c r="AC227">
        <v>2</v>
      </c>
      <c r="AD227">
        <v>2</v>
      </c>
      <c r="AE227" t="s">
        <v>152</v>
      </c>
      <c r="AF227" t="s">
        <v>96</v>
      </c>
      <c r="AI227">
        <v>9</v>
      </c>
      <c r="AJ227">
        <v>33</v>
      </c>
    </row>
    <row r="228" spans="1:36" x14ac:dyDescent="0.25">
      <c r="A228" t="s">
        <v>472</v>
      </c>
      <c r="B228">
        <v>226</v>
      </c>
      <c r="C228" t="s">
        <v>56</v>
      </c>
      <c r="D228">
        <v>1</v>
      </c>
      <c r="F228">
        <v>1</v>
      </c>
      <c r="G228" t="s">
        <v>57</v>
      </c>
      <c r="K228" t="s">
        <v>45</v>
      </c>
      <c r="L228">
        <v>2</v>
      </c>
      <c r="N228">
        <v>1</v>
      </c>
      <c r="O228" t="s">
        <v>86</v>
      </c>
      <c r="S228" t="s">
        <v>63</v>
      </c>
      <c r="T228">
        <v>1</v>
      </c>
      <c r="V228">
        <v>1</v>
      </c>
      <c r="W228" t="s">
        <v>72</v>
      </c>
      <c r="AA228" t="s">
        <v>227</v>
      </c>
      <c r="AB228">
        <v>1</v>
      </c>
      <c r="AC228">
        <v>1</v>
      </c>
      <c r="AD228">
        <v>1</v>
      </c>
      <c r="AE228" t="s">
        <v>228</v>
      </c>
      <c r="AF228" t="s">
        <v>231</v>
      </c>
      <c r="AI228">
        <v>2</v>
      </c>
      <c r="AJ228">
        <v>20</v>
      </c>
    </row>
    <row r="229" spans="1:36" x14ac:dyDescent="0.25">
      <c r="A229" t="s">
        <v>473</v>
      </c>
      <c r="B229">
        <v>227</v>
      </c>
      <c r="C229" t="s">
        <v>56</v>
      </c>
      <c r="D229">
        <v>1</v>
      </c>
      <c r="F229">
        <v>1</v>
      </c>
      <c r="G229" t="s">
        <v>57</v>
      </c>
      <c r="K229" t="s">
        <v>45</v>
      </c>
      <c r="L229">
        <v>2</v>
      </c>
      <c r="N229">
        <v>1</v>
      </c>
      <c r="O229" t="s">
        <v>47</v>
      </c>
      <c r="S229" t="s">
        <v>38</v>
      </c>
      <c r="T229">
        <v>1</v>
      </c>
      <c r="U229">
        <v>1</v>
      </c>
      <c r="V229">
        <v>2</v>
      </c>
      <c r="W229" t="s">
        <v>152</v>
      </c>
      <c r="AA229" t="s">
        <v>227</v>
      </c>
      <c r="AB229">
        <v>1</v>
      </c>
      <c r="AC229">
        <v>1</v>
      </c>
      <c r="AD229">
        <v>1</v>
      </c>
      <c r="AE229" t="s">
        <v>228</v>
      </c>
      <c r="AI229">
        <v>2</v>
      </c>
      <c r="AJ229">
        <v>20</v>
      </c>
    </row>
    <row r="230" spans="1:36" x14ac:dyDescent="0.25">
      <c r="A230" t="s">
        <v>474</v>
      </c>
      <c r="B230">
        <v>228</v>
      </c>
      <c r="C230" t="s">
        <v>56</v>
      </c>
      <c r="D230">
        <v>1</v>
      </c>
      <c r="F230">
        <v>1</v>
      </c>
      <c r="G230" t="s">
        <v>57</v>
      </c>
      <c r="K230" t="s">
        <v>63</v>
      </c>
      <c r="L230">
        <v>2</v>
      </c>
      <c r="N230">
        <v>1</v>
      </c>
      <c r="O230" t="s">
        <v>72</v>
      </c>
      <c r="P230" t="s">
        <v>146</v>
      </c>
      <c r="S230" t="s">
        <v>48</v>
      </c>
      <c r="T230">
        <v>1</v>
      </c>
      <c r="V230">
        <v>1</v>
      </c>
      <c r="W230" t="s">
        <v>49</v>
      </c>
      <c r="X230" t="s">
        <v>84</v>
      </c>
      <c r="AA230" t="s">
        <v>33</v>
      </c>
      <c r="AB230">
        <v>1</v>
      </c>
      <c r="AD230">
        <v>2</v>
      </c>
      <c r="AE230" t="s">
        <v>46</v>
      </c>
      <c r="AI230">
        <v>4</v>
      </c>
      <c r="AJ230">
        <v>22</v>
      </c>
    </row>
    <row r="231" spans="1:36" x14ac:dyDescent="0.25">
      <c r="A231" t="s">
        <v>475</v>
      </c>
      <c r="B231">
        <v>229</v>
      </c>
      <c r="C231" t="s">
        <v>48</v>
      </c>
      <c r="D231">
        <v>2</v>
      </c>
      <c r="F231">
        <v>1</v>
      </c>
      <c r="G231" t="s">
        <v>49</v>
      </c>
      <c r="K231" t="s">
        <v>43</v>
      </c>
      <c r="L231">
        <v>3</v>
      </c>
      <c r="N231">
        <v>1</v>
      </c>
      <c r="O231" t="s">
        <v>135</v>
      </c>
      <c r="P231" t="s">
        <v>74</v>
      </c>
      <c r="Q231" t="s">
        <v>75</v>
      </c>
      <c r="R231" t="s">
        <v>138</v>
      </c>
      <c r="S231" t="s">
        <v>56</v>
      </c>
      <c r="T231">
        <v>2</v>
      </c>
      <c r="V231">
        <v>2</v>
      </c>
      <c r="W231" t="s">
        <v>57</v>
      </c>
      <c r="AA231" t="s">
        <v>63</v>
      </c>
      <c r="AB231">
        <v>1</v>
      </c>
      <c r="AD231">
        <v>1</v>
      </c>
      <c r="AE231" t="s">
        <v>72</v>
      </c>
      <c r="AF231" t="s">
        <v>91</v>
      </c>
      <c r="AI231">
        <v>9</v>
      </c>
      <c r="AJ231">
        <v>33</v>
      </c>
    </row>
    <row r="232" spans="1:36" x14ac:dyDescent="0.25">
      <c r="A232" t="s">
        <v>476</v>
      </c>
      <c r="B232">
        <v>230</v>
      </c>
      <c r="C232" t="s">
        <v>56</v>
      </c>
      <c r="D232">
        <v>1</v>
      </c>
      <c r="F232">
        <v>1</v>
      </c>
      <c r="G232" t="s">
        <v>68</v>
      </c>
      <c r="K232" t="s">
        <v>63</v>
      </c>
      <c r="L232">
        <v>1</v>
      </c>
      <c r="N232">
        <v>1</v>
      </c>
      <c r="O232" t="s">
        <v>72</v>
      </c>
      <c r="P232" t="s">
        <v>91</v>
      </c>
      <c r="S232" t="s">
        <v>48</v>
      </c>
      <c r="T232">
        <v>1</v>
      </c>
      <c r="V232">
        <v>1</v>
      </c>
      <c r="W232" t="s">
        <v>49</v>
      </c>
      <c r="AA232" t="s">
        <v>45</v>
      </c>
      <c r="AB232">
        <v>2</v>
      </c>
      <c r="AD232">
        <v>1</v>
      </c>
      <c r="AE232" t="s">
        <v>47</v>
      </c>
      <c r="AI232">
        <v>2</v>
      </c>
      <c r="AJ232">
        <v>26</v>
      </c>
    </row>
    <row r="233" spans="1:36" x14ac:dyDescent="0.25">
      <c r="A233" t="s">
        <v>477</v>
      </c>
      <c r="B233">
        <v>231</v>
      </c>
      <c r="C233" t="s">
        <v>48</v>
      </c>
      <c r="D233">
        <v>3</v>
      </c>
      <c r="F233">
        <v>1</v>
      </c>
      <c r="G233" t="s">
        <v>49</v>
      </c>
      <c r="K233" t="s">
        <v>38</v>
      </c>
      <c r="L233">
        <v>1</v>
      </c>
      <c r="M233">
        <v>2</v>
      </c>
      <c r="N233">
        <v>3</v>
      </c>
      <c r="O233" t="s">
        <v>152</v>
      </c>
      <c r="P233" t="s">
        <v>96</v>
      </c>
      <c r="S233" t="s">
        <v>56</v>
      </c>
      <c r="T233">
        <v>1</v>
      </c>
      <c r="V233">
        <v>2</v>
      </c>
      <c r="W233" t="s">
        <v>57</v>
      </c>
      <c r="X233" t="s">
        <v>122</v>
      </c>
      <c r="AA233" t="s">
        <v>63</v>
      </c>
      <c r="AB233">
        <v>2</v>
      </c>
      <c r="AD233">
        <v>1</v>
      </c>
      <c r="AE233" t="s">
        <v>72</v>
      </c>
      <c r="AI233">
        <v>9</v>
      </c>
      <c r="AJ233">
        <v>28</v>
      </c>
    </row>
    <row r="234" spans="1:36" x14ac:dyDescent="0.25">
      <c r="A234" t="s">
        <v>478</v>
      </c>
      <c r="B234">
        <v>232</v>
      </c>
      <c r="C234" t="s">
        <v>48</v>
      </c>
      <c r="D234">
        <v>3</v>
      </c>
      <c r="F234">
        <v>1</v>
      </c>
      <c r="G234" t="s">
        <v>49</v>
      </c>
      <c r="K234" t="s">
        <v>227</v>
      </c>
      <c r="L234">
        <v>2</v>
      </c>
      <c r="M234">
        <v>1</v>
      </c>
      <c r="N234">
        <v>1</v>
      </c>
      <c r="O234" t="s">
        <v>228</v>
      </c>
      <c r="P234" t="s">
        <v>231</v>
      </c>
      <c r="S234" t="s">
        <v>56</v>
      </c>
      <c r="T234">
        <v>1</v>
      </c>
      <c r="V234">
        <v>1</v>
      </c>
      <c r="W234" t="s">
        <v>57</v>
      </c>
      <c r="AA234" t="s">
        <v>63</v>
      </c>
      <c r="AB234">
        <v>1</v>
      </c>
      <c r="AD234">
        <v>1</v>
      </c>
      <c r="AE234" t="s">
        <v>72</v>
      </c>
      <c r="AF234" t="s">
        <v>91</v>
      </c>
      <c r="AG234" t="s">
        <v>147</v>
      </c>
      <c r="AI234">
        <v>6</v>
      </c>
      <c r="AJ234">
        <v>32</v>
      </c>
    </row>
    <row r="235" spans="1:36" x14ac:dyDescent="0.25">
      <c r="A235" t="s">
        <v>479</v>
      </c>
      <c r="B235">
        <v>233</v>
      </c>
      <c r="C235" t="s">
        <v>33</v>
      </c>
      <c r="D235">
        <v>2</v>
      </c>
      <c r="F235">
        <v>1</v>
      </c>
      <c r="G235" t="s">
        <v>46</v>
      </c>
      <c r="K235" t="s">
        <v>43</v>
      </c>
      <c r="L235">
        <v>1</v>
      </c>
      <c r="N235">
        <v>1</v>
      </c>
      <c r="O235" t="s">
        <v>135</v>
      </c>
      <c r="P235" t="s">
        <v>74</v>
      </c>
      <c r="S235" t="s">
        <v>56</v>
      </c>
      <c r="T235">
        <v>1</v>
      </c>
      <c r="V235">
        <v>1</v>
      </c>
      <c r="W235" t="s">
        <v>120</v>
      </c>
      <c r="AA235" t="s">
        <v>63</v>
      </c>
      <c r="AB235">
        <v>1</v>
      </c>
      <c r="AD235">
        <v>1</v>
      </c>
      <c r="AE235" t="s">
        <v>72</v>
      </c>
      <c r="AI235">
        <v>2</v>
      </c>
      <c r="AJ235">
        <v>22</v>
      </c>
    </row>
    <row r="236" spans="1:36" x14ac:dyDescent="0.25">
      <c r="A236" t="s">
        <v>480</v>
      </c>
      <c r="B236">
        <v>234</v>
      </c>
      <c r="C236" t="s">
        <v>33</v>
      </c>
      <c r="D236">
        <v>1</v>
      </c>
      <c r="F236">
        <v>3</v>
      </c>
      <c r="G236" t="s">
        <v>46</v>
      </c>
      <c r="H236" t="s">
        <v>66</v>
      </c>
      <c r="K236" t="s">
        <v>45</v>
      </c>
      <c r="L236">
        <v>2</v>
      </c>
      <c r="N236">
        <v>1</v>
      </c>
      <c r="O236" t="s">
        <v>47</v>
      </c>
      <c r="P236" t="s">
        <v>141</v>
      </c>
      <c r="Q236" t="s">
        <v>102</v>
      </c>
      <c r="R236" t="s">
        <v>144</v>
      </c>
      <c r="S236" t="s">
        <v>56</v>
      </c>
      <c r="T236">
        <v>2</v>
      </c>
      <c r="V236">
        <v>1</v>
      </c>
      <c r="W236" t="s">
        <v>68</v>
      </c>
      <c r="AA236" t="s">
        <v>63</v>
      </c>
      <c r="AB236">
        <v>1</v>
      </c>
      <c r="AD236">
        <v>1</v>
      </c>
      <c r="AE236" t="s">
        <v>72</v>
      </c>
      <c r="AF236" t="s">
        <v>91</v>
      </c>
      <c r="AI236">
        <v>9</v>
      </c>
      <c r="AJ236">
        <v>27</v>
      </c>
    </row>
    <row r="237" spans="1:36" x14ac:dyDescent="0.25">
      <c r="A237" t="s">
        <v>481</v>
      </c>
      <c r="B237">
        <v>235</v>
      </c>
      <c r="C237" t="s">
        <v>33</v>
      </c>
      <c r="D237">
        <v>1</v>
      </c>
      <c r="F237">
        <v>2</v>
      </c>
      <c r="G237" t="s">
        <v>46</v>
      </c>
      <c r="K237" t="s">
        <v>38</v>
      </c>
      <c r="L237">
        <v>1</v>
      </c>
      <c r="M237">
        <v>2</v>
      </c>
      <c r="N237">
        <v>1</v>
      </c>
      <c r="O237" t="s">
        <v>152</v>
      </c>
      <c r="S237" t="s">
        <v>56</v>
      </c>
      <c r="T237">
        <v>1</v>
      </c>
      <c r="V237">
        <v>1</v>
      </c>
      <c r="W237" t="s">
        <v>68</v>
      </c>
      <c r="AA237" t="s">
        <v>63</v>
      </c>
      <c r="AB237">
        <v>1</v>
      </c>
      <c r="AD237">
        <v>1</v>
      </c>
      <c r="AE237" t="s">
        <v>72</v>
      </c>
      <c r="AF237" t="s">
        <v>95</v>
      </c>
      <c r="AI237">
        <v>3</v>
      </c>
      <c r="AJ237">
        <v>25</v>
      </c>
    </row>
    <row r="238" spans="1:36" x14ac:dyDescent="0.25">
      <c r="A238" t="s">
        <v>482</v>
      </c>
      <c r="B238">
        <v>236</v>
      </c>
      <c r="C238" t="s">
        <v>33</v>
      </c>
      <c r="D238">
        <v>3</v>
      </c>
      <c r="F238">
        <v>1</v>
      </c>
      <c r="G238" t="s">
        <v>46</v>
      </c>
      <c r="K238" t="s">
        <v>227</v>
      </c>
      <c r="L238">
        <v>2</v>
      </c>
      <c r="M238">
        <v>1</v>
      </c>
      <c r="N238">
        <v>1</v>
      </c>
      <c r="O238" t="s">
        <v>228</v>
      </c>
      <c r="P238" t="s">
        <v>231</v>
      </c>
      <c r="S238" t="s">
        <v>56</v>
      </c>
      <c r="T238">
        <v>1</v>
      </c>
      <c r="V238">
        <v>1</v>
      </c>
      <c r="W238" t="s">
        <v>57</v>
      </c>
      <c r="AA238" t="s">
        <v>63</v>
      </c>
      <c r="AB238">
        <v>1</v>
      </c>
      <c r="AD238">
        <v>1</v>
      </c>
      <c r="AE238" t="s">
        <v>72</v>
      </c>
      <c r="AF238" t="s">
        <v>91</v>
      </c>
      <c r="AI238">
        <v>5</v>
      </c>
      <c r="AJ238">
        <v>21</v>
      </c>
    </row>
    <row r="239" spans="1:36" x14ac:dyDescent="0.25">
      <c r="A239" t="s">
        <v>483</v>
      </c>
      <c r="B239">
        <v>237</v>
      </c>
      <c r="C239" t="s">
        <v>43</v>
      </c>
      <c r="D239">
        <v>3</v>
      </c>
      <c r="F239">
        <v>1</v>
      </c>
      <c r="G239" t="s">
        <v>135</v>
      </c>
      <c r="H239" t="s">
        <v>74</v>
      </c>
      <c r="I239" t="s">
        <v>137</v>
      </c>
      <c r="K239" t="s">
        <v>45</v>
      </c>
      <c r="L239">
        <v>1</v>
      </c>
      <c r="N239">
        <v>1</v>
      </c>
      <c r="O239" t="s">
        <v>47</v>
      </c>
      <c r="S239" t="s">
        <v>56</v>
      </c>
      <c r="T239">
        <v>1</v>
      </c>
      <c r="V239">
        <v>1</v>
      </c>
      <c r="W239" t="s">
        <v>68</v>
      </c>
      <c r="AA239" t="s">
        <v>63</v>
      </c>
      <c r="AB239">
        <v>2</v>
      </c>
      <c r="AD239">
        <v>1</v>
      </c>
      <c r="AE239" t="s">
        <v>72</v>
      </c>
      <c r="AF239" t="s">
        <v>146</v>
      </c>
      <c r="AI239">
        <v>6</v>
      </c>
      <c r="AJ239">
        <v>28</v>
      </c>
    </row>
    <row r="240" spans="1:36" x14ac:dyDescent="0.25">
      <c r="A240" s="39" t="s">
        <v>484</v>
      </c>
      <c r="B240">
        <v>238</v>
      </c>
      <c r="C240" t="s">
        <v>43</v>
      </c>
      <c r="D240">
        <v>2</v>
      </c>
      <c r="F240">
        <v>1</v>
      </c>
      <c r="G240" t="s">
        <v>135</v>
      </c>
      <c r="H240" t="s">
        <v>74</v>
      </c>
      <c r="I240" t="s">
        <v>75</v>
      </c>
      <c r="K240" t="s">
        <v>38</v>
      </c>
      <c r="L240">
        <v>1</v>
      </c>
      <c r="M240">
        <v>1</v>
      </c>
      <c r="N240">
        <v>1</v>
      </c>
      <c r="O240" t="s">
        <v>152</v>
      </c>
      <c r="S240" t="s">
        <v>56</v>
      </c>
      <c r="T240">
        <v>2</v>
      </c>
      <c r="V240">
        <v>1</v>
      </c>
      <c r="W240" t="s">
        <v>68</v>
      </c>
      <c r="AA240" t="s">
        <v>63</v>
      </c>
      <c r="AB240">
        <v>1</v>
      </c>
      <c r="AD240">
        <v>1</v>
      </c>
      <c r="AE240" t="s">
        <v>72</v>
      </c>
      <c r="AI240">
        <v>4</v>
      </c>
      <c r="AJ240">
        <v>21</v>
      </c>
    </row>
    <row r="241" spans="1:36" x14ac:dyDescent="0.25">
      <c r="A241" t="s">
        <v>485</v>
      </c>
      <c r="B241">
        <v>239</v>
      </c>
      <c r="C241" t="s">
        <v>43</v>
      </c>
      <c r="D241">
        <v>1</v>
      </c>
      <c r="F241">
        <v>1</v>
      </c>
      <c r="G241" t="s">
        <v>135</v>
      </c>
      <c r="H241" t="s">
        <v>99</v>
      </c>
      <c r="I241" t="s">
        <v>100</v>
      </c>
      <c r="J241" t="s">
        <v>101</v>
      </c>
      <c r="K241" t="s">
        <v>227</v>
      </c>
      <c r="L241">
        <v>1</v>
      </c>
      <c r="M241">
        <v>2</v>
      </c>
      <c r="N241">
        <v>1</v>
      </c>
      <c r="O241" t="s">
        <v>228</v>
      </c>
      <c r="P241" t="s">
        <v>232</v>
      </c>
      <c r="S241" t="s">
        <v>56</v>
      </c>
      <c r="T241">
        <v>2</v>
      </c>
      <c r="V241">
        <v>1</v>
      </c>
      <c r="W241" t="s">
        <v>57</v>
      </c>
      <c r="AA241" t="s">
        <v>63</v>
      </c>
      <c r="AB241">
        <v>1</v>
      </c>
      <c r="AD241">
        <v>1</v>
      </c>
      <c r="AE241" t="s">
        <v>72</v>
      </c>
      <c r="AF241" t="s">
        <v>91</v>
      </c>
      <c r="AI241">
        <v>7</v>
      </c>
      <c r="AJ241">
        <v>39</v>
      </c>
    </row>
    <row r="242" spans="1:36" x14ac:dyDescent="0.25">
      <c r="A242" t="s">
        <v>486</v>
      </c>
      <c r="B242">
        <v>240</v>
      </c>
      <c r="C242" t="s">
        <v>45</v>
      </c>
      <c r="D242">
        <v>3</v>
      </c>
      <c r="F242">
        <v>2</v>
      </c>
      <c r="G242" t="s">
        <v>47</v>
      </c>
      <c r="K242" t="s">
        <v>38</v>
      </c>
      <c r="L242">
        <v>1</v>
      </c>
      <c r="M242">
        <v>1</v>
      </c>
      <c r="N242">
        <v>1</v>
      </c>
      <c r="O242" t="s">
        <v>152</v>
      </c>
      <c r="S242" t="s">
        <v>56</v>
      </c>
      <c r="T242">
        <v>2</v>
      </c>
      <c r="V242">
        <v>1</v>
      </c>
      <c r="W242" t="s">
        <v>68</v>
      </c>
      <c r="AA242" t="s">
        <v>63</v>
      </c>
      <c r="AB242">
        <v>2</v>
      </c>
      <c r="AD242">
        <v>1</v>
      </c>
      <c r="AE242" t="s">
        <v>72</v>
      </c>
      <c r="AF242" t="s">
        <v>91</v>
      </c>
      <c r="AI242">
        <v>6</v>
      </c>
      <c r="AJ242">
        <v>23</v>
      </c>
    </row>
    <row r="243" spans="1:36" x14ac:dyDescent="0.25">
      <c r="A243" t="s">
        <v>487</v>
      </c>
      <c r="B243">
        <v>241</v>
      </c>
      <c r="C243" t="s">
        <v>56</v>
      </c>
      <c r="D243">
        <v>1</v>
      </c>
      <c r="F243">
        <v>1</v>
      </c>
      <c r="G243" t="s">
        <v>57</v>
      </c>
      <c r="K243" t="s">
        <v>63</v>
      </c>
      <c r="L243">
        <v>1</v>
      </c>
      <c r="N243">
        <v>1</v>
      </c>
      <c r="O243" t="s">
        <v>72</v>
      </c>
      <c r="P243" t="s">
        <v>91</v>
      </c>
      <c r="S243" t="s">
        <v>45</v>
      </c>
      <c r="T243">
        <v>2</v>
      </c>
      <c r="V243">
        <v>1</v>
      </c>
      <c r="W243" t="s">
        <v>47</v>
      </c>
      <c r="AA243" t="s">
        <v>227</v>
      </c>
      <c r="AB243">
        <v>1</v>
      </c>
      <c r="AC243">
        <v>1</v>
      </c>
      <c r="AD243">
        <v>1</v>
      </c>
      <c r="AE243" t="s">
        <v>228</v>
      </c>
      <c r="AI243">
        <v>2</v>
      </c>
      <c r="AJ243">
        <v>22</v>
      </c>
    </row>
    <row r="244" spans="1:36" x14ac:dyDescent="0.25">
      <c r="A244" t="s">
        <v>488</v>
      </c>
      <c r="B244">
        <v>242</v>
      </c>
      <c r="C244" t="s">
        <v>38</v>
      </c>
      <c r="D244">
        <v>1</v>
      </c>
      <c r="E244">
        <v>1</v>
      </c>
      <c r="F244">
        <v>2</v>
      </c>
      <c r="G244" t="s">
        <v>152</v>
      </c>
      <c r="K244" t="s">
        <v>227</v>
      </c>
      <c r="L244">
        <v>3</v>
      </c>
      <c r="M244">
        <v>1</v>
      </c>
      <c r="N244">
        <v>1</v>
      </c>
      <c r="O244" t="s">
        <v>228</v>
      </c>
      <c r="P244" t="s">
        <v>231</v>
      </c>
      <c r="S244" t="s">
        <v>56</v>
      </c>
      <c r="T244">
        <v>1</v>
      </c>
      <c r="V244">
        <v>1</v>
      </c>
      <c r="W244" t="s">
        <v>57</v>
      </c>
      <c r="AA244" t="s">
        <v>63</v>
      </c>
      <c r="AB244">
        <v>1</v>
      </c>
      <c r="AD244">
        <v>1</v>
      </c>
      <c r="AE244" t="s">
        <v>72</v>
      </c>
      <c r="AF244" t="s">
        <v>95</v>
      </c>
      <c r="AG244" t="s">
        <v>104</v>
      </c>
      <c r="AI244">
        <v>6</v>
      </c>
      <c r="AJ244">
        <v>24</v>
      </c>
    </row>
    <row r="245" spans="1:36" x14ac:dyDescent="0.25">
      <c r="A245" t="s">
        <v>489</v>
      </c>
      <c r="B245">
        <v>243</v>
      </c>
      <c r="C245" t="s">
        <v>48</v>
      </c>
      <c r="D245">
        <v>2</v>
      </c>
      <c r="F245">
        <v>1</v>
      </c>
      <c r="G245" t="s">
        <v>49</v>
      </c>
      <c r="K245" t="s">
        <v>33</v>
      </c>
      <c r="L245">
        <v>1</v>
      </c>
      <c r="N245">
        <v>1</v>
      </c>
      <c r="O245" t="s">
        <v>46</v>
      </c>
      <c r="S245" t="s">
        <v>56</v>
      </c>
      <c r="T245">
        <v>1</v>
      </c>
      <c r="V245">
        <v>1</v>
      </c>
      <c r="W245" t="s">
        <v>57</v>
      </c>
      <c r="AA245" t="s">
        <v>38</v>
      </c>
      <c r="AB245">
        <v>1</v>
      </c>
      <c r="AC245">
        <v>1</v>
      </c>
      <c r="AD245">
        <v>1</v>
      </c>
      <c r="AE245" t="s">
        <v>67</v>
      </c>
      <c r="AI245">
        <v>1</v>
      </c>
      <c r="AJ245">
        <v>17</v>
      </c>
    </row>
    <row r="246" spans="1:36" x14ac:dyDescent="0.25">
      <c r="A246" t="s">
        <v>490</v>
      </c>
      <c r="B246">
        <v>244</v>
      </c>
      <c r="C246" t="s">
        <v>56</v>
      </c>
      <c r="D246">
        <v>1</v>
      </c>
      <c r="F246">
        <v>1</v>
      </c>
      <c r="G246" t="s">
        <v>57</v>
      </c>
      <c r="K246" t="s">
        <v>38</v>
      </c>
      <c r="L246">
        <v>1</v>
      </c>
      <c r="M246">
        <v>1</v>
      </c>
      <c r="N246">
        <v>2</v>
      </c>
      <c r="O246" t="s">
        <v>67</v>
      </c>
      <c r="S246" t="s">
        <v>48</v>
      </c>
      <c r="T246">
        <v>1</v>
      </c>
      <c r="V246">
        <v>1</v>
      </c>
      <c r="W246" t="s">
        <v>49</v>
      </c>
      <c r="AA246" t="s">
        <v>43</v>
      </c>
      <c r="AB246">
        <v>2</v>
      </c>
      <c r="AD246">
        <v>1</v>
      </c>
      <c r="AE246" t="s">
        <v>135</v>
      </c>
      <c r="AF246" t="s">
        <v>74</v>
      </c>
      <c r="AG246" t="s">
        <v>75</v>
      </c>
      <c r="AI246">
        <v>4</v>
      </c>
      <c r="AJ246">
        <v>21</v>
      </c>
    </row>
    <row r="247" spans="1:36" x14ac:dyDescent="0.25">
      <c r="A247" t="s">
        <v>491</v>
      </c>
      <c r="B247">
        <v>245</v>
      </c>
      <c r="C247" t="s">
        <v>56</v>
      </c>
      <c r="D247">
        <v>1</v>
      </c>
      <c r="F247">
        <v>2</v>
      </c>
      <c r="G247" t="s">
        <v>57</v>
      </c>
      <c r="H247" t="s">
        <v>122</v>
      </c>
      <c r="K247" t="s">
        <v>38</v>
      </c>
      <c r="L247">
        <v>1</v>
      </c>
      <c r="M247">
        <v>1</v>
      </c>
      <c r="N247">
        <v>2</v>
      </c>
      <c r="O247" t="s">
        <v>67</v>
      </c>
      <c r="S247" t="s">
        <v>48</v>
      </c>
      <c r="T247">
        <v>1</v>
      </c>
      <c r="V247">
        <v>2</v>
      </c>
      <c r="W247" t="s">
        <v>49</v>
      </c>
      <c r="X247" t="s">
        <v>84</v>
      </c>
      <c r="AA247" t="s">
        <v>45</v>
      </c>
      <c r="AB247">
        <v>2</v>
      </c>
      <c r="AD247">
        <v>1</v>
      </c>
      <c r="AE247" t="s">
        <v>47</v>
      </c>
      <c r="AI247">
        <v>6</v>
      </c>
      <c r="AJ247">
        <v>29</v>
      </c>
    </row>
    <row r="248" spans="1:36" x14ac:dyDescent="0.25">
      <c r="A248" t="s">
        <v>492</v>
      </c>
      <c r="B248">
        <v>246</v>
      </c>
      <c r="C248" t="s">
        <v>56</v>
      </c>
      <c r="D248">
        <v>3</v>
      </c>
      <c r="F248">
        <v>2</v>
      </c>
      <c r="G248" t="s">
        <v>57</v>
      </c>
      <c r="H248" t="s">
        <v>122</v>
      </c>
      <c r="I248" t="s">
        <v>85</v>
      </c>
      <c r="J248" t="s">
        <v>125</v>
      </c>
      <c r="K248" t="s">
        <v>38</v>
      </c>
      <c r="L248">
        <v>1</v>
      </c>
      <c r="M248">
        <v>2</v>
      </c>
      <c r="N248">
        <v>1</v>
      </c>
      <c r="O248" t="s">
        <v>152</v>
      </c>
      <c r="S248" t="s">
        <v>48</v>
      </c>
      <c r="T248">
        <v>2</v>
      </c>
      <c r="V248">
        <v>2</v>
      </c>
      <c r="W248" t="s">
        <v>49</v>
      </c>
      <c r="AA248" t="s">
        <v>63</v>
      </c>
      <c r="AB248">
        <v>2</v>
      </c>
      <c r="AD248">
        <v>2</v>
      </c>
      <c r="AE248" t="s">
        <v>72</v>
      </c>
      <c r="AF248" t="s">
        <v>95</v>
      </c>
      <c r="AI248">
        <v>12</v>
      </c>
      <c r="AJ248">
        <v>36</v>
      </c>
    </row>
    <row r="249" spans="1:36" x14ac:dyDescent="0.25">
      <c r="A249" t="s">
        <v>493</v>
      </c>
      <c r="B249">
        <v>247</v>
      </c>
      <c r="C249" t="s">
        <v>56</v>
      </c>
      <c r="D249">
        <v>3</v>
      </c>
      <c r="F249">
        <v>1</v>
      </c>
      <c r="G249" t="s">
        <v>57</v>
      </c>
      <c r="H249" t="s">
        <v>122</v>
      </c>
      <c r="K249" t="s">
        <v>38</v>
      </c>
      <c r="L249">
        <v>1</v>
      </c>
      <c r="M249">
        <v>1</v>
      </c>
      <c r="N249">
        <v>1</v>
      </c>
      <c r="O249" t="s">
        <v>152</v>
      </c>
      <c r="P249" t="s">
        <v>70</v>
      </c>
      <c r="S249" t="s">
        <v>48</v>
      </c>
      <c r="T249">
        <v>3</v>
      </c>
      <c r="V249">
        <v>2</v>
      </c>
      <c r="W249" t="s">
        <v>49</v>
      </c>
      <c r="X249" t="s">
        <v>71</v>
      </c>
      <c r="AA249" t="s">
        <v>227</v>
      </c>
      <c r="AB249">
        <v>1</v>
      </c>
      <c r="AC249">
        <v>1</v>
      </c>
      <c r="AD249">
        <v>1</v>
      </c>
      <c r="AE249" t="s">
        <v>228</v>
      </c>
      <c r="AI249">
        <v>8</v>
      </c>
      <c r="AJ249">
        <v>28</v>
      </c>
    </row>
    <row r="250" spans="1:36" x14ac:dyDescent="0.25">
      <c r="A250" t="s">
        <v>494</v>
      </c>
      <c r="B250">
        <v>248</v>
      </c>
      <c r="C250" t="s">
        <v>33</v>
      </c>
      <c r="D250">
        <v>2</v>
      </c>
      <c r="F250">
        <v>1</v>
      </c>
      <c r="G250" t="s">
        <v>46</v>
      </c>
      <c r="K250" t="s">
        <v>43</v>
      </c>
      <c r="L250">
        <v>1</v>
      </c>
      <c r="N250">
        <v>3</v>
      </c>
      <c r="O250" t="s">
        <v>135</v>
      </c>
      <c r="P250" t="s">
        <v>99</v>
      </c>
      <c r="S250" t="s">
        <v>56</v>
      </c>
      <c r="T250">
        <v>2</v>
      </c>
      <c r="V250">
        <v>3</v>
      </c>
      <c r="W250" t="s">
        <v>68</v>
      </c>
      <c r="X250" t="s">
        <v>69</v>
      </c>
      <c r="Y250" t="s">
        <v>123</v>
      </c>
      <c r="AA250" t="s">
        <v>38</v>
      </c>
      <c r="AB250">
        <v>1</v>
      </c>
      <c r="AC250">
        <v>1</v>
      </c>
      <c r="AD250">
        <v>1</v>
      </c>
      <c r="AE250" t="s">
        <v>67</v>
      </c>
      <c r="AI250">
        <v>9</v>
      </c>
      <c r="AJ250">
        <v>38</v>
      </c>
    </row>
    <row r="251" spans="1:36" x14ac:dyDescent="0.25">
      <c r="A251" t="s">
        <v>495</v>
      </c>
      <c r="B251">
        <v>249</v>
      </c>
      <c r="C251" t="s">
        <v>56</v>
      </c>
      <c r="D251">
        <v>1</v>
      </c>
      <c r="F251">
        <v>1</v>
      </c>
      <c r="G251" t="s">
        <v>68</v>
      </c>
      <c r="K251" t="s">
        <v>38</v>
      </c>
      <c r="L251">
        <v>2</v>
      </c>
      <c r="M251">
        <v>1</v>
      </c>
      <c r="N251">
        <v>2</v>
      </c>
      <c r="O251" t="s">
        <v>67</v>
      </c>
      <c r="P251" t="s">
        <v>70</v>
      </c>
      <c r="S251" t="s">
        <v>33</v>
      </c>
      <c r="T251">
        <v>1</v>
      </c>
      <c r="V251">
        <v>3</v>
      </c>
      <c r="W251" t="s">
        <v>46</v>
      </c>
      <c r="AA251" t="s">
        <v>45</v>
      </c>
      <c r="AB251">
        <v>2</v>
      </c>
      <c r="AD251">
        <v>1</v>
      </c>
      <c r="AE251" t="s">
        <v>47</v>
      </c>
      <c r="AI251">
        <v>6</v>
      </c>
      <c r="AJ251">
        <v>18</v>
      </c>
    </row>
    <row r="252" spans="1:36" x14ac:dyDescent="0.25">
      <c r="A252" t="s">
        <v>496</v>
      </c>
      <c r="B252">
        <v>250</v>
      </c>
      <c r="C252" t="s">
        <v>33</v>
      </c>
      <c r="D252">
        <v>1</v>
      </c>
      <c r="F252">
        <v>2</v>
      </c>
      <c r="G252" t="s">
        <v>46</v>
      </c>
      <c r="H252" t="s">
        <v>66</v>
      </c>
      <c r="K252" t="s">
        <v>63</v>
      </c>
      <c r="L252">
        <v>1</v>
      </c>
      <c r="N252">
        <v>1</v>
      </c>
      <c r="O252" t="s">
        <v>103</v>
      </c>
      <c r="P252" t="s">
        <v>91</v>
      </c>
      <c r="S252" t="s">
        <v>56</v>
      </c>
      <c r="T252">
        <v>1</v>
      </c>
      <c r="V252">
        <v>1</v>
      </c>
      <c r="W252" t="s">
        <v>57</v>
      </c>
      <c r="AA252" t="s">
        <v>38</v>
      </c>
      <c r="AB252">
        <v>1</v>
      </c>
      <c r="AC252">
        <v>2</v>
      </c>
      <c r="AD252">
        <v>1</v>
      </c>
      <c r="AE252" t="s">
        <v>152</v>
      </c>
      <c r="AI252">
        <v>4</v>
      </c>
      <c r="AJ252">
        <v>28</v>
      </c>
    </row>
    <row r="253" spans="1:36" x14ac:dyDescent="0.25">
      <c r="A253" t="s">
        <v>497</v>
      </c>
      <c r="B253">
        <v>251</v>
      </c>
      <c r="C253" t="s">
        <v>56</v>
      </c>
      <c r="D253">
        <v>3</v>
      </c>
      <c r="F253">
        <v>1</v>
      </c>
      <c r="G253" t="s">
        <v>57</v>
      </c>
      <c r="H253" t="s">
        <v>122</v>
      </c>
      <c r="I253" t="s">
        <v>85</v>
      </c>
      <c r="K253" t="s">
        <v>38</v>
      </c>
      <c r="L253">
        <v>1</v>
      </c>
      <c r="M253">
        <v>1</v>
      </c>
      <c r="N253">
        <v>1</v>
      </c>
      <c r="O253" t="s">
        <v>152</v>
      </c>
      <c r="P253" t="s">
        <v>70</v>
      </c>
      <c r="S253" t="s">
        <v>33</v>
      </c>
      <c r="T253">
        <v>2</v>
      </c>
      <c r="V253">
        <v>3</v>
      </c>
      <c r="W253" t="s">
        <v>46</v>
      </c>
      <c r="AA253" t="s">
        <v>227</v>
      </c>
      <c r="AB253">
        <v>1</v>
      </c>
      <c r="AC253">
        <v>1</v>
      </c>
      <c r="AD253">
        <v>1</v>
      </c>
      <c r="AE253" t="s">
        <v>228</v>
      </c>
      <c r="AI253">
        <v>8</v>
      </c>
      <c r="AJ253">
        <v>22</v>
      </c>
    </row>
    <row r="254" spans="1:36" x14ac:dyDescent="0.25">
      <c r="A254" t="s">
        <v>498</v>
      </c>
      <c r="B254">
        <v>252</v>
      </c>
      <c r="C254" t="s">
        <v>43</v>
      </c>
      <c r="D254">
        <v>1</v>
      </c>
      <c r="F254">
        <v>1</v>
      </c>
      <c r="G254" t="s">
        <v>135</v>
      </c>
      <c r="K254" t="s">
        <v>45</v>
      </c>
      <c r="L254">
        <v>2</v>
      </c>
      <c r="N254">
        <v>1</v>
      </c>
      <c r="O254" t="s">
        <v>47</v>
      </c>
      <c r="S254" t="s">
        <v>56</v>
      </c>
      <c r="T254">
        <v>1</v>
      </c>
      <c r="V254">
        <v>1</v>
      </c>
      <c r="W254" t="s">
        <v>68</v>
      </c>
      <c r="AA254" t="s">
        <v>38</v>
      </c>
      <c r="AB254">
        <v>1</v>
      </c>
      <c r="AC254">
        <v>1</v>
      </c>
      <c r="AD254">
        <v>1</v>
      </c>
      <c r="AE254" t="s">
        <v>67</v>
      </c>
      <c r="AI254">
        <v>1</v>
      </c>
      <c r="AJ254">
        <v>19</v>
      </c>
    </row>
    <row r="255" spans="1:36" x14ac:dyDescent="0.25">
      <c r="A255" t="s">
        <v>499</v>
      </c>
      <c r="B255">
        <v>253</v>
      </c>
      <c r="C255" t="s">
        <v>43</v>
      </c>
      <c r="D255">
        <v>1</v>
      </c>
      <c r="F255">
        <v>2</v>
      </c>
      <c r="G255" t="s">
        <v>135</v>
      </c>
      <c r="H255" t="s">
        <v>74</v>
      </c>
      <c r="K255" t="s">
        <v>63</v>
      </c>
      <c r="L255">
        <v>2</v>
      </c>
      <c r="N255">
        <v>1</v>
      </c>
      <c r="O255" t="s">
        <v>72</v>
      </c>
      <c r="P255" t="s">
        <v>91</v>
      </c>
      <c r="S255" t="s">
        <v>56</v>
      </c>
      <c r="T255">
        <v>1</v>
      </c>
      <c r="V255">
        <v>1</v>
      </c>
      <c r="W255" t="s">
        <v>57</v>
      </c>
      <c r="AA255" t="s">
        <v>38</v>
      </c>
      <c r="AB255">
        <v>1</v>
      </c>
      <c r="AC255">
        <v>2</v>
      </c>
      <c r="AD255">
        <v>3</v>
      </c>
      <c r="AE255" t="s">
        <v>152</v>
      </c>
      <c r="AF255" t="s">
        <v>70</v>
      </c>
      <c r="AI255">
        <v>8</v>
      </c>
      <c r="AJ255">
        <v>37</v>
      </c>
    </row>
    <row r="256" spans="1:36" x14ac:dyDescent="0.25">
      <c r="A256" t="s">
        <v>500</v>
      </c>
      <c r="B256">
        <v>254</v>
      </c>
      <c r="C256" t="s">
        <v>43</v>
      </c>
      <c r="D256">
        <v>1</v>
      </c>
      <c r="F256">
        <v>3</v>
      </c>
      <c r="G256" t="s">
        <v>135</v>
      </c>
      <c r="H256" t="s">
        <v>99</v>
      </c>
      <c r="K256" t="s">
        <v>227</v>
      </c>
      <c r="L256">
        <v>1</v>
      </c>
      <c r="M256">
        <v>1</v>
      </c>
      <c r="N256">
        <v>1</v>
      </c>
      <c r="O256" t="s">
        <v>228</v>
      </c>
      <c r="S256" t="s">
        <v>56</v>
      </c>
      <c r="T256">
        <v>1</v>
      </c>
      <c r="V256">
        <v>1</v>
      </c>
      <c r="W256" t="s">
        <v>57</v>
      </c>
      <c r="X256" t="s">
        <v>122</v>
      </c>
      <c r="AA256" t="s">
        <v>38</v>
      </c>
      <c r="AB256">
        <v>1</v>
      </c>
      <c r="AC256">
        <v>1</v>
      </c>
      <c r="AD256">
        <v>2</v>
      </c>
      <c r="AE256" t="s">
        <v>152</v>
      </c>
      <c r="AF256" t="s">
        <v>70</v>
      </c>
      <c r="AI256">
        <v>6</v>
      </c>
      <c r="AJ256">
        <v>30</v>
      </c>
    </row>
    <row r="257" spans="1:36" x14ac:dyDescent="0.25">
      <c r="A257" t="s">
        <v>501</v>
      </c>
      <c r="B257">
        <v>255</v>
      </c>
      <c r="C257" t="s">
        <v>56</v>
      </c>
      <c r="D257">
        <v>2</v>
      </c>
      <c r="F257">
        <v>1</v>
      </c>
      <c r="G257" t="s">
        <v>57</v>
      </c>
      <c r="H257" t="s">
        <v>122</v>
      </c>
      <c r="I257" t="s">
        <v>85</v>
      </c>
      <c r="K257" t="s">
        <v>38</v>
      </c>
      <c r="L257">
        <v>2</v>
      </c>
      <c r="M257">
        <v>1</v>
      </c>
      <c r="N257">
        <v>2</v>
      </c>
      <c r="O257" t="s">
        <v>152</v>
      </c>
      <c r="S257" t="s">
        <v>45</v>
      </c>
      <c r="T257">
        <v>2</v>
      </c>
      <c r="V257">
        <v>1</v>
      </c>
      <c r="W257" t="s">
        <v>47</v>
      </c>
      <c r="AA257" t="s">
        <v>63</v>
      </c>
      <c r="AB257">
        <v>1</v>
      </c>
      <c r="AD257">
        <v>1</v>
      </c>
      <c r="AE257" t="s">
        <v>103</v>
      </c>
      <c r="AF257" t="s">
        <v>91</v>
      </c>
      <c r="AI257">
        <v>7</v>
      </c>
      <c r="AJ257">
        <v>22</v>
      </c>
    </row>
    <row r="258" spans="1:36" x14ac:dyDescent="0.25">
      <c r="A258" t="s">
        <v>502</v>
      </c>
      <c r="B258">
        <v>256</v>
      </c>
      <c r="C258" t="s">
        <v>45</v>
      </c>
      <c r="D258">
        <v>3</v>
      </c>
      <c r="F258">
        <v>2</v>
      </c>
      <c r="G258" t="s">
        <v>47</v>
      </c>
      <c r="K258" t="s">
        <v>227</v>
      </c>
      <c r="L258">
        <v>1</v>
      </c>
      <c r="M258">
        <v>1</v>
      </c>
      <c r="N258">
        <v>1</v>
      </c>
      <c r="O258" t="s">
        <v>228</v>
      </c>
      <c r="S258" t="s">
        <v>56</v>
      </c>
      <c r="T258">
        <v>1</v>
      </c>
      <c r="V258">
        <v>2</v>
      </c>
      <c r="W258" t="s">
        <v>57</v>
      </c>
      <c r="AA258" t="s">
        <v>38</v>
      </c>
      <c r="AB258">
        <v>1</v>
      </c>
      <c r="AC258">
        <v>1</v>
      </c>
      <c r="AD258">
        <v>2</v>
      </c>
      <c r="AE258" t="s">
        <v>152</v>
      </c>
      <c r="AF258" t="s">
        <v>70</v>
      </c>
      <c r="AG258" t="s">
        <v>153</v>
      </c>
      <c r="AH258" t="s">
        <v>42</v>
      </c>
      <c r="AI258">
        <v>8</v>
      </c>
      <c r="AJ258">
        <v>31</v>
      </c>
    </row>
    <row r="259" spans="1:36" x14ac:dyDescent="0.25">
      <c r="A259" t="s">
        <v>503</v>
      </c>
      <c r="B259">
        <v>257</v>
      </c>
      <c r="C259" t="s">
        <v>56</v>
      </c>
      <c r="D259">
        <v>1</v>
      </c>
      <c r="F259">
        <v>1</v>
      </c>
      <c r="G259" t="s">
        <v>57</v>
      </c>
      <c r="K259" t="s">
        <v>38</v>
      </c>
      <c r="L259">
        <v>1</v>
      </c>
      <c r="M259">
        <v>1</v>
      </c>
      <c r="N259">
        <v>1</v>
      </c>
      <c r="O259" t="s">
        <v>152</v>
      </c>
      <c r="P259" t="s">
        <v>70</v>
      </c>
      <c r="S259" t="s">
        <v>63</v>
      </c>
      <c r="T259">
        <v>2</v>
      </c>
      <c r="V259">
        <v>1</v>
      </c>
      <c r="W259" t="s">
        <v>72</v>
      </c>
      <c r="AA259" t="s">
        <v>227</v>
      </c>
      <c r="AB259">
        <v>2</v>
      </c>
      <c r="AC259">
        <v>1</v>
      </c>
      <c r="AD259">
        <v>1</v>
      </c>
      <c r="AE259" t="s">
        <v>228</v>
      </c>
      <c r="AF259" t="s">
        <v>231</v>
      </c>
      <c r="AI259">
        <v>4</v>
      </c>
      <c r="AJ259">
        <v>37</v>
      </c>
    </row>
    <row r="260" spans="1:36" x14ac:dyDescent="0.25">
      <c r="A260" t="s">
        <v>504</v>
      </c>
      <c r="B260">
        <v>258</v>
      </c>
      <c r="C260" t="s">
        <v>48</v>
      </c>
      <c r="D260">
        <v>1</v>
      </c>
      <c r="F260">
        <v>1</v>
      </c>
      <c r="G260" t="s">
        <v>89</v>
      </c>
      <c r="H260" t="s">
        <v>71</v>
      </c>
      <c r="K260" t="s">
        <v>33</v>
      </c>
      <c r="L260">
        <v>2</v>
      </c>
      <c r="N260">
        <v>2</v>
      </c>
      <c r="O260" t="s">
        <v>46</v>
      </c>
      <c r="P260" t="s">
        <v>66</v>
      </c>
      <c r="Q260" t="s">
        <v>36</v>
      </c>
      <c r="S260" t="s">
        <v>56</v>
      </c>
      <c r="T260">
        <v>2</v>
      </c>
      <c r="V260">
        <v>1</v>
      </c>
      <c r="W260" t="s">
        <v>57</v>
      </c>
      <c r="X260" t="s">
        <v>122</v>
      </c>
      <c r="Y260" t="s">
        <v>85</v>
      </c>
      <c r="Z260" t="s">
        <v>125</v>
      </c>
      <c r="AA260" t="s">
        <v>227</v>
      </c>
      <c r="AB260">
        <v>1</v>
      </c>
      <c r="AC260">
        <v>1</v>
      </c>
      <c r="AD260">
        <v>1</v>
      </c>
      <c r="AE260" t="s">
        <v>228</v>
      </c>
      <c r="AI260">
        <v>9</v>
      </c>
      <c r="AJ260">
        <v>54</v>
      </c>
    </row>
    <row r="261" spans="1:36" x14ac:dyDescent="0.25">
      <c r="A261" t="s">
        <v>505</v>
      </c>
      <c r="B261">
        <v>259</v>
      </c>
      <c r="C261" t="s">
        <v>48</v>
      </c>
      <c r="D261">
        <v>1</v>
      </c>
      <c r="F261">
        <v>1</v>
      </c>
      <c r="G261" t="s">
        <v>49</v>
      </c>
      <c r="K261" t="s">
        <v>43</v>
      </c>
      <c r="L261">
        <v>2</v>
      </c>
      <c r="N261">
        <v>3</v>
      </c>
      <c r="O261" t="s">
        <v>73</v>
      </c>
      <c r="P261" t="s">
        <v>99</v>
      </c>
      <c r="Q261" t="s">
        <v>100</v>
      </c>
      <c r="R261" t="s">
        <v>101</v>
      </c>
      <c r="S261" t="s">
        <v>56</v>
      </c>
      <c r="T261">
        <v>1</v>
      </c>
      <c r="V261">
        <v>1</v>
      </c>
      <c r="W261" t="s">
        <v>68</v>
      </c>
      <c r="AA261" t="s">
        <v>227</v>
      </c>
      <c r="AB261">
        <v>3</v>
      </c>
      <c r="AC261">
        <v>1</v>
      </c>
      <c r="AD261">
        <v>2</v>
      </c>
      <c r="AE261" t="s">
        <v>228</v>
      </c>
      <c r="AF261" t="s">
        <v>231</v>
      </c>
      <c r="AI261">
        <v>10</v>
      </c>
      <c r="AJ261">
        <v>55</v>
      </c>
    </row>
    <row r="262" spans="1:36" x14ac:dyDescent="0.25">
      <c r="A262" t="s">
        <v>506</v>
      </c>
      <c r="B262">
        <v>260</v>
      </c>
      <c r="C262" t="s">
        <v>48</v>
      </c>
      <c r="D262">
        <v>1</v>
      </c>
      <c r="F262">
        <v>1</v>
      </c>
      <c r="G262" t="s">
        <v>89</v>
      </c>
      <c r="K262" t="s">
        <v>45</v>
      </c>
      <c r="L262">
        <v>2</v>
      </c>
      <c r="N262">
        <v>1</v>
      </c>
      <c r="O262" t="s">
        <v>47</v>
      </c>
      <c r="S262" t="s">
        <v>56</v>
      </c>
      <c r="T262">
        <v>1</v>
      </c>
      <c r="V262">
        <v>1</v>
      </c>
      <c r="W262" t="s">
        <v>57</v>
      </c>
      <c r="AA262" t="s">
        <v>227</v>
      </c>
      <c r="AB262">
        <v>2</v>
      </c>
      <c r="AC262">
        <v>1</v>
      </c>
      <c r="AD262">
        <v>1</v>
      </c>
      <c r="AE262" t="s">
        <v>228</v>
      </c>
      <c r="AI262">
        <v>2</v>
      </c>
      <c r="AJ262">
        <v>20</v>
      </c>
    </row>
    <row r="263" spans="1:36" x14ac:dyDescent="0.25">
      <c r="A263" t="s">
        <v>507</v>
      </c>
      <c r="B263">
        <v>261</v>
      </c>
      <c r="C263" t="s">
        <v>48</v>
      </c>
      <c r="D263">
        <v>2</v>
      </c>
      <c r="F263">
        <v>1</v>
      </c>
      <c r="G263" t="s">
        <v>89</v>
      </c>
      <c r="K263" t="s">
        <v>63</v>
      </c>
      <c r="L263">
        <v>1</v>
      </c>
      <c r="N263">
        <v>1</v>
      </c>
      <c r="O263" t="s">
        <v>103</v>
      </c>
      <c r="S263" t="s">
        <v>56</v>
      </c>
      <c r="T263">
        <v>1</v>
      </c>
      <c r="V263">
        <v>2</v>
      </c>
      <c r="W263" t="s">
        <v>57</v>
      </c>
      <c r="AA263" t="s">
        <v>227</v>
      </c>
      <c r="AB263">
        <v>2</v>
      </c>
      <c r="AC263">
        <v>1</v>
      </c>
      <c r="AD263">
        <v>1</v>
      </c>
      <c r="AE263" t="s">
        <v>228</v>
      </c>
      <c r="AI263">
        <v>3</v>
      </c>
      <c r="AJ263">
        <v>21</v>
      </c>
    </row>
    <row r="264" spans="1:36" x14ac:dyDescent="0.25">
      <c r="A264" t="s">
        <v>508</v>
      </c>
      <c r="B264">
        <v>262</v>
      </c>
      <c r="C264" t="s">
        <v>48</v>
      </c>
      <c r="D264">
        <v>2</v>
      </c>
      <c r="F264">
        <v>1</v>
      </c>
      <c r="G264" t="s">
        <v>89</v>
      </c>
      <c r="K264" t="s">
        <v>38</v>
      </c>
      <c r="L264">
        <v>1</v>
      </c>
      <c r="M264">
        <v>1</v>
      </c>
      <c r="N264">
        <v>3</v>
      </c>
      <c r="O264" t="s">
        <v>152</v>
      </c>
      <c r="P264" t="s">
        <v>70</v>
      </c>
      <c r="Q264" t="s">
        <v>154</v>
      </c>
      <c r="R264" t="s">
        <v>42</v>
      </c>
      <c r="S264" t="s">
        <v>56</v>
      </c>
      <c r="T264">
        <v>2</v>
      </c>
      <c r="V264">
        <v>1</v>
      </c>
      <c r="W264" t="s">
        <v>57</v>
      </c>
      <c r="X264" t="s">
        <v>122</v>
      </c>
      <c r="Y264" t="s">
        <v>85</v>
      </c>
      <c r="AA264" t="s">
        <v>227</v>
      </c>
      <c r="AB264">
        <v>1</v>
      </c>
      <c r="AC264">
        <v>1</v>
      </c>
      <c r="AD264">
        <v>1</v>
      </c>
      <c r="AE264" t="s">
        <v>228</v>
      </c>
      <c r="AI264">
        <v>9</v>
      </c>
      <c r="AJ264">
        <v>29</v>
      </c>
    </row>
    <row r="265" spans="1:36" x14ac:dyDescent="0.25">
      <c r="A265" t="s">
        <v>509</v>
      </c>
      <c r="B265">
        <v>263</v>
      </c>
      <c r="C265" t="s">
        <v>33</v>
      </c>
      <c r="D265">
        <v>2</v>
      </c>
      <c r="F265">
        <v>1</v>
      </c>
      <c r="G265" t="s">
        <v>46</v>
      </c>
      <c r="H265" t="s">
        <v>130</v>
      </c>
      <c r="I265" t="s">
        <v>36</v>
      </c>
      <c r="K265" t="s">
        <v>43</v>
      </c>
      <c r="L265">
        <v>1</v>
      </c>
      <c r="N265">
        <v>1</v>
      </c>
      <c r="O265" t="s">
        <v>73</v>
      </c>
      <c r="P265" t="s">
        <v>74</v>
      </c>
      <c r="Q265" t="s">
        <v>137</v>
      </c>
      <c r="S265" t="s">
        <v>56</v>
      </c>
      <c r="T265">
        <v>1</v>
      </c>
      <c r="V265">
        <v>1</v>
      </c>
      <c r="W265" t="s">
        <v>120</v>
      </c>
      <c r="AA265" t="s">
        <v>227</v>
      </c>
      <c r="AB265">
        <v>1</v>
      </c>
      <c r="AC265">
        <v>1</v>
      </c>
      <c r="AD265">
        <v>1</v>
      </c>
      <c r="AE265" t="s">
        <v>228</v>
      </c>
      <c r="AI265">
        <v>5</v>
      </c>
      <c r="AJ265">
        <v>20</v>
      </c>
    </row>
    <row r="266" spans="1:36" x14ac:dyDescent="0.25">
      <c r="A266" t="s">
        <v>510</v>
      </c>
      <c r="B266">
        <v>264</v>
      </c>
      <c r="C266" t="s">
        <v>56</v>
      </c>
      <c r="D266">
        <v>1</v>
      </c>
      <c r="F266">
        <v>2</v>
      </c>
      <c r="G266" t="s">
        <v>68</v>
      </c>
      <c r="K266" t="s">
        <v>227</v>
      </c>
      <c r="L266">
        <v>1</v>
      </c>
      <c r="M266">
        <v>1</v>
      </c>
      <c r="N266">
        <v>3</v>
      </c>
      <c r="O266" t="s">
        <v>228</v>
      </c>
      <c r="P266" t="s">
        <v>231</v>
      </c>
      <c r="Q266" t="s">
        <v>235</v>
      </c>
      <c r="S266" t="s">
        <v>33</v>
      </c>
      <c r="T266">
        <v>1</v>
      </c>
      <c r="V266">
        <v>2</v>
      </c>
      <c r="W266" t="s">
        <v>46</v>
      </c>
      <c r="AA266" t="s">
        <v>45</v>
      </c>
      <c r="AB266">
        <v>3</v>
      </c>
      <c r="AD266">
        <v>1</v>
      </c>
      <c r="AE266" t="s">
        <v>47</v>
      </c>
      <c r="AF266" t="s">
        <v>141</v>
      </c>
      <c r="AG266" t="s">
        <v>102</v>
      </c>
      <c r="AI266">
        <v>10</v>
      </c>
      <c r="AJ266">
        <v>30</v>
      </c>
    </row>
    <row r="267" spans="1:36" x14ac:dyDescent="0.25">
      <c r="A267" t="s">
        <v>511</v>
      </c>
      <c r="B267">
        <v>265</v>
      </c>
      <c r="C267" t="s">
        <v>33</v>
      </c>
      <c r="D267">
        <v>1</v>
      </c>
      <c r="F267">
        <v>2</v>
      </c>
      <c r="G267" t="s">
        <v>46</v>
      </c>
      <c r="K267" t="s">
        <v>63</v>
      </c>
      <c r="L267">
        <v>1</v>
      </c>
      <c r="N267">
        <v>1</v>
      </c>
      <c r="O267" t="s">
        <v>103</v>
      </c>
      <c r="P267" t="s">
        <v>91</v>
      </c>
      <c r="Q267" t="s">
        <v>104</v>
      </c>
      <c r="S267" t="s">
        <v>56</v>
      </c>
      <c r="T267">
        <v>2</v>
      </c>
      <c r="V267">
        <v>1</v>
      </c>
      <c r="W267" t="s">
        <v>57</v>
      </c>
      <c r="X267" t="s">
        <v>121</v>
      </c>
      <c r="Y267" t="s">
        <v>87</v>
      </c>
      <c r="Z267" t="s">
        <v>125</v>
      </c>
      <c r="AA267" t="s">
        <v>227</v>
      </c>
      <c r="AB267">
        <v>1</v>
      </c>
      <c r="AC267">
        <v>1</v>
      </c>
      <c r="AD267">
        <v>1</v>
      </c>
      <c r="AE267" t="s">
        <v>228</v>
      </c>
      <c r="AI267">
        <v>7</v>
      </c>
      <c r="AJ267">
        <v>69</v>
      </c>
    </row>
    <row r="268" spans="1:36" x14ac:dyDescent="0.25">
      <c r="A268" t="s">
        <v>512</v>
      </c>
      <c r="B268">
        <v>266</v>
      </c>
      <c r="C268" t="s">
        <v>33</v>
      </c>
      <c r="D268">
        <v>1</v>
      </c>
      <c r="F268">
        <v>2</v>
      </c>
      <c r="G268" t="s">
        <v>46</v>
      </c>
      <c r="K268" t="s">
        <v>38</v>
      </c>
      <c r="L268">
        <v>1</v>
      </c>
      <c r="M268">
        <v>1</v>
      </c>
      <c r="N268">
        <v>1</v>
      </c>
      <c r="O268" t="s">
        <v>152</v>
      </c>
      <c r="P268" t="s">
        <v>70</v>
      </c>
      <c r="S268" t="s">
        <v>56</v>
      </c>
      <c r="T268">
        <v>1</v>
      </c>
      <c r="V268">
        <v>1</v>
      </c>
      <c r="W268" t="s">
        <v>68</v>
      </c>
      <c r="AA268" t="s">
        <v>227</v>
      </c>
      <c r="AB268">
        <v>1</v>
      </c>
      <c r="AC268">
        <v>1</v>
      </c>
      <c r="AD268">
        <v>1</v>
      </c>
      <c r="AE268" t="s">
        <v>228</v>
      </c>
      <c r="AF268" t="s">
        <v>231</v>
      </c>
      <c r="AI268">
        <v>3</v>
      </c>
      <c r="AJ268">
        <v>20</v>
      </c>
    </row>
    <row r="269" spans="1:36" x14ac:dyDescent="0.25">
      <c r="A269" t="s">
        <v>513</v>
      </c>
      <c r="B269">
        <v>267</v>
      </c>
      <c r="C269" t="s">
        <v>56</v>
      </c>
      <c r="D269">
        <v>3</v>
      </c>
      <c r="F269">
        <v>2</v>
      </c>
      <c r="G269" t="s">
        <v>68</v>
      </c>
      <c r="H269" t="s">
        <v>122</v>
      </c>
      <c r="K269" t="s">
        <v>227</v>
      </c>
      <c r="L269">
        <v>1</v>
      </c>
      <c r="M269">
        <v>1</v>
      </c>
      <c r="N269">
        <v>1</v>
      </c>
      <c r="O269" t="s">
        <v>228</v>
      </c>
      <c r="S269" t="s">
        <v>43</v>
      </c>
      <c r="T269">
        <v>1</v>
      </c>
      <c r="V269">
        <v>1</v>
      </c>
      <c r="W269" t="s">
        <v>73</v>
      </c>
      <c r="X269" t="s">
        <v>74</v>
      </c>
      <c r="Y269" t="s">
        <v>100</v>
      </c>
      <c r="Z269" t="s">
        <v>138</v>
      </c>
      <c r="AA269" t="s">
        <v>45</v>
      </c>
      <c r="AB269">
        <v>1</v>
      </c>
      <c r="AD269">
        <v>1</v>
      </c>
      <c r="AE269" t="s">
        <v>47</v>
      </c>
      <c r="AF269" t="s">
        <v>141</v>
      </c>
      <c r="AI269">
        <v>8</v>
      </c>
      <c r="AJ269">
        <v>46</v>
      </c>
    </row>
    <row r="270" spans="1:36" x14ac:dyDescent="0.25">
      <c r="A270" t="s">
        <v>514</v>
      </c>
      <c r="B270">
        <v>268</v>
      </c>
      <c r="C270" t="s">
        <v>43</v>
      </c>
      <c r="D270">
        <v>2</v>
      </c>
      <c r="F270">
        <v>2</v>
      </c>
      <c r="G270" t="s">
        <v>73</v>
      </c>
      <c r="H270" t="s">
        <v>99</v>
      </c>
      <c r="I270" t="s">
        <v>100</v>
      </c>
      <c r="J270" t="s">
        <v>139</v>
      </c>
      <c r="K270" t="s">
        <v>63</v>
      </c>
      <c r="L270">
        <v>2</v>
      </c>
      <c r="N270">
        <v>1</v>
      </c>
      <c r="O270" t="s">
        <v>103</v>
      </c>
      <c r="S270" t="s">
        <v>56</v>
      </c>
      <c r="T270">
        <v>3</v>
      </c>
      <c r="V270">
        <v>2</v>
      </c>
      <c r="W270" t="s">
        <v>57</v>
      </c>
      <c r="X270" t="s">
        <v>122</v>
      </c>
      <c r="AA270" t="s">
        <v>227</v>
      </c>
      <c r="AB270">
        <v>1</v>
      </c>
      <c r="AC270">
        <v>1</v>
      </c>
      <c r="AD270">
        <v>1</v>
      </c>
      <c r="AE270" t="s">
        <v>228</v>
      </c>
      <c r="AI270">
        <v>10</v>
      </c>
      <c r="AJ270">
        <v>36</v>
      </c>
    </row>
    <row r="271" spans="1:36" x14ac:dyDescent="0.25">
      <c r="A271" t="s">
        <v>515</v>
      </c>
      <c r="B271">
        <v>269</v>
      </c>
      <c r="C271" t="s">
        <v>56</v>
      </c>
      <c r="D271">
        <v>1</v>
      </c>
      <c r="F271">
        <v>1</v>
      </c>
      <c r="G271" t="s">
        <v>68</v>
      </c>
      <c r="H271" t="s">
        <v>122</v>
      </c>
      <c r="K271" t="s">
        <v>227</v>
      </c>
      <c r="L271">
        <v>2</v>
      </c>
      <c r="M271">
        <v>1</v>
      </c>
      <c r="N271">
        <v>1</v>
      </c>
      <c r="O271" t="s">
        <v>228</v>
      </c>
      <c r="S271" t="s">
        <v>43</v>
      </c>
      <c r="T271">
        <v>1</v>
      </c>
      <c r="V271">
        <v>1</v>
      </c>
      <c r="W271" t="s">
        <v>73</v>
      </c>
      <c r="X271" t="s">
        <v>136</v>
      </c>
      <c r="Y271" t="s">
        <v>75</v>
      </c>
      <c r="AA271" t="s">
        <v>38</v>
      </c>
      <c r="AB271">
        <v>1</v>
      </c>
      <c r="AC271">
        <v>1</v>
      </c>
      <c r="AD271">
        <v>1</v>
      </c>
      <c r="AE271" t="s">
        <v>152</v>
      </c>
      <c r="AI271">
        <v>4</v>
      </c>
      <c r="AJ271">
        <v>24</v>
      </c>
    </row>
    <row r="272" spans="1:36" x14ac:dyDescent="0.25">
      <c r="A272" t="s">
        <v>516</v>
      </c>
      <c r="B272">
        <v>270</v>
      </c>
      <c r="C272" t="s">
        <v>45</v>
      </c>
      <c r="D272">
        <v>1</v>
      </c>
      <c r="F272">
        <v>1</v>
      </c>
      <c r="G272" t="s">
        <v>47</v>
      </c>
      <c r="K272" t="s">
        <v>63</v>
      </c>
      <c r="L272">
        <v>1</v>
      </c>
      <c r="N272">
        <v>1</v>
      </c>
      <c r="O272" t="s">
        <v>103</v>
      </c>
      <c r="P272" t="s">
        <v>95</v>
      </c>
      <c r="S272" t="s">
        <v>56</v>
      </c>
      <c r="T272">
        <v>1</v>
      </c>
      <c r="V272">
        <v>1</v>
      </c>
      <c r="W272" t="s">
        <v>57</v>
      </c>
      <c r="AA272" t="s">
        <v>227</v>
      </c>
      <c r="AB272">
        <v>1</v>
      </c>
      <c r="AC272">
        <v>1</v>
      </c>
      <c r="AD272">
        <v>1</v>
      </c>
      <c r="AE272" t="s">
        <v>228</v>
      </c>
      <c r="AF272" t="s">
        <v>231</v>
      </c>
      <c r="AI272">
        <v>2</v>
      </c>
      <c r="AJ272">
        <v>21</v>
      </c>
    </row>
    <row r="273" spans="1:36" x14ac:dyDescent="0.25">
      <c r="A273" t="s">
        <v>517</v>
      </c>
      <c r="B273">
        <v>271</v>
      </c>
      <c r="C273" t="s">
        <v>56</v>
      </c>
      <c r="D273">
        <v>1</v>
      </c>
      <c r="F273">
        <v>2</v>
      </c>
      <c r="G273" t="s">
        <v>68</v>
      </c>
      <c r="K273" t="s">
        <v>227</v>
      </c>
      <c r="L273">
        <v>1</v>
      </c>
      <c r="M273">
        <v>1</v>
      </c>
      <c r="N273">
        <v>1</v>
      </c>
      <c r="O273" t="s">
        <v>228</v>
      </c>
      <c r="S273" t="s">
        <v>45</v>
      </c>
      <c r="T273">
        <v>2</v>
      </c>
      <c r="V273">
        <v>1</v>
      </c>
      <c r="W273" t="s">
        <v>47</v>
      </c>
      <c r="AA273" t="s">
        <v>38</v>
      </c>
      <c r="AB273">
        <v>1</v>
      </c>
      <c r="AC273">
        <v>1</v>
      </c>
      <c r="AD273">
        <v>1</v>
      </c>
      <c r="AE273" t="s">
        <v>152</v>
      </c>
      <c r="AF273" t="s">
        <v>70</v>
      </c>
      <c r="AG273" t="s">
        <v>41</v>
      </c>
      <c r="AI273">
        <v>4</v>
      </c>
      <c r="AJ273">
        <v>21</v>
      </c>
    </row>
    <row r="274" spans="1:36" x14ac:dyDescent="0.25">
      <c r="A274" t="s">
        <v>518</v>
      </c>
      <c r="B274">
        <v>272</v>
      </c>
      <c r="C274" t="s">
        <v>63</v>
      </c>
      <c r="D274">
        <v>1</v>
      </c>
      <c r="F274">
        <v>1</v>
      </c>
      <c r="G274" t="s">
        <v>103</v>
      </c>
      <c r="H274" t="s">
        <v>91</v>
      </c>
      <c r="K274" t="s">
        <v>38</v>
      </c>
      <c r="L274">
        <v>1</v>
      </c>
      <c r="M274">
        <v>1</v>
      </c>
      <c r="N274">
        <v>2</v>
      </c>
      <c r="O274" t="s">
        <v>152</v>
      </c>
      <c r="P274" t="s">
        <v>70</v>
      </c>
      <c r="Q274" t="s">
        <v>41</v>
      </c>
      <c r="S274" t="s">
        <v>56</v>
      </c>
      <c r="T274">
        <v>1</v>
      </c>
      <c r="V274">
        <v>1</v>
      </c>
      <c r="W274" t="s">
        <v>57</v>
      </c>
      <c r="AA274" t="s">
        <v>227</v>
      </c>
      <c r="AB274">
        <v>1</v>
      </c>
      <c r="AC274">
        <v>1</v>
      </c>
      <c r="AD274">
        <v>1</v>
      </c>
      <c r="AE274" t="s">
        <v>228</v>
      </c>
      <c r="AI274">
        <v>4</v>
      </c>
      <c r="AJ274">
        <v>30</v>
      </c>
    </row>
    <row r="275" spans="1:36" x14ac:dyDescent="0.25">
      <c r="A275" t="s">
        <v>519</v>
      </c>
      <c r="B275">
        <v>273</v>
      </c>
      <c r="C275" t="s">
        <v>43</v>
      </c>
      <c r="D275">
        <v>1</v>
      </c>
      <c r="F275">
        <v>3</v>
      </c>
      <c r="G275" t="s">
        <v>135</v>
      </c>
      <c r="H275" t="s">
        <v>136</v>
      </c>
      <c r="K275" t="s">
        <v>45</v>
      </c>
      <c r="L275">
        <v>3</v>
      </c>
      <c r="N275">
        <v>1</v>
      </c>
      <c r="O275" t="s">
        <v>47</v>
      </c>
      <c r="S275" t="s">
        <v>48</v>
      </c>
      <c r="T275">
        <v>3</v>
      </c>
      <c r="V275">
        <v>1</v>
      </c>
      <c r="W275" t="s">
        <v>89</v>
      </c>
      <c r="AA275" t="s">
        <v>33</v>
      </c>
      <c r="AB275">
        <v>2</v>
      </c>
      <c r="AD275">
        <v>3</v>
      </c>
      <c r="AE275" t="s">
        <v>46</v>
      </c>
      <c r="AI275">
        <v>10</v>
      </c>
      <c r="AJ275">
        <v>27</v>
      </c>
    </row>
    <row r="276" spans="1:36" x14ac:dyDescent="0.25">
      <c r="A276" t="s">
        <v>520</v>
      </c>
      <c r="B276">
        <v>274</v>
      </c>
      <c r="C276" t="s">
        <v>48</v>
      </c>
      <c r="D276">
        <v>1</v>
      </c>
      <c r="F276">
        <v>1</v>
      </c>
      <c r="G276" t="s">
        <v>49</v>
      </c>
      <c r="K276" t="s">
        <v>33</v>
      </c>
      <c r="L276">
        <v>3</v>
      </c>
      <c r="N276">
        <v>3</v>
      </c>
      <c r="O276" t="s">
        <v>46</v>
      </c>
      <c r="P276" t="s">
        <v>66</v>
      </c>
      <c r="Q276" t="s">
        <v>131</v>
      </c>
      <c r="S276" t="s">
        <v>43</v>
      </c>
      <c r="T276">
        <v>3</v>
      </c>
      <c r="V276">
        <v>1</v>
      </c>
      <c r="W276" t="s">
        <v>135</v>
      </c>
      <c r="X276" t="s">
        <v>136</v>
      </c>
      <c r="Y276" t="s">
        <v>137</v>
      </c>
      <c r="AA276" t="s">
        <v>63</v>
      </c>
      <c r="AB276">
        <v>1</v>
      </c>
      <c r="AD276">
        <v>1</v>
      </c>
      <c r="AE276" t="s">
        <v>72</v>
      </c>
      <c r="AI276">
        <v>10</v>
      </c>
      <c r="AJ276">
        <v>26</v>
      </c>
    </row>
    <row r="277" spans="1:36" x14ac:dyDescent="0.25">
      <c r="A277" t="s">
        <v>521</v>
      </c>
      <c r="B277">
        <v>275</v>
      </c>
      <c r="C277" t="s">
        <v>43</v>
      </c>
      <c r="D277">
        <v>2</v>
      </c>
      <c r="F277">
        <v>1</v>
      </c>
      <c r="G277" t="s">
        <v>135</v>
      </c>
      <c r="H277" t="s">
        <v>136</v>
      </c>
      <c r="K277" t="s">
        <v>38</v>
      </c>
      <c r="L277">
        <v>1</v>
      </c>
      <c r="M277">
        <v>1</v>
      </c>
      <c r="N277">
        <v>2</v>
      </c>
      <c r="O277" t="s">
        <v>67</v>
      </c>
      <c r="S277" t="s">
        <v>48</v>
      </c>
      <c r="T277">
        <v>2</v>
      </c>
      <c r="V277">
        <v>1</v>
      </c>
      <c r="W277" t="s">
        <v>89</v>
      </c>
      <c r="AA277" t="s">
        <v>33</v>
      </c>
      <c r="AB277">
        <v>1</v>
      </c>
      <c r="AD277">
        <v>1</v>
      </c>
      <c r="AE277" t="s">
        <v>46</v>
      </c>
      <c r="AI277">
        <v>4</v>
      </c>
      <c r="AJ277">
        <v>23</v>
      </c>
    </row>
    <row r="278" spans="1:36" x14ac:dyDescent="0.25">
      <c r="A278" t="s">
        <v>522</v>
      </c>
      <c r="B278">
        <v>276</v>
      </c>
      <c r="C278" t="s">
        <v>43</v>
      </c>
      <c r="D278">
        <v>3</v>
      </c>
      <c r="F278">
        <v>2</v>
      </c>
      <c r="G278" t="s">
        <v>135</v>
      </c>
      <c r="H278" t="s">
        <v>136</v>
      </c>
      <c r="K278" t="s">
        <v>227</v>
      </c>
      <c r="L278">
        <v>2</v>
      </c>
      <c r="M278">
        <v>1</v>
      </c>
      <c r="N278">
        <v>1</v>
      </c>
      <c r="O278" t="s">
        <v>228</v>
      </c>
      <c r="S278" t="s">
        <v>48</v>
      </c>
      <c r="T278">
        <v>1</v>
      </c>
      <c r="V278">
        <v>1</v>
      </c>
      <c r="W278" t="s">
        <v>89</v>
      </c>
      <c r="AA278" t="s">
        <v>33</v>
      </c>
      <c r="AB278">
        <v>3</v>
      </c>
      <c r="AD278">
        <v>3</v>
      </c>
      <c r="AE278" t="s">
        <v>46</v>
      </c>
      <c r="AI278">
        <v>9</v>
      </c>
      <c r="AJ278">
        <v>23</v>
      </c>
    </row>
    <row r="279" spans="1:36" x14ac:dyDescent="0.25">
      <c r="A279" t="s">
        <v>523</v>
      </c>
      <c r="B279">
        <v>277</v>
      </c>
      <c r="C279" t="s">
        <v>48</v>
      </c>
      <c r="D279">
        <v>2</v>
      </c>
      <c r="F279">
        <v>1</v>
      </c>
      <c r="G279" t="s">
        <v>49</v>
      </c>
      <c r="H279" t="s">
        <v>71</v>
      </c>
      <c r="K279" t="s">
        <v>33</v>
      </c>
      <c r="L279">
        <v>2</v>
      </c>
      <c r="N279">
        <v>3</v>
      </c>
      <c r="O279" t="s">
        <v>46</v>
      </c>
      <c r="S279" t="s">
        <v>45</v>
      </c>
      <c r="T279">
        <v>3</v>
      </c>
      <c r="V279">
        <v>1</v>
      </c>
      <c r="W279" t="s">
        <v>47</v>
      </c>
      <c r="AA279" t="s">
        <v>63</v>
      </c>
      <c r="AB279">
        <v>1</v>
      </c>
      <c r="AD279">
        <v>1</v>
      </c>
      <c r="AE279" t="s">
        <v>72</v>
      </c>
      <c r="AI279">
        <v>7</v>
      </c>
      <c r="AJ279">
        <v>25</v>
      </c>
    </row>
    <row r="280" spans="1:36" x14ac:dyDescent="0.25">
      <c r="A280" t="s">
        <v>524</v>
      </c>
      <c r="B280">
        <v>278</v>
      </c>
      <c r="C280" t="s">
        <v>45</v>
      </c>
      <c r="D280">
        <v>2</v>
      </c>
      <c r="F280">
        <v>1</v>
      </c>
      <c r="G280" t="s">
        <v>47</v>
      </c>
      <c r="K280" t="s">
        <v>38</v>
      </c>
      <c r="L280">
        <v>1</v>
      </c>
      <c r="M280">
        <v>1</v>
      </c>
      <c r="N280">
        <v>3</v>
      </c>
      <c r="O280" t="s">
        <v>152</v>
      </c>
      <c r="P280" t="s">
        <v>70</v>
      </c>
      <c r="S280" t="s">
        <v>48</v>
      </c>
      <c r="T280">
        <v>1</v>
      </c>
      <c r="V280">
        <v>2</v>
      </c>
      <c r="W280" t="s">
        <v>89</v>
      </c>
      <c r="AA280" t="s">
        <v>33</v>
      </c>
      <c r="AB280">
        <v>1</v>
      </c>
      <c r="AD280">
        <v>1</v>
      </c>
      <c r="AE280" t="s">
        <v>46</v>
      </c>
      <c r="AI280">
        <v>5</v>
      </c>
      <c r="AJ280">
        <v>24</v>
      </c>
    </row>
    <row r="281" spans="1:36" x14ac:dyDescent="0.25">
      <c r="A281" t="s">
        <v>525</v>
      </c>
      <c r="B281">
        <v>279</v>
      </c>
      <c r="C281" t="s">
        <v>45</v>
      </c>
      <c r="D281">
        <v>3</v>
      </c>
      <c r="F281">
        <v>1</v>
      </c>
      <c r="G281" t="s">
        <v>86</v>
      </c>
      <c r="K281" t="s">
        <v>227</v>
      </c>
      <c r="L281">
        <v>1</v>
      </c>
      <c r="M281">
        <v>1</v>
      </c>
      <c r="N281">
        <v>1</v>
      </c>
      <c r="O281" t="s">
        <v>228</v>
      </c>
      <c r="S281" t="s">
        <v>48</v>
      </c>
      <c r="T281">
        <v>1</v>
      </c>
      <c r="V281">
        <v>1</v>
      </c>
      <c r="W281" t="s">
        <v>89</v>
      </c>
      <c r="AA281" t="s">
        <v>33</v>
      </c>
      <c r="AB281">
        <v>3</v>
      </c>
      <c r="AD281">
        <v>3</v>
      </c>
      <c r="AE281" t="s">
        <v>46</v>
      </c>
      <c r="AI281">
        <v>6</v>
      </c>
      <c r="AJ281">
        <v>25</v>
      </c>
    </row>
    <row r="282" spans="1:36" x14ac:dyDescent="0.25">
      <c r="A282" s="39" t="s">
        <v>526</v>
      </c>
      <c r="B282">
        <v>280</v>
      </c>
      <c r="C282" t="s">
        <v>48</v>
      </c>
      <c r="D282">
        <v>1</v>
      </c>
      <c r="F282">
        <v>1</v>
      </c>
      <c r="G282" t="s">
        <v>49</v>
      </c>
      <c r="K282" t="s">
        <v>33</v>
      </c>
      <c r="L282">
        <v>1</v>
      </c>
      <c r="N282">
        <v>3</v>
      </c>
      <c r="O282" t="s">
        <v>46</v>
      </c>
      <c r="S282" t="s">
        <v>63</v>
      </c>
      <c r="T282">
        <v>2</v>
      </c>
      <c r="V282">
        <v>1</v>
      </c>
      <c r="W282" t="s">
        <v>72</v>
      </c>
      <c r="X282" t="s">
        <v>91</v>
      </c>
      <c r="AA282" t="s">
        <v>38</v>
      </c>
      <c r="AB282">
        <v>1</v>
      </c>
      <c r="AC282">
        <v>2</v>
      </c>
      <c r="AD282">
        <v>1</v>
      </c>
      <c r="AE282" t="s">
        <v>152</v>
      </c>
      <c r="AI282">
        <v>5</v>
      </c>
      <c r="AJ282">
        <v>24</v>
      </c>
    </row>
    <row r="283" spans="1:36" x14ac:dyDescent="0.25">
      <c r="A283" t="s">
        <v>527</v>
      </c>
      <c r="B283">
        <v>281</v>
      </c>
      <c r="C283" t="s">
        <v>48</v>
      </c>
      <c r="D283">
        <v>2</v>
      </c>
      <c r="F283">
        <v>1</v>
      </c>
      <c r="G283" t="s">
        <v>49</v>
      </c>
      <c r="K283" t="s">
        <v>33</v>
      </c>
      <c r="L283">
        <v>1</v>
      </c>
      <c r="N283">
        <v>2</v>
      </c>
      <c r="O283" t="s">
        <v>46</v>
      </c>
      <c r="S283" t="s">
        <v>63</v>
      </c>
      <c r="T283">
        <v>1</v>
      </c>
      <c r="V283">
        <v>1</v>
      </c>
      <c r="W283" t="s">
        <v>72</v>
      </c>
      <c r="AA283" t="s">
        <v>227</v>
      </c>
      <c r="AB283">
        <v>2</v>
      </c>
      <c r="AC283">
        <v>1</v>
      </c>
      <c r="AD283">
        <v>1</v>
      </c>
      <c r="AE283" t="s">
        <v>228</v>
      </c>
      <c r="AI283">
        <v>3</v>
      </c>
      <c r="AJ283">
        <v>18</v>
      </c>
    </row>
    <row r="284" spans="1:36" x14ac:dyDescent="0.25">
      <c r="A284" t="s">
        <v>528</v>
      </c>
      <c r="B284">
        <v>282</v>
      </c>
      <c r="C284" t="s">
        <v>38</v>
      </c>
      <c r="D284">
        <v>2</v>
      </c>
      <c r="E284">
        <v>1</v>
      </c>
      <c r="F284">
        <v>2</v>
      </c>
      <c r="G284" t="s">
        <v>152</v>
      </c>
      <c r="H284" t="s">
        <v>70</v>
      </c>
      <c r="K284" t="s">
        <v>227</v>
      </c>
      <c r="L284">
        <v>2</v>
      </c>
      <c r="M284">
        <v>1</v>
      </c>
      <c r="N284">
        <v>1</v>
      </c>
      <c r="O284" t="s">
        <v>228</v>
      </c>
      <c r="S284" t="s">
        <v>48</v>
      </c>
      <c r="T284">
        <v>3</v>
      </c>
      <c r="V284">
        <v>1</v>
      </c>
      <c r="W284" t="s">
        <v>89</v>
      </c>
      <c r="AA284" t="s">
        <v>33</v>
      </c>
      <c r="AB284">
        <v>1</v>
      </c>
      <c r="AD284">
        <v>2</v>
      </c>
      <c r="AE284" t="s">
        <v>46</v>
      </c>
      <c r="AI284">
        <v>7</v>
      </c>
      <c r="AJ284">
        <v>29</v>
      </c>
    </row>
    <row r="285" spans="1:36" x14ac:dyDescent="0.25">
      <c r="A285" t="s">
        <v>529</v>
      </c>
      <c r="B285">
        <v>283</v>
      </c>
      <c r="C285" t="s">
        <v>33</v>
      </c>
      <c r="D285">
        <v>1</v>
      </c>
      <c r="F285">
        <v>2</v>
      </c>
      <c r="G285" t="s">
        <v>46</v>
      </c>
      <c r="K285" t="s">
        <v>45</v>
      </c>
      <c r="L285">
        <v>3</v>
      </c>
      <c r="N285">
        <v>1</v>
      </c>
      <c r="O285" t="s">
        <v>47</v>
      </c>
      <c r="S285" t="s">
        <v>48</v>
      </c>
      <c r="T285">
        <v>1</v>
      </c>
      <c r="V285">
        <v>1</v>
      </c>
      <c r="W285" t="s">
        <v>89</v>
      </c>
      <c r="AA285" t="s">
        <v>43</v>
      </c>
      <c r="AB285">
        <v>2</v>
      </c>
      <c r="AD285">
        <v>1</v>
      </c>
      <c r="AE285" t="s">
        <v>135</v>
      </c>
      <c r="AF285" t="s">
        <v>136</v>
      </c>
      <c r="AI285">
        <v>5</v>
      </c>
      <c r="AJ285">
        <v>18</v>
      </c>
    </row>
    <row r="286" spans="1:36" x14ac:dyDescent="0.25">
      <c r="A286" t="s">
        <v>530</v>
      </c>
      <c r="B286">
        <v>284</v>
      </c>
      <c r="C286" t="s">
        <v>48</v>
      </c>
      <c r="D286">
        <v>1</v>
      </c>
      <c r="F286">
        <v>1</v>
      </c>
      <c r="G286" t="s">
        <v>49</v>
      </c>
      <c r="K286" t="s">
        <v>43</v>
      </c>
      <c r="L286">
        <v>3</v>
      </c>
      <c r="N286">
        <v>2</v>
      </c>
      <c r="O286" t="s">
        <v>135</v>
      </c>
      <c r="P286" t="s">
        <v>99</v>
      </c>
      <c r="Q286" t="s">
        <v>75</v>
      </c>
      <c r="R286" t="s">
        <v>101</v>
      </c>
      <c r="S286" t="s">
        <v>33</v>
      </c>
      <c r="T286">
        <v>3</v>
      </c>
      <c r="V286">
        <v>1</v>
      </c>
      <c r="W286" t="s">
        <v>46</v>
      </c>
      <c r="AA286" t="s">
        <v>63</v>
      </c>
      <c r="AB286">
        <v>1</v>
      </c>
      <c r="AD286">
        <v>1</v>
      </c>
      <c r="AE286" t="s">
        <v>72</v>
      </c>
      <c r="AI286">
        <v>8</v>
      </c>
      <c r="AJ286">
        <v>34</v>
      </c>
    </row>
    <row r="287" spans="1:36" x14ac:dyDescent="0.25">
      <c r="A287" t="s">
        <v>531</v>
      </c>
      <c r="B287">
        <v>285</v>
      </c>
      <c r="C287" t="s">
        <v>33</v>
      </c>
      <c r="D287">
        <v>2</v>
      </c>
      <c r="F287">
        <v>1</v>
      </c>
      <c r="G287" t="s">
        <v>46</v>
      </c>
      <c r="K287" t="s">
        <v>38</v>
      </c>
      <c r="L287">
        <v>1</v>
      </c>
      <c r="M287">
        <v>1</v>
      </c>
      <c r="N287">
        <v>1</v>
      </c>
      <c r="O287" t="s">
        <v>152</v>
      </c>
      <c r="P287" t="s">
        <v>70</v>
      </c>
      <c r="S287" t="s">
        <v>48</v>
      </c>
      <c r="T287">
        <v>1</v>
      </c>
      <c r="V287">
        <v>1</v>
      </c>
      <c r="W287" t="s">
        <v>49</v>
      </c>
      <c r="AA287" t="s">
        <v>43</v>
      </c>
      <c r="AB287">
        <v>1</v>
      </c>
      <c r="AD287">
        <v>1</v>
      </c>
      <c r="AE287" t="s">
        <v>135</v>
      </c>
      <c r="AF287" t="s">
        <v>136</v>
      </c>
      <c r="AI287">
        <v>3</v>
      </c>
      <c r="AJ287">
        <v>25</v>
      </c>
    </row>
    <row r="288" spans="1:36" x14ac:dyDescent="0.25">
      <c r="A288" t="s">
        <v>532</v>
      </c>
      <c r="B288">
        <v>286</v>
      </c>
      <c r="C288" t="s">
        <v>33</v>
      </c>
      <c r="D288">
        <v>2</v>
      </c>
      <c r="F288">
        <v>2</v>
      </c>
      <c r="G288" t="s">
        <v>46</v>
      </c>
      <c r="K288" t="s">
        <v>227</v>
      </c>
      <c r="L288">
        <v>1</v>
      </c>
      <c r="M288">
        <v>1</v>
      </c>
      <c r="N288">
        <v>1</v>
      </c>
      <c r="O288" t="s">
        <v>228</v>
      </c>
      <c r="S288" t="s">
        <v>48</v>
      </c>
      <c r="T288">
        <v>3</v>
      </c>
      <c r="V288">
        <v>1</v>
      </c>
      <c r="W288" t="s">
        <v>89</v>
      </c>
      <c r="AA288" t="s">
        <v>43</v>
      </c>
      <c r="AB288">
        <v>1</v>
      </c>
      <c r="AD288">
        <v>1</v>
      </c>
      <c r="AE288" t="s">
        <v>73</v>
      </c>
      <c r="AF288" t="s">
        <v>136</v>
      </c>
      <c r="AI288">
        <v>5</v>
      </c>
      <c r="AJ288">
        <v>19</v>
      </c>
    </row>
    <row r="289" spans="1:36" x14ac:dyDescent="0.25">
      <c r="A289" t="s">
        <v>533</v>
      </c>
      <c r="B289">
        <v>287</v>
      </c>
      <c r="C289" t="s">
        <v>48</v>
      </c>
      <c r="D289">
        <v>1</v>
      </c>
      <c r="F289">
        <v>1</v>
      </c>
      <c r="G289" t="s">
        <v>49</v>
      </c>
      <c r="K289" t="s">
        <v>43</v>
      </c>
      <c r="L289">
        <v>2</v>
      </c>
      <c r="N289">
        <v>3</v>
      </c>
      <c r="O289" t="s">
        <v>135</v>
      </c>
      <c r="P289" t="s">
        <v>74</v>
      </c>
      <c r="Q289" t="s">
        <v>100</v>
      </c>
      <c r="S289" t="s">
        <v>45</v>
      </c>
      <c r="T289">
        <v>3</v>
      </c>
      <c r="V289">
        <v>2</v>
      </c>
      <c r="W289" t="s">
        <v>47</v>
      </c>
      <c r="X289" t="s">
        <v>76</v>
      </c>
      <c r="AA289" t="s">
        <v>63</v>
      </c>
      <c r="AB289">
        <v>1</v>
      </c>
      <c r="AD289">
        <v>1</v>
      </c>
      <c r="AE289" t="s">
        <v>72</v>
      </c>
      <c r="AF289" t="s">
        <v>95</v>
      </c>
      <c r="AI289">
        <v>10</v>
      </c>
      <c r="AJ289">
        <v>33</v>
      </c>
    </row>
    <row r="290" spans="1:36" x14ac:dyDescent="0.25">
      <c r="A290" t="s">
        <v>534</v>
      </c>
      <c r="B290">
        <v>288</v>
      </c>
      <c r="C290" t="s">
        <v>48</v>
      </c>
      <c r="D290">
        <v>2</v>
      </c>
      <c r="F290">
        <v>1</v>
      </c>
      <c r="G290" t="s">
        <v>89</v>
      </c>
      <c r="H290" t="s">
        <v>50</v>
      </c>
      <c r="K290" t="s">
        <v>43</v>
      </c>
      <c r="L290">
        <v>1</v>
      </c>
      <c r="N290">
        <v>2</v>
      </c>
      <c r="O290" t="s">
        <v>73</v>
      </c>
      <c r="P290" t="s">
        <v>74</v>
      </c>
      <c r="Q290" t="s">
        <v>75</v>
      </c>
      <c r="R290" t="s">
        <v>101</v>
      </c>
      <c r="S290" t="s">
        <v>45</v>
      </c>
      <c r="T290">
        <v>3</v>
      </c>
      <c r="V290">
        <v>1</v>
      </c>
      <c r="W290" t="s">
        <v>47</v>
      </c>
      <c r="AA290" t="s">
        <v>38</v>
      </c>
      <c r="AB290">
        <v>3</v>
      </c>
      <c r="AC290">
        <v>1</v>
      </c>
      <c r="AD290">
        <v>2</v>
      </c>
      <c r="AE290" t="s">
        <v>67</v>
      </c>
      <c r="AF290" t="s">
        <v>70</v>
      </c>
      <c r="AG290" t="s">
        <v>154</v>
      </c>
      <c r="AH290" t="s">
        <v>42</v>
      </c>
      <c r="AI290">
        <v>14</v>
      </c>
      <c r="AJ290">
        <v>44</v>
      </c>
    </row>
    <row r="291" spans="1:36" x14ac:dyDescent="0.25">
      <c r="A291" t="s">
        <v>535</v>
      </c>
      <c r="B291">
        <v>289</v>
      </c>
      <c r="C291" t="s">
        <v>48</v>
      </c>
      <c r="D291">
        <v>3</v>
      </c>
      <c r="F291">
        <v>2</v>
      </c>
      <c r="G291" t="s">
        <v>89</v>
      </c>
      <c r="H291" t="s">
        <v>84</v>
      </c>
      <c r="I291" t="s">
        <v>90</v>
      </c>
      <c r="J291" t="s">
        <v>52</v>
      </c>
      <c r="K291" t="s">
        <v>43</v>
      </c>
      <c r="L291">
        <v>1</v>
      </c>
      <c r="N291">
        <v>1</v>
      </c>
      <c r="O291" t="s">
        <v>73</v>
      </c>
      <c r="P291" t="s">
        <v>99</v>
      </c>
      <c r="Q291" t="s">
        <v>137</v>
      </c>
      <c r="R291" t="s">
        <v>101</v>
      </c>
      <c r="S291" t="s">
        <v>45</v>
      </c>
      <c r="T291">
        <v>3</v>
      </c>
      <c r="V291">
        <v>3</v>
      </c>
      <c r="W291" t="s">
        <v>86</v>
      </c>
      <c r="X291" t="s">
        <v>76</v>
      </c>
      <c r="Y291" t="s">
        <v>102</v>
      </c>
      <c r="Z291" t="s">
        <v>144</v>
      </c>
      <c r="AA291" t="s">
        <v>227</v>
      </c>
      <c r="AB291">
        <v>1</v>
      </c>
      <c r="AC291">
        <v>1</v>
      </c>
      <c r="AD291">
        <v>1</v>
      </c>
      <c r="AE291" t="s">
        <v>228</v>
      </c>
      <c r="AI291">
        <v>17</v>
      </c>
      <c r="AJ291">
        <v>62</v>
      </c>
    </row>
    <row r="292" spans="1:36" x14ac:dyDescent="0.25">
      <c r="A292" t="s">
        <v>536</v>
      </c>
      <c r="B292">
        <v>290</v>
      </c>
      <c r="C292" t="s">
        <v>48</v>
      </c>
      <c r="D292">
        <v>1</v>
      </c>
      <c r="F292">
        <v>1</v>
      </c>
      <c r="G292" t="s">
        <v>49</v>
      </c>
      <c r="K292" t="s">
        <v>43</v>
      </c>
      <c r="L292">
        <v>2</v>
      </c>
      <c r="N292">
        <v>1</v>
      </c>
      <c r="O292" t="s">
        <v>135</v>
      </c>
      <c r="P292" t="s">
        <v>99</v>
      </c>
      <c r="Q292" t="s">
        <v>75</v>
      </c>
      <c r="R292" t="s">
        <v>138</v>
      </c>
      <c r="S292" t="s">
        <v>63</v>
      </c>
      <c r="T292">
        <v>1</v>
      </c>
      <c r="V292">
        <v>1</v>
      </c>
      <c r="W292" t="s">
        <v>72</v>
      </c>
      <c r="X292" t="s">
        <v>91</v>
      </c>
      <c r="AA292" t="s">
        <v>38</v>
      </c>
      <c r="AB292">
        <v>1</v>
      </c>
      <c r="AC292">
        <v>1</v>
      </c>
      <c r="AD292">
        <v>2</v>
      </c>
      <c r="AE292" t="s">
        <v>152</v>
      </c>
      <c r="AI292">
        <v>6</v>
      </c>
      <c r="AJ292">
        <v>42</v>
      </c>
    </row>
    <row r="293" spans="1:36" x14ac:dyDescent="0.25">
      <c r="A293" t="s">
        <v>537</v>
      </c>
      <c r="B293">
        <v>291</v>
      </c>
      <c r="C293" t="s">
        <v>48</v>
      </c>
      <c r="D293">
        <v>1</v>
      </c>
      <c r="F293">
        <v>1</v>
      </c>
      <c r="G293" t="s">
        <v>49</v>
      </c>
      <c r="H293" t="s">
        <v>71</v>
      </c>
      <c r="K293" t="s">
        <v>43</v>
      </c>
      <c r="L293">
        <v>1</v>
      </c>
      <c r="N293">
        <v>1</v>
      </c>
      <c r="O293" t="s">
        <v>73</v>
      </c>
      <c r="P293" t="s">
        <v>99</v>
      </c>
      <c r="Q293" t="s">
        <v>75</v>
      </c>
      <c r="S293" t="s">
        <v>63</v>
      </c>
      <c r="T293">
        <v>1</v>
      </c>
      <c r="V293">
        <v>1</v>
      </c>
      <c r="W293" t="s">
        <v>72</v>
      </c>
      <c r="X293" t="s">
        <v>91</v>
      </c>
      <c r="AA293" t="s">
        <v>227</v>
      </c>
      <c r="AB293">
        <v>1</v>
      </c>
      <c r="AC293">
        <v>1</v>
      </c>
      <c r="AD293">
        <v>1</v>
      </c>
      <c r="AE293" t="s">
        <v>228</v>
      </c>
      <c r="AI293">
        <v>4</v>
      </c>
      <c r="AJ293">
        <v>19</v>
      </c>
    </row>
    <row r="294" spans="1:36" x14ac:dyDescent="0.25">
      <c r="A294" t="s">
        <v>538</v>
      </c>
      <c r="B294">
        <v>292</v>
      </c>
      <c r="C294" t="s">
        <v>38</v>
      </c>
      <c r="D294">
        <v>2</v>
      </c>
      <c r="E294">
        <v>2</v>
      </c>
      <c r="F294">
        <v>2</v>
      </c>
      <c r="G294" t="s">
        <v>67</v>
      </c>
      <c r="K294" t="s">
        <v>227</v>
      </c>
      <c r="L294">
        <v>1</v>
      </c>
      <c r="M294">
        <v>1</v>
      </c>
      <c r="N294">
        <v>1</v>
      </c>
      <c r="O294" t="s">
        <v>228</v>
      </c>
      <c r="S294" t="s">
        <v>48</v>
      </c>
      <c r="T294">
        <v>2</v>
      </c>
      <c r="V294">
        <v>1</v>
      </c>
      <c r="W294" t="s">
        <v>89</v>
      </c>
      <c r="AA294" t="s">
        <v>43</v>
      </c>
      <c r="AB294">
        <v>1</v>
      </c>
      <c r="AD294">
        <v>1</v>
      </c>
      <c r="AE294" t="s">
        <v>73</v>
      </c>
      <c r="AI294">
        <v>4</v>
      </c>
      <c r="AJ294">
        <v>29</v>
      </c>
    </row>
    <row r="295" spans="1:36" x14ac:dyDescent="0.25">
      <c r="A295" t="s">
        <v>539</v>
      </c>
      <c r="B295">
        <v>293</v>
      </c>
      <c r="C295" t="s">
        <v>48</v>
      </c>
      <c r="D295">
        <v>3</v>
      </c>
      <c r="F295">
        <v>2</v>
      </c>
      <c r="G295" t="s">
        <v>49</v>
      </c>
      <c r="K295" t="s">
        <v>45</v>
      </c>
      <c r="L295">
        <v>2</v>
      </c>
      <c r="N295">
        <v>1</v>
      </c>
      <c r="O295" t="s">
        <v>47</v>
      </c>
      <c r="S295" t="s">
        <v>33</v>
      </c>
      <c r="T295">
        <v>2</v>
      </c>
      <c r="V295">
        <v>1</v>
      </c>
      <c r="W295" t="s">
        <v>46</v>
      </c>
      <c r="AA295" t="s">
        <v>43</v>
      </c>
      <c r="AB295">
        <v>3</v>
      </c>
      <c r="AD295">
        <v>1</v>
      </c>
      <c r="AE295" t="s">
        <v>135</v>
      </c>
      <c r="AF295" t="s">
        <v>74</v>
      </c>
      <c r="AI295">
        <v>8</v>
      </c>
      <c r="AJ295">
        <v>24</v>
      </c>
    </row>
    <row r="296" spans="1:36" x14ac:dyDescent="0.25">
      <c r="A296" t="s">
        <v>540</v>
      </c>
      <c r="B296">
        <v>294</v>
      </c>
      <c r="C296" t="s">
        <v>33</v>
      </c>
      <c r="D296">
        <v>1</v>
      </c>
      <c r="F296">
        <v>3</v>
      </c>
      <c r="G296" t="s">
        <v>46</v>
      </c>
      <c r="K296" t="s">
        <v>63</v>
      </c>
      <c r="L296">
        <v>1</v>
      </c>
      <c r="N296">
        <v>1</v>
      </c>
      <c r="O296" t="s">
        <v>72</v>
      </c>
      <c r="P296" t="s">
        <v>91</v>
      </c>
      <c r="S296" t="s">
        <v>48</v>
      </c>
      <c r="T296">
        <v>2</v>
      </c>
      <c r="V296">
        <v>1</v>
      </c>
      <c r="W296" t="s">
        <v>49</v>
      </c>
      <c r="AA296" t="s">
        <v>45</v>
      </c>
      <c r="AB296">
        <v>2</v>
      </c>
      <c r="AD296">
        <v>1</v>
      </c>
      <c r="AE296" t="s">
        <v>47</v>
      </c>
      <c r="AI296">
        <v>5</v>
      </c>
      <c r="AJ296">
        <v>24</v>
      </c>
    </row>
    <row r="297" spans="1:36" x14ac:dyDescent="0.25">
      <c r="A297" t="s">
        <v>541</v>
      </c>
      <c r="B297">
        <v>295</v>
      </c>
      <c r="C297" t="s">
        <v>48</v>
      </c>
      <c r="D297">
        <v>2</v>
      </c>
      <c r="F297">
        <v>1</v>
      </c>
      <c r="G297" t="s">
        <v>49</v>
      </c>
      <c r="H297" t="s">
        <v>84</v>
      </c>
      <c r="I297" t="s">
        <v>127</v>
      </c>
      <c r="K297" t="s">
        <v>45</v>
      </c>
      <c r="L297">
        <v>2</v>
      </c>
      <c r="N297">
        <v>1</v>
      </c>
      <c r="O297" t="s">
        <v>47</v>
      </c>
      <c r="S297" t="s">
        <v>33</v>
      </c>
      <c r="T297">
        <v>2</v>
      </c>
      <c r="V297">
        <v>2</v>
      </c>
      <c r="W297" t="s">
        <v>46</v>
      </c>
      <c r="AA297" t="s">
        <v>38</v>
      </c>
      <c r="AB297">
        <v>1</v>
      </c>
      <c r="AC297">
        <v>2</v>
      </c>
      <c r="AD297">
        <v>1</v>
      </c>
      <c r="AE297" t="s">
        <v>67</v>
      </c>
      <c r="AI297">
        <v>7</v>
      </c>
      <c r="AJ297">
        <v>25</v>
      </c>
    </row>
    <row r="298" spans="1:36" x14ac:dyDescent="0.25">
      <c r="A298" t="s">
        <v>542</v>
      </c>
      <c r="B298">
        <v>296</v>
      </c>
      <c r="C298" t="s">
        <v>33</v>
      </c>
      <c r="D298">
        <v>2</v>
      </c>
      <c r="F298">
        <v>3</v>
      </c>
      <c r="G298" t="s">
        <v>46</v>
      </c>
      <c r="H298" t="s">
        <v>35</v>
      </c>
      <c r="I298" t="s">
        <v>131</v>
      </c>
      <c r="K298" t="s">
        <v>227</v>
      </c>
      <c r="L298">
        <v>2</v>
      </c>
      <c r="M298">
        <v>1</v>
      </c>
      <c r="N298">
        <v>1</v>
      </c>
      <c r="O298" t="s">
        <v>228</v>
      </c>
      <c r="S298" t="s">
        <v>48</v>
      </c>
      <c r="T298">
        <v>2</v>
      </c>
      <c r="V298">
        <v>1</v>
      </c>
      <c r="W298" t="s">
        <v>89</v>
      </c>
      <c r="AA298" t="s">
        <v>45</v>
      </c>
      <c r="AB298">
        <v>2</v>
      </c>
      <c r="AD298">
        <v>1</v>
      </c>
      <c r="AE298" t="s">
        <v>86</v>
      </c>
      <c r="AI298">
        <v>8</v>
      </c>
      <c r="AJ298">
        <v>25</v>
      </c>
    </row>
    <row r="299" spans="1:36" x14ac:dyDescent="0.25">
      <c r="A299" t="s">
        <v>543</v>
      </c>
      <c r="B299">
        <v>297</v>
      </c>
      <c r="C299" t="s">
        <v>43</v>
      </c>
      <c r="D299">
        <v>3</v>
      </c>
      <c r="F299">
        <v>1</v>
      </c>
      <c r="G299" t="s">
        <v>135</v>
      </c>
      <c r="H299" t="s">
        <v>99</v>
      </c>
      <c r="K299" t="s">
        <v>63</v>
      </c>
      <c r="L299">
        <v>1</v>
      </c>
      <c r="N299">
        <v>1</v>
      </c>
      <c r="O299" t="s">
        <v>72</v>
      </c>
      <c r="P299" t="s">
        <v>91</v>
      </c>
      <c r="S299" t="s">
        <v>48</v>
      </c>
      <c r="T299">
        <v>2</v>
      </c>
      <c r="V299">
        <v>1</v>
      </c>
      <c r="W299" t="s">
        <v>49</v>
      </c>
      <c r="AA299" t="s">
        <v>45</v>
      </c>
      <c r="AB299">
        <v>2</v>
      </c>
      <c r="AD299">
        <v>1</v>
      </c>
      <c r="AE299" t="s">
        <v>47</v>
      </c>
      <c r="AI299">
        <v>6</v>
      </c>
      <c r="AJ299">
        <v>25</v>
      </c>
    </row>
    <row r="300" spans="1:36" x14ac:dyDescent="0.25">
      <c r="A300" t="s">
        <v>544</v>
      </c>
      <c r="B300">
        <v>298</v>
      </c>
      <c r="C300" t="s">
        <v>48</v>
      </c>
      <c r="D300">
        <v>2</v>
      </c>
      <c r="F300">
        <v>1</v>
      </c>
      <c r="G300" t="s">
        <v>89</v>
      </c>
      <c r="H300" t="s">
        <v>71</v>
      </c>
      <c r="K300" t="s">
        <v>45</v>
      </c>
      <c r="L300">
        <v>2</v>
      </c>
      <c r="N300">
        <v>1</v>
      </c>
      <c r="O300" t="s">
        <v>47</v>
      </c>
      <c r="S300" t="s">
        <v>43</v>
      </c>
      <c r="T300">
        <v>1</v>
      </c>
      <c r="V300">
        <v>1</v>
      </c>
      <c r="W300" t="s">
        <v>135</v>
      </c>
      <c r="AA300" t="s">
        <v>38</v>
      </c>
      <c r="AB300">
        <v>2</v>
      </c>
      <c r="AC300">
        <v>1</v>
      </c>
      <c r="AD300">
        <v>2</v>
      </c>
      <c r="AE300" t="s">
        <v>67</v>
      </c>
      <c r="AI300">
        <v>5</v>
      </c>
      <c r="AJ300">
        <v>20</v>
      </c>
    </row>
    <row r="301" spans="1:36" x14ac:dyDescent="0.25">
      <c r="A301" t="s">
        <v>545</v>
      </c>
      <c r="B301">
        <v>299</v>
      </c>
      <c r="C301" t="s">
        <v>48</v>
      </c>
      <c r="D301">
        <v>2</v>
      </c>
      <c r="F301">
        <v>1</v>
      </c>
      <c r="G301" t="s">
        <v>89</v>
      </c>
      <c r="K301" t="s">
        <v>45</v>
      </c>
      <c r="L301">
        <v>3</v>
      </c>
      <c r="N301">
        <v>1</v>
      </c>
      <c r="O301" t="s">
        <v>47</v>
      </c>
      <c r="P301" t="s">
        <v>141</v>
      </c>
      <c r="S301" t="s">
        <v>43</v>
      </c>
      <c r="T301">
        <v>1</v>
      </c>
      <c r="V301">
        <v>3</v>
      </c>
      <c r="W301" t="s">
        <v>135</v>
      </c>
      <c r="X301" t="s">
        <v>136</v>
      </c>
      <c r="Y301" t="s">
        <v>100</v>
      </c>
      <c r="AA301" t="s">
        <v>227</v>
      </c>
      <c r="AB301">
        <v>1</v>
      </c>
      <c r="AC301">
        <v>1</v>
      </c>
      <c r="AD301">
        <v>1</v>
      </c>
      <c r="AE301" t="s">
        <v>228</v>
      </c>
      <c r="AI301">
        <v>8</v>
      </c>
      <c r="AJ301">
        <v>29</v>
      </c>
    </row>
    <row r="302" spans="1:36" x14ac:dyDescent="0.25">
      <c r="A302" t="s">
        <v>546</v>
      </c>
      <c r="B302">
        <v>300</v>
      </c>
      <c r="C302" t="s">
        <v>48</v>
      </c>
      <c r="D302">
        <v>1</v>
      </c>
      <c r="F302">
        <v>1</v>
      </c>
      <c r="G302" t="s">
        <v>49</v>
      </c>
      <c r="K302" t="s">
        <v>45</v>
      </c>
      <c r="L302">
        <v>3</v>
      </c>
      <c r="N302">
        <v>2</v>
      </c>
      <c r="O302" t="s">
        <v>47</v>
      </c>
      <c r="P302" t="s">
        <v>76</v>
      </c>
      <c r="Q302" t="s">
        <v>93</v>
      </c>
      <c r="S302" t="s">
        <v>63</v>
      </c>
      <c r="T302">
        <v>2</v>
      </c>
      <c r="V302">
        <v>1</v>
      </c>
      <c r="W302" t="s">
        <v>72</v>
      </c>
      <c r="AA302" t="s">
        <v>38</v>
      </c>
      <c r="AB302">
        <v>1</v>
      </c>
      <c r="AC302">
        <v>2</v>
      </c>
      <c r="AD302">
        <v>2</v>
      </c>
      <c r="AE302" t="s">
        <v>67</v>
      </c>
      <c r="AI302">
        <v>8</v>
      </c>
      <c r="AJ302">
        <v>33</v>
      </c>
    </row>
    <row r="303" spans="1:36" x14ac:dyDescent="0.25">
      <c r="A303" t="s">
        <v>547</v>
      </c>
      <c r="B303">
        <v>301</v>
      </c>
      <c r="C303" t="s">
        <v>48</v>
      </c>
      <c r="D303">
        <v>3</v>
      </c>
      <c r="F303">
        <v>1</v>
      </c>
      <c r="G303" t="s">
        <v>89</v>
      </c>
      <c r="K303" t="s">
        <v>45</v>
      </c>
      <c r="L303">
        <v>2</v>
      </c>
      <c r="N303">
        <v>1</v>
      </c>
      <c r="O303" t="s">
        <v>47</v>
      </c>
      <c r="P303" t="s">
        <v>76</v>
      </c>
      <c r="S303" t="s">
        <v>63</v>
      </c>
      <c r="T303">
        <v>2</v>
      </c>
      <c r="V303">
        <v>1</v>
      </c>
      <c r="W303" t="s">
        <v>72</v>
      </c>
      <c r="X303" t="s">
        <v>91</v>
      </c>
      <c r="Y303" t="s">
        <v>147</v>
      </c>
      <c r="AA303" t="s">
        <v>227</v>
      </c>
      <c r="AB303">
        <v>1</v>
      </c>
      <c r="AC303">
        <v>1</v>
      </c>
      <c r="AD303">
        <v>1</v>
      </c>
      <c r="AE303" t="s">
        <v>228</v>
      </c>
      <c r="AI303">
        <v>7</v>
      </c>
      <c r="AJ303">
        <v>21</v>
      </c>
    </row>
    <row r="304" spans="1:36" x14ac:dyDescent="0.25">
      <c r="A304" t="s">
        <v>548</v>
      </c>
      <c r="B304">
        <v>302</v>
      </c>
      <c r="C304" t="s">
        <v>38</v>
      </c>
      <c r="D304">
        <v>2</v>
      </c>
      <c r="E304">
        <v>1</v>
      </c>
      <c r="F304">
        <v>1</v>
      </c>
      <c r="G304" t="s">
        <v>67</v>
      </c>
      <c r="H304" t="s">
        <v>70</v>
      </c>
      <c r="K304" t="s">
        <v>227</v>
      </c>
      <c r="L304">
        <v>2</v>
      </c>
      <c r="M304">
        <v>1</v>
      </c>
      <c r="N304">
        <v>1</v>
      </c>
      <c r="O304" t="s">
        <v>228</v>
      </c>
      <c r="P304" t="s">
        <v>231</v>
      </c>
      <c r="S304" t="s">
        <v>48</v>
      </c>
      <c r="T304">
        <v>1</v>
      </c>
      <c r="V304">
        <v>1</v>
      </c>
      <c r="W304" t="s">
        <v>89</v>
      </c>
      <c r="X304" t="s">
        <v>71</v>
      </c>
      <c r="AA304" t="s">
        <v>45</v>
      </c>
      <c r="AB304">
        <v>2</v>
      </c>
      <c r="AD304">
        <v>1</v>
      </c>
      <c r="AE304" t="s">
        <v>47</v>
      </c>
      <c r="AI304">
        <v>6</v>
      </c>
      <c r="AJ304">
        <v>24</v>
      </c>
    </row>
    <row r="305" spans="1:36" x14ac:dyDescent="0.25">
      <c r="A305" t="s">
        <v>549</v>
      </c>
      <c r="B305">
        <v>303</v>
      </c>
      <c r="C305" t="s">
        <v>48</v>
      </c>
      <c r="D305">
        <v>2</v>
      </c>
      <c r="F305">
        <v>1</v>
      </c>
      <c r="G305" t="s">
        <v>89</v>
      </c>
      <c r="K305" t="s">
        <v>63</v>
      </c>
      <c r="L305">
        <v>1</v>
      </c>
      <c r="N305">
        <v>1</v>
      </c>
      <c r="O305" t="s">
        <v>72</v>
      </c>
      <c r="P305" t="s">
        <v>91</v>
      </c>
      <c r="S305" t="s">
        <v>33</v>
      </c>
      <c r="T305">
        <v>2</v>
      </c>
      <c r="V305">
        <v>3</v>
      </c>
      <c r="W305" t="s">
        <v>46</v>
      </c>
      <c r="AA305" t="s">
        <v>43</v>
      </c>
      <c r="AB305">
        <v>1</v>
      </c>
      <c r="AD305">
        <v>1</v>
      </c>
      <c r="AE305" t="s">
        <v>135</v>
      </c>
      <c r="AI305">
        <v>5</v>
      </c>
      <c r="AJ305">
        <v>32</v>
      </c>
    </row>
    <row r="306" spans="1:36" x14ac:dyDescent="0.25">
      <c r="A306" t="s">
        <v>550</v>
      </c>
      <c r="B306">
        <v>304</v>
      </c>
      <c r="C306" t="s">
        <v>33</v>
      </c>
      <c r="D306">
        <v>1</v>
      </c>
      <c r="F306">
        <v>2</v>
      </c>
      <c r="G306" t="s">
        <v>46</v>
      </c>
      <c r="K306" t="s">
        <v>45</v>
      </c>
      <c r="L306">
        <v>2</v>
      </c>
      <c r="N306">
        <v>1</v>
      </c>
      <c r="O306" t="s">
        <v>47</v>
      </c>
      <c r="S306" t="s">
        <v>48</v>
      </c>
      <c r="T306">
        <v>1</v>
      </c>
      <c r="V306">
        <v>1</v>
      </c>
      <c r="W306" t="s">
        <v>89</v>
      </c>
      <c r="X306" t="s">
        <v>50</v>
      </c>
      <c r="AA306" t="s">
        <v>63</v>
      </c>
      <c r="AB306">
        <v>1</v>
      </c>
      <c r="AD306">
        <v>1</v>
      </c>
      <c r="AE306" t="s">
        <v>72</v>
      </c>
      <c r="AI306">
        <v>3</v>
      </c>
      <c r="AJ306">
        <v>26</v>
      </c>
    </row>
    <row r="307" spans="1:36" x14ac:dyDescent="0.25">
      <c r="A307" t="s">
        <v>551</v>
      </c>
      <c r="B307">
        <v>305</v>
      </c>
      <c r="C307" t="s">
        <v>48</v>
      </c>
      <c r="D307">
        <v>2</v>
      </c>
      <c r="F307">
        <v>1</v>
      </c>
      <c r="G307" t="s">
        <v>89</v>
      </c>
      <c r="K307" t="s">
        <v>63</v>
      </c>
      <c r="L307">
        <v>1</v>
      </c>
      <c r="N307">
        <v>1</v>
      </c>
      <c r="O307" t="s">
        <v>72</v>
      </c>
      <c r="P307" t="s">
        <v>146</v>
      </c>
      <c r="S307" t="s">
        <v>33</v>
      </c>
      <c r="T307">
        <v>1</v>
      </c>
      <c r="V307">
        <v>3</v>
      </c>
      <c r="W307" t="s">
        <v>46</v>
      </c>
      <c r="AA307" t="s">
        <v>38</v>
      </c>
      <c r="AB307">
        <v>2</v>
      </c>
      <c r="AC307">
        <v>1</v>
      </c>
      <c r="AD307">
        <v>1</v>
      </c>
      <c r="AE307" t="s">
        <v>152</v>
      </c>
      <c r="AI307">
        <v>5</v>
      </c>
      <c r="AJ307">
        <v>29</v>
      </c>
    </row>
    <row r="308" spans="1:36" x14ac:dyDescent="0.25">
      <c r="A308" t="s">
        <v>552</v>
      </c>
      <c r="B308">
        <v>306</v>
      </c>
      <c r="C308" t="s">
        <v>33</v>
      </c>
      <c r="D308">
        <v>1</v>
      </c>
      <c r="F308">
        <v>2</v>
      </c>
      <c r="G308" t="s">
        <v>46</v>
      </c>
      <c r="K308" t="s">
        <v>227</v>
      </c>
      <c r="L308">
        <v>2</v>
      </c>
      <c r="M308">
        <v>1</v>
      </c>
      <c r="N308">
        <v>1</v>
      </c>
      <c r="O308" t="s">
        <v>228</v>
      </c>
      <c r="S308" t="s">
        <v>48</v>
      </c>
      <c r="T308">
        <v>3</v>
      </c>
      <c r="V308">
        <v>1</v>
      </c>
      <c r="W308" t="s">
        <v>89</v>
      </c>
      <c r="AA308" t="s">
        <v>63</v>
      </c>
      <c r="AB308">
        <v>1</v>
      </c>
      <c r="AD308">
        <v>1</v>
      </c>
      <c r="AE308" t="s">
        <v>72</v>
      </c>
      <c r="AF308" t="s">
        <v>91</v>
      </c>
      <c r="AG308" t="s">
        <v>104</v>
      </c>
      <c r="AI308">
        <v>6</v>
      </c>
      <c r="AJ308">
        <v>24</v>
      </c>
    </row>
    <row r="309" spans="1:36" x14ac:dyDescent="0.25">
      <c r="A309" t="s">
        <v>553</v>
      </c>
      <c r="B309">
        <v>307</v>
      </c>
      <c r="C309" t="s">
        <v>48</v>
      </c>
      <c r="D309">
        <v>3</v>
      </c>
      <c r="F309">
        <v>1</v>
      </c>
      <c r="G309" t="s">
        <v>89</v>
      </c>
      <c r="H309" t="s">
        <v>50</v>
      </c>
      <c r="I309" t="s">
        <v>90</v>
      </c>
      <c r="K309" t="s">
        <v>63</v>
      </c>
      <c r="L309">
        <v>1</v>
      </c>
      <c r="N309">
        <v>1</v>
      </c>
      <c r="O309" t="s">
        <v>72</v>
      </c>
      <c r="P309" t="s">
        <v>91</v>
      </c>
      <c r="S309" t="s">
        <v>43</v>
      </c>
      <c r="T309">
        <v>2</v>
      </c>
      <c r="V309">
        <v>1</v>
      </c>
      <c r="W309" t="s">
        <v>135</v>
      </c>
      <c r="X309" t="s">
        <v>74</v>
      </c>
      <c r="Y309" t="s">
        <v>100</v>
      </c>
      <c r="Z309" t="s">
        <v>101</v>
      </c>
      <c r="AA309" t="s">
        <v>45</v>
      </c>
      <c r="AB309">
        <v>2</v>
      </c>
      <c r="AD309">
        <v>1</v>
      </c>
      <c r="AE309" t="s">
        <v>47</v>
      </c>
      <c r="AI309">
        <v>11</v>
      </c>
      <c r="AJ309">
        <v>36</v>
      </c>
    </row>
    <row r="310" spans="1:36" x14ac:dyDescent="0.25">
      <c r="A310" t="s">
        <v>554</v>
      </c>
      <c r="B310">
        <v>308</v>
      </c>
      <c r="C310" t="s">
        <v>43</v>
      </c>
      <c r="D310">
        <v>2</v>
      </c>
      <c r="F310">
        <v>3</v>
      </c>
      <c r="G310" t="s">
        <v>135</v>
      </c>
      <c r="H310" t="s">
        <v>74</v>
      </c>
      <c r="I310" t="s">
        <v>75</v>
      </c>
      <c r="K310" t="s">
        <v>38</v>
      </c>
      <c r="L310">
        <v>1</v>
      </c>
      <c r="M310">
        <v>1</v>
      </c>
      <c r="N310">
        <v>1</v>
      </c>
      <c r="O310" t="s">
        <v>152</v>
      </c>
      <c r="S310" t="s">
        <v>48</v>
      </c>
      <c r="T310">
        <v>2</v>
      </c>
      <c r="V310">
        <v>1</v>
      </c>
      <c r="W310" t="s">
        <v>89</v>
      </c>
      <c r="AA310" t="s">
        <v>63</v>
      </c>
      <c r="AB310">
        <v>3</v>
      </c>
      <c r="AD310">
        <v>1</v>
      </c>
      <c r="AE310" t="s">
        <v>72</v>
      </c>
      <c r="AF310" t="s">
        <v>146</v>
      </c>
      <c r="AI310">
        <v>9</v>
      </c>
      <c r="AJ310">
        <v>40</v>
      </c>
    </row>
    <row r="311" spans="1:36" x14ac:dyDescent="0.25">
      <c r="A311" t="s">
        <v>555</v>
      </c>
      <c r="B311">
        <v>309</v>
      </c>
      <c r="C311" t="s">
        <v>48</v>
      </c>
      <c r="D311">
        <v>3</v>
      </c>
      <c r="F311">
        <v>2</v>
      </c>
      <c r="G311" t="s">
        <v>89</v>
      </c>
      <c r="K311" t="s">
        <v>63</v>
      </c>
      <c r="L311">
        <v>1</v>
      </c>
      <c r="N311">
        <v>1</v>
      </c>
      <c r="O311" t="s">
        <v>72</v>
      </c>
      <c r="P311" t="s">
        <v>146</v>
      </c>
      <c r="S311" t="s">
        <v>43</v>
      </c>
      <c r="T311">
        <v>2</v>
      </c>
      <c r="V311">
        <v>2</v>
      </c>
      <c r="W311" t="s">
        <v>135</v>
      </c>
      <c r="X311" t="s">
        <v>74</v>
      </c>
      <c r="AA311" t="s">
        <v>227</v>
      </c>
      <c r="AB311">
        <v>1</v>
      </c>
      <c r="AC311">
        <v>1</v>
      </c>
      <c r="AD311">
        <v>1</v>
      </c>
      <c r="AE311" t="s">
        <v>228</v>
      </c>
      <c r="AI311">
        <v>7</v>
      </c>
      <c r="AJ311">
        <v>27</v>
      </c>
    </row>
    <row r="312" spans="1:36" x14ac:dyDescent="0.25">
      <c r="A312" t="s">
        <v>556</v>
      </c>
      <c r="B312">
        <v>310</v>
      </c>
      <c r="C312" t="s">
        <v>48</v>
      </c>
      <c r="D312">
        <v>2</v>
      </c>
      <c r="F312">
        <v>1</v>
      </c>
      <c r="G312" t="s">
        <v>89</v>
      </c>
      <c r="K312" t="s">
        <v>63</v>
      </c>
      <c r="L312">
        <v>1</v>
      </c>
      <c r="N312">
        <v>1</v>
      </c>
      <c r="O312" t="s">
        <v>72</v>
      </c>
      <c r="P312" t="s">
        <v>91</v>
      </c>
      <c r="Q312" t="s">
        <v>147</v>
      </c>
      <c r="S312" t="s">
        <v>45</v>
      </c>
      <c r="T312">
        <v>3</v>
      </c>
      <c r="V312">
        <v>1</v>
      </c>
      <c r="W312" t="s">
        <v>47</v>
      </c>
      <c r="AA312" t="s">
        <v>38</v>
      </c>
      <c r="AB312">
        <v>2</v>
      </c>
      <c r="AC312">
        <v>1</v>
      </c>
      <c r="AD312">
        <v>1</v>
      </c>
      <c r="AE312" t="s">
        <v>152</v>
      </c>
      <c r="AI312">
        <v>6</v>
      </c>
      <c r="AJ312">
        <v>27</v>
      </c>
    </row>
    <row r="313" spans="1:36" x14ac:dyDescent="0.25">
      <c r="A313" t="s">
        <v>557</v>
      </c>
      <c r="B313">
        <v>311</v>
      </c>
      <c r="C313" t="s">
        <v>48</v>
      </c>
      <c r="D313">
        <v>1</v>
      </c>
      <c r="F313">
        <v>1</v>
      </c>
      <c r="G313" t="s">
        <v>89</v>
      </c>
      <c r="K313" t="s">
        <v>63</v>
      </c>
      <c r="L313">
        <v>1</v>
      </c>
      <c r="N313">
        <v>1</v>
      </c>
      <c r="O313" t="s">
        <v>72</v>
      </c>
      <c r="P313" t="s">
        <v>95</v>
      </c>
      <c r="S313" t="s">
        <v>45</v>
      </c>
      <c r="T313">
        <v>2</v>
      </c>
      <c r="V313">
        <v>1</v>
      </c>
      <c r="W313" t="s">
        <v>47</v>
      </c>
      <c r="AA313" t="s">
        <v>227</v>
      </c>
      <c r="AB313">
        <v>1</v>
      </c>
      <c r="AC313">
        <v>1</v>
      </c>
      <c r="AD313">
        <v>1</v>
      </c>
      <c r="AE313" t="s">
        <v>228</v>
      </c>
      <c r="AF313" t="s">
        <v>233</v>
      </c>
      <c r="AI313">
        <v>3</v>
      </c>
      <c r="AJ313">
        <v>29</v>
      </c>
    </row>
    <row r="314" spans="1:36" x14ac:dyDescent="0.25">
      <c r="A314" t="s">
        <v>558</v>
      </c>
      <c r="B314">
        <v>312</v>
      </c>
      <c r="C314" t="s">
        <v>48</v>
      </c>
      <c r="D314">
        <v>2</v>
      </c>
      <c r="F314">
        <v>1</v>
      </c>
      <c r="G314" t="s">
        <v>89</v>
      </c>
      <c r="K314" t="s">
        <v>63</v>
      </c>
      <c r="L314">
        <v>2</v>
      </c>
      <c r="N314">
        <v>1</v>
      </c>
      <c r="O314" t="s">
        <v>72</v>
      </c>
      <c r="S314" t="s">
        <v>38</v>
      </c>
      <c r="T314">
        <v>2</v>
      </c>
      <c r="U314">
        <v>1</v>
      </c>
      <c r="V314">
        <v>2</v>
      </c>
      <c r="W314" t="s">
        <v>67</v>
      </c>
      <c r="AA314" t="s">
        <v>227</v>
      </c>
      <c r="AB314">
        <v>1</v>
      </c>
      <c r="AC314">
        <v>1</v>
      </c>
      <c r="AD314">
        <v>1</v>
      </c>
      <c r="AE314" t="s">
        <v>228</v>
      </c>
      <c r="AF314" t="s">
        <v>231</v>
      </c>
      <c r="AI314">
        <v>5</v>
      </c>
      <c r="AJ314">
        <v>20</v>
      </c>
    </row>
    <row r="315" spans="1:36" x14ac:dyDescent="0.25">
      <c r="A315" t="s">
        <v>559</v>
      </c>
      <c r="B315">
        <v>313</v>
      </c>
      <c r="C315" t="s">
        <v>48</v>
      </c>
      <c r="D315">
        <v>3</v>
      </c>
      <c r="F315">
        <v>1</v>
      </c>
      <c r="G315" t="s">
        <v>89</v>
      </c>
      <c r="H315" t="s">
        <v>71</v>
      </c>
      <c r="K315" t="s">
        <v>38</v>
      </c>
      <c r="L315">
        <v>1</v>
      </c>
      <c r="M315">
        <v>1</v>
      </c>
      <c r="N315">
        <v>2</v>
      </c>
      <c r="O315" t="s">
        <v>67</v>
      </c>
      <c r="S315" t="s">
        <v>33</v>
      </c>
      <c r="T315">
        <v>2</v>
      </c>
      <c r="V315">
        <v>2</v>
      </c>
      <c r="W315" t="s">
        <v>46</v>
      </c>
      <c r="AA315" t="s">
        <v>43</v>
      </c>
      <c r="AB315">
        <v>1</v>
      </c>
      <c r="AD315">
        <v>1</v>
      </c>
      <c r="AE315" t="s">
        <v>135</v>
      </c>
      <c r="AF315" t="s">
        <v>99</v>
      </c>
      <c r="AI315">
        <v>7</v>
      </c>
      <c r="AJ315">
        <v>33</v>
      </c>
    </row>
    <row r="316" spans="1:36" x14ac:dyDescent="0.25">
      <c r="A316" t="s">
        <v>560</v>
      </c>
      <c r="B316">
        <v>314</v>
      </c>
      <c r="C316" t="s">
        <v>33</v>
      </c>
      <c r="D316">
        <v>1</v>
      </c>
      <c r="F316">
        <v>3</v>
      </c>
      <c r="G316" t="s">
        <v>46</v>
      </c>
      <c r="H316" t="s">
        <v>35</v>
      </c>
      <c r="I316" t="s">
        <v>36</v>
      </c>
      <c r="K316" t="s">
        <v>45</v>
      </c>
      <c r="L316">
        <v>2</v>
      </c>
      <c r="N316">
        <v>1</v>
      </c>
      <c r="O316" t="s">
        <v>47</v>
      </c>
      <c r="S316" t="s">
        <v>48</v>
      </c>
      <c r="T316">
        <v>2</v>
      </c>
      <c r="V316">
        <v>1</v>
      </c>
      <c r="W316" t="s">
        <v>89</v>
      </c>
      <c r="AA316" t="s">
        <v>38</v>
      </c>
      <c r="AB316">
        <v>1</v>
      </c>
      <c r="AC316">
        <v>1</v>
      </c>
      <c r="AD316">
        <v>2</v>
      </c>
      <c r="AE316" t="s">
        <v>67</v>
      </c>
      <c r="AI316">
        <v>7</v>
      </c>
      <c r="AJ316">
        <v>29</v>
      </c>
    </row>
    <row r="317" spans="1:36" x14ac:dyDescent="0.25">
      <c r="A317" t="s">
        <v>561</v>
      </c>
      <c r="B317">
        <v>315</v>
      </c>
      <c r="C317" t="s">
        <v>48</v>
      </c>
      <c r="D317">
        <v>1</v>
      </c>
      <c r="F317">
        <v>1</v>
      </c>
      <c r="G317" t="s">
        <v>49</v>
      </c>
      <c r="K317" t="s">
        <v>38</v>
      </c>
      <c r="L317">
        <v>1</v>
      </c>
      <c r="M317">
        <v>1</v>
      </c>
      <c r="N317">
        <v>2</v>
      </c>
      <c r="O317" t="s">
        <v>67</v>
      </c>
      <c r="S317" t="s">
        <v>33</v>
      </c>
      <c r="T317">
        <v>1</v>
      </c>
      <c r="V317">
        <v>2</v>
      </c>
      <c r="W317" t="s">
        <v>46</v>
      </c>
      <c r="AA317" t="s">
        <v>63</v>
      </c>
      <c r="AB317">
        <v>1</v>
      </c>
      <c r="AD317">
        <v>1</v>
      </c>
      <c r="AE317" t="s">
        <v>72</v>
      </c>
      <c r="AI317">
        <v>2</v>
      </c>
      <c r="AJ317">
        <v>26</v>
      </c>
    </row>
    <row r="318" spans="1:36" x14ac:dyDescent="0.25">
      <c r="A318" t="s">
        <v>562</v>
      </c>
      <c r="B318">
        <v>316</v>
      </c>
      <c r="C318" t="s">
        <v>33</v>
      </c>
      <c r="D318">
        <v>1</v>
      </c>
      <c r="F318">
        <v>3</v>
      </c>
      <c r="G318" t="s">
        <v>46</v>
      </c>
      <c r="K318" t="s">
        <v>227</v>
      </c>
      <c r="L318">
        <v>1</v>
      </c>
      <c r="M318">
        <v>1</v>
      </c>
      <c r="N318">
        <v>1</v>
      </c>
      <c r="O318" t="s">
        <v>228</v>
      </c>
      <c r="P318" t="s">
        <v>231</v>
      </c>
      <c r="S318" t="s">
        <v>48</v>
      </c>
      <c r="T318">
        <v>2</v>
      </c>
      <c r="V318">
        <v>1</v>
      </c>
      <c r="W318" t="s">
        <v>89</v>
      </c>
      <c r="AA318" t="s">
        <v>38</v>
      </c>
      <c r="AB318">
        <v>2</v>
      </c>
      <c r="AC318">
        <v>1</v>
      </c>
      <c r="AD318">
        <v>1</v>
      </c>
      <c r="AE318" t="s">
        <v>152</v>
      </c>
      <c r="AI318">
        <v>5</v>
      </c>
      <c r="AJ318">
        <v>27</v>
      </c>
    </row>
    <row r="319" spans="1:36" x14ac:dyDescent="0.25">
      <c r="A319" t="s">
        <v>563</v>
      </c>
      <c r="B319">
        <v>317</v>
      </c>
      <c r="C319" t="s">
        <v>48</v>
      </c>
      <c r="D319">
        <v>1</v>
      </c>
      <c r="F319">
        <v>3</v>
      </c>
      <c r="G319" t="s">
        <v>89</v>
      </c>
      <c r="H319" t="s">
        <v>50</v>
      </c>
      <c r="I319" t="s">
        <v>127</v>
      </c>
      <c r="J319" t="s">
        <v>128</v>
      </c>
      <c r="K319" t="s">
        <v>38</v>
      </c>
      <c r="L319">
        <v>1</v>
      </c>
      <c r="M319">
        <v>1</v>
      </c>
      <c r="N319">
        <v>2</v>
      </c>
      <c r="O319" t="s">
        <v>67</v>
      </c>
      <c r="S319" t="s">
        <v>43</v>
      </c>
      <c r="T319">
        <v>1</v>
      </c>
      <c r="V319">
        <v>1</v>
      </c>
      <c r="W319" t="s">
        <v>135</v>
      </c>
      <c r="X319" t="s">
        <v>99</v>
      </c>
      <c r="AA319" t="s">
        <v>45</v>
      </c>
      <c r="AB319">
        <v>3</v>
      </c>
      <c r="AD319">
        <v>2</v>
      </c>
      <c r="AE319" t="s">
        <v>47</v>
      </c>
      <c r="AI319">
        <v>10</v>
      </c>
      <c r="AJ319">
        <v>32</v>
      </c>
    </row>
    <row r="320" spans="1:36" x14ac:dyDescent="0.25">
      <c r="A320" t="s">
        <v>564</v>
      </c>
      <c r="B320">
        <v>318</v>
      </c>
      <c r="C320" t="s">
        <v>48</v>
      </c>
      <c r="D320">
        <v>1</v>
      </c>
      <c r="F320">
        <v>1</v>
      </c>
      <c r="G320" t="s">
        <v>49</v>
      </c>
      <c r="K320" t="s">
        <v>38</v>
      </c>
      <c r="L320">
        <v>1</v>
      </c>
      <c r="M320">
        <v>1</v>
      </c>
      <c r="N320">
        <v>2</v>
      </c>
      <c r="O320" t="s">
        <v>67</v>
      </c>
      <c r="P320" t="s">
        <v>70</v>
      </c>
      <c r="S320" t="s">
        <v>43</v>
      </c>
      <c r="T320">
        <v>1</v>
      </c>
      <c r="V320">
        <v>1</v>
      </c>
      <c r="W320" t="s">
        <v>135</v>
      </c>
      <c r="AA320" t="s">
        <v>63</v>
      </c>
      <c r="AB320">
        <v>1</v>
      </c>
      <c r="AD320">
        <v>1</v>
      </c>
      <c r="AE320" t="s">
        <v>72</v>
      </c>
      <c r="AF320" t="s">
        <v>91</v>
      </c>
      <c r="AI320">
        <v>3</v>
      </c>
      <c r="AJ320">
        <v>25</v>
      </c>
    </row>
    <row r="321" spans="1:36" x14ac:dyDescent="0.25">
      <c r="A321" t="s">
        <v>565</v>
      </c>
      <c r="B321">
        <v>319</v>
      </c>
      <c r="C321" t="s">
        <v>48</v>
      </c>
      <c r="D321">
        <v>1</v>
      </c>
      <c r="F321">
        <v>1</v>
      </c>
      <c r="G321" t="s">
        <v>89</v>
      </c>
      <c r="K321" t="s">
        <v>38</v>
      </c>
      <c r="L321">
        <v>1</v>
      </c>
      <c r="M321">
        <v>1</v>
      </c>
      <c r="N321">
        <v>1</v>
      </c>
      <c r="O321" t="s">
        <v>152</v>
      </c>
      <c r="P321" t="s">
        <v>70</v>
      </c>
      <c r="S321" t="s">
        <v>43</v>
      </c>
      <c r="T321">
        <v>1</v>
      </c>
      <c r="V321">
        <v>1</v>
      </c>
      <c r="W321" t="s">
        <v>135</v>
      </c>
      <c r="AA321" t="s">
        <v>227</v>
      </c>
      <c r="AB321">
        <v>1</v>
      </c>
      <c r="AC321">
        <v>1</v>
      </c>
      <c r="AD321">
        <v>1</v>
      </c>
      <c r="AE321" t="s">
        <v>228</v>
      </c>
      <c r="AI321">
        <v>1</v>
      </c>
      <c r="AJ321">
        <v>22</v>
      </c>
    </row>
    <row r="322" spans="1:36" x14ac:dyDescent="0.25">
      <c r="A322" t="s">
        <v>566</v>
      </c>
      <c r="B322">
        <v>320</v>
      </c>
      <c r="C322" t="s">
        <v>45</v>
      </c>
      <c r="D322">
        <v>3</v>
      </c>
      <c r="F322">
        <v>1</v>
      </c>
      <c r="G322" t="s">
        <v>47</v>
      </c>
      <c r="K322" t="s">
        <v>63</v>
      </c>
      <c r="L322">
        <v>1</v>
      </c>
      <c r="N322">
        <v>1</v>
      </c>
      <c r="O322" t="s">
        <v>72</v>
      </c>
      <c r="S322" t="s">
        <v>48</v>
      </c>
      <c r="T322">
        <v>3</v>
      </c>
      <c r="V322">
        <v>1</v>
      </c>
      <c r="W322" t="s">
        <v>49</v>
      </c>
      <c r="AA322" t="s">
        <v>38</v>
      </c>
      <c r="AB322">
        <v>1</v>
      </c>
      <c r="AC322">
        <v>1</v>
      </c>
      <c r="AD322">
        <v>2</v>
      </c>
      <c r="AE322" t="s">
        <v>67</v>
      </c>
      <c r="AF322" t="s">
        <v>70</v>
      </c>
      <c r="AI322">
        <v>6</v>
      </c>
      <c r="AJ322">
        <v>25</v>
      </c>
    </row>
    <row r="323" spans="1:36" x14ac:dyDescent="0.25">
      <c r="A323" t="s">
        <v>567</v>
      </c>
      <c r="B323">
        <v>321</v>
      </c>
      <c r="C323" t="s">
        <v>48</v>
      </c>
      <c r="D323">
        <v>1</v>
      </c>
      <c r="F323">
        <v>2</v>
      </c>
      <c r="G323" t="s">
        <v>89</v>
      </c>
      <c r="H323" t="s">
        <v>71</v>
      </c>
      <c r="I323" t="s">
        <v>127</v>
      </c>
      <c r="J323" t="s">
        <v>52</v>
      </c>
      <c r="K323" t="s">
        <v>38</v>
      </c>
      <c r="L323">
        <v>1</v>
      </c>
      <c r="M323">
        <v>1</v>
      </c>
      <c r="N323">
        <v>1</v>
      </c>
      <c r="O323" t="s">
        <v>152</v>
      </c>
      <c r="P323" t="s">
        <v>70</v>
      </c>
      <c r="S323" t="s">
        <v>45</v>
      </c>
      <c r="T323">
        <v>2</v>
      </c>
      <c r="V323">
        <v>1</v>
      </c>
      <c r="W323" t="s">
        <v>47</v>
      </c>
      <c r="AA323" t="s">
        <v>227</v>
      </c>
      <c r="AB323">
        <v>2</v>
      </c>
      <c r="AC323">
        <v>1</v>
      </c>
      <c r="AD323">
        <v>1</v>
      </c>
      <c r="AE323" t="s">
        <v>228</v>
      </c>
      <c r="AI323">
        <v>7</v>
      </c>
      <c r="AJ323">
        <v>24</v>
      </c>
    </row>
    <row r="324" spans="1:36" x14ac:dyDescent="0.25">
      <c r="A324" t="s">
        <v>568</v>
      </c>
      <c r="B324">
        <v>322</v>
      </c>
      <c r="C324" t="s">
        <v>48</v>
      </c>
      <c r="D324">
        <v>2</v>
      </c>
      <c r="F324">
        <v>1</v>
      </c>
      <c r="G324" t="s">
        <v>89</v>
      </c>
      <c r="K324" t="s">
        <v>38</v>
      </c>
      <c r="L324">
        <v>1</v>
      </c>
      <c r="M324">
        <v>1</v>
      </c>
      <c r="N324">
        <v>2</v>
      </c>
      <c r="O324" t="s">
        <v>152</v>
      </c>
      <c r="P324" t="s">
        <v>70</v>
      </c>
      <c r="S324" t="s">
        <v>63</v>
      </c>
      <c r="T324">
        <v>2</v>
      </c>
      <c r="V324">
        <v>1</v>
      </c>
      <c r="W324" t="s">
        <v>72</v>
      </c>
      <c r="X324" t="s">
        <v>91</v>
      </c>
      <c r="Y324" t="s">
        <v>147</v>
      </c>
      <c r="AA324" t="s">
        <v>227</v>
      </c>
      <c r="AB324">
        <v>1</v>
      </c>
      <c r="AC324">
        <v>1</v>
      </c>
      <c r="AD324">
        <v>1</v>
      </c>
      <c r="AE324" t="s">
        <v>228</v>
      </c>
      <c r="AI324">
        <v>6</v>
      </c>
      <c r="AJ324">
        <v>28</v>
      </c>
    </row>
    <row r="325" spans="1:36" x14ac:dyDescent="0.25">
      <c r="A325" t="s">
        <v>569</v>
      </c>
      <c r="B325">
        <v>323</v>
      </c>
      <c r="C325" t="s">
        <v>33</v>
      </c>
      <c r="D325">
        <v>2</v>
      </c>
      <c r="F325">
        <v>1</v>
      </c>
      <c r="G325" t="s">
        <v>46</v>
      </c>
      <c r="K325" t="s">
        <v>43</v>
      </c>
      <c r="L325">
        <v>1</v>
      </c>
      <c r="N325">
        <v>1</v>
      </c>
      <c r="O325" t="s">
        <v>73</v>
      </c>
      <c r="P325" t="s">
        <v>74</v>
      </c>
      <c r="S325" t="s">
        <v>48</v>
      </c>
      <c r="T325">
        <v>1</v>
      </c>
      <c r="V325">
        <v>1</v>
      </c>
      <c r="W325" t="s">
        <v>89</v>
      </c>
      <c r="X325" t="s">
        <v>84</v>
      </c>
      <c r="AA325" t="s">
        <v>227</v>
      </c>
      <c r="AB325">
        <v>1</v>
      </c>
      <c r="AC325">
        <v>1</v>
      </c>
      <c r="AD325">
        <v>1</v>
      </c>
      <c r="AE325" t="s">
        <v>228</v>
      </c>
      <c r="AI325">
        <v>3</v>
      </c>
      <c r="AJ325">
        <v>20</v>
      </c>
    </row>
    <row r="326" spans="1:36" x14ac:dyDescent="0.25">
      <c r="A326" t="s">
        <v>570</v>
      </c>
      <c r="B326">
        <v>324</v>
      </c>
      <c r="C326" t="s">
        <v>33</v>
      </c>
      <c r="D326">
        <v>1</v>
      </c>
      <c r="F326">
        <v>2</v>
      </c>
      <c r="G326" t="s">
        <v>46</v>
      </c>
      <c r="H326" t="s">
        <v>66</v>
      </c>
      <c r="K326" t="s">
        <v>45</v>
      </c>
      <c r="L326">
        <v>3</v>
      </c>
      <c r="N326">
        <v>1</v>
      </c>
      <c r="O326" t="s">
        <v>47</v>
      </c>
      <c r="S326" t="s">
        <v>48</v>
      </c>
      <c r="T326">
        <v>1</v>
      </c>
      <c r="V326">
        <v>1</v>
      </c>
      <c r="W326" t="s">
        <v>89</v>
      </c>
      <c r="AA326" t="s">
        <v>227</v>
      </c>
      <c r="AB326">
        <v>1</v>
      </c>
      <c r="AC326">
        <v>1</v>
      </c>
      <c r="AD326">
        <v>3</v>
      </c>
      <c r="AE326" t="s">
        <v>228</v>
      </c>
      <c r="AF326" t="s">
        <v>231</v>
      </c>
      <c r="AG326" t="s">
        <v>235</v>
      </c>
      <c r="AI326">
        <v>8</v>
      </c>
      <c r="AJ326">
        <v>22</v>
      </c>
    </row>
    <row r="327" spans="1:36" x14ac:dyDescent="0.25">
      <c r="A327" t="s">
        <v>571</v>
      </c>
      <c r="B327">
        <v>325</v>
      </c>
      <c r="C327" t="s">
        <v>33</v>
      </c>
      <c r="D327">
        <v>3</v>
      </c>
      <c r="F327">
        <v>2</v>
      </c>
      <c r="G327" t="s">
        <v>46</v>
      </c>
      <c r="H327" t="s">
        <v>66</v>
      </c>
      <c r="I327" t="s">
        <v>36</v>
      </c>
      <c r="K327" t="s">
        <v>63</v>
      </c>
      <c r="L327">
        <v>1</v>
      </c>
      <c r="N327">
        <v>1</v>
      </c>
      <c r="O327" t="s">
        <v>103</v>
      </c>
      <c r="P327" t="s">
        <v>91</v>
      </c>
      <c r="S327" t="s">
        <v>48</v>
      </c>
      <c r="T327">
        <v>1</v>
      </c>
      <c r="V327">
        <v>1</v>
      </c>
      <c r="W327" t="s">
        <v>49</v>
      </c>
      <c r="AA327" t="s">
        <v>227</v>
      </c>
      <c r="AB327">
        <v>3</v>
      </c>
      <c r="AC327">
        <v>1</v>
      </c>
      <c r="AD327">
        <v>3</v>
      </c>
      <c r="AE327" t="s">
        <v>228</v>
      </c>
      <c r="AF327" t="s">
        <v>231</v>
      </c>
      <c r="AI327">
        <v>11</v>
      </c>
      <c r="AJ327">
        <v>45</v>
      </c>
    </row>
    <row r="328" spans="1:36" x14ac:dyDescent="0.25">
      <c r="A328" t="s">
        <v>572</v>
      </c>
      <c r="B328">
        <v>326</v>
      </c>
      <c r="C328" t="s">
        <v>33</v>
      </c>
      <c r="D328">
        <v>1</v>
      </c>
      <c r="F328">
        <v>2</v>
      </c>
      <c r="G328" t="s">
        <v>46</v>
      </c>
      <c r="K328" t="s">
        <v>38</v>
      </c>
      <c r="L328">
        <v>2</v>
      </c>
      <c r="M328">
        <v>1</v>
      </c>
      <c r="N328">
        <v>2</v>
      </c>
      <c r="O328" t="s">
        <v>152</v>
      </c>
      <c r="P328" t="s">
        <v>70</v>
      </c>
      <c r="S328" t="s">
        <v>48</v>
      </c>
      <c r="T328">
        <v>3</v>
      </c>
      <c r="V328">
        <v>1</v>
      </c>
      <c r="W328" t="s">
        <v>89</v>
      </c>
      <c r="AA328" t="s">
        <v>227</v>
      </c>
      <c r="AB328">
        <v>2</v>
      </c>
      <c r="AC328">
        <v>1</v>
      </c>
      <c r="AD328">
        <v>1</v>
      </c>
      <c r="AE328" t="s">
        <v>228</v>
      </c>
      <c r="AI328">
        <v>7</v>
      </c>
      <c r="AJ328">
        <v>33</v>
      </c>
    </row>
    <row r="329" spans="1:36" x14ac:dyDescent="0.25">
      <c r="A329" t="s">
        <v>573</v>
      </c>
      <c r="B329">
        <v>327</v>
      </c>
      <c r="C329" t="s">
        <v>48</v>
      </c>
      <c r="D329">
        <v>1</v>
      </c>
      <c r="F329">
        <v>1</v>
      </c>
      <c r="G329" t="s">
        <v>89</v>
      </c>
      <c r="K329" t="s">
        <v>227</v>
      </c>
      <c r="L329">
        <v>1</v>
      </c>
      <c r="M329">
        <v>1</v>
      </c>
      <c r="N329">
        <v>1</v>
      </c>
      <c r="O329" t="s">
        <v>228</v>
      </c>
      <c r="P329" t="s">
        <v>233</v>
      </c>
      <c r="S329" t="s">
        <v>43</v>
      </c>
      <c r="T329">
        <v>1</v>
      </c>
      <c r="V329">
        <v>1</v>
      </c>
      <c r="W329" t="s">
        <v>73</v>
      </c>
      <c r="X329" t="s">
        <v>99</v>
      </c>
      <c r="AA329" t="s">
        <v>45</v>
      </c>
      <c r="AB329">
        <v>3</v>
      </c>
      <c r="AD329">
        <v>1</v>
      </c>
      <c r="AE329" t="s">
        <v>47</v>
      </c>
      <c r="AI329">
        <v>4</v>
      </c>
      <c r="AJ329">
        <v>45</v>
      </c>
    </row>
    <row r="330" spans="1:36" x14ac:dyDescent="0.25">
      <c r="A330" t="s">
        <v>574</v>
      </c>
      <c r="B330">
        <v>328</v>
      </c>
      <c r="C330" t="s">
        <v>43</v>
      </c>
      <c r="D330">
        <v>1</v>
      </c>
      <c r="F330">
        <v>1</v>
      </c>
      <c r="G330" t="s">
        <v>73</v>
      </c>
      <c r="K330" t="s">
        <v>63</v>
      </c>
      <c r="L330">
        <v>1</v>
      </c>
      <c r="N330">
        <v>1</v>
      </c>
      <c r="O330" t="s">
        <v>103</v>
      </c>
      <c r="P330" t="s">
        <v>91</v>
      </c>
      <c r="S330" t="s">
        <v>48</v>
      </c>
      <c r="T330">
        <v>3</v>
      </c>
      <c r="V330">
        <v>1</v>
      </c>
      <c r="W330" t="s">
        <v>49</v>
      </c>
      <c r="AA330" t="s">
        <v>227</v>
      </c>
      <c r="AB330">
        <v>2</v>
      </c>
      <c r="AC330">
        <v>1</v>
      </c>
      <c r="AD330">
        <v>1</v>
      </c>
      <c r="AE330" t="s">
        <v>228</v>
      </c>
      <c r="AI330">
        <v>4</v>
      </c>
      <c r="AJ330">
        <v>40</v>
      </c>
    </row>
    <row r="331" spans="1:36" x14ac:dyDescent="0.25">
      <c r="A331" t="s">
        <v>575</v>
      </c>
      <c r="B331">
        <v>329</v>
      </c>
      <c r="C331" t="s">
        <v>43</v>
      </c>
      <c r="D331">
        <v>1</v>
      </c>
      <c r="F331">
        <v>1</v>
      </c>
      <c r="G331" t="s">
        <v>73</v>
      </c>
      <c r="H331" t="s">
        <v>99</v>
      </c>
      <c r="I331" t="s">
        <v>75</v>
      </c>
      <c r="K331" t="s">
        <v>38</v>
      </c>
      <c r="L331">
        <v>1</v>
      </c>
      <c r="M331">
        <v>1</v>
      </c>
      <c r="N331">
        <v>1</v>
      </c>
      <c r="O331" t="s">
        <v>152</v>
      </c>
      <c r="S331" t="s">
        <v>48</v>
      </c>
      <c r="T331">
        <v>1</v>
      </c>
      <c r="V331">
        <v>1</v>
      </c>
      <c r="W331" t="s">
        <v>89</v>
      </c>
      <c r="X331" t="s">
        <v>50</v>
      </c>
      <c r="AA331" t="s">
        <v>227</v>
      </c>
      <c r="AB331">
        <v>2</v>
      </c>
      <c r="AC331">
        <v>1</v>
      </c>
      <c r="AD331">
        <v>1</v>
      </c>
      <c r="AE331" t="s">
        <v>228</v>
      </c>
      <c r="AI331">
        <v>4</v>
      </c>
      <c r="AJ331">
        <v>21</v>
      </c>
    </row>
    <row r="332" spans="1:36" x14ac:dyDescent="0.25">
      <c r="A332" t="s">
        <v>576</v>
      </c>
      <c r="B332">
        <v>330</v>
      </c>
      <c r="C332" t="s">
        <v>48</v>
      </c>
      <c r="D332">
        <v>2</v>
      </c>
      <c r="F332">
        <v>1</v>
      </c>
      <c r="G332" t="s">
        <v>49</v>
      </c>
      <c r="H332" t="s">
        <v>84</v>
      </c>
      <c r="I332" t="s">
        <v>127</v>
      </c>
      <c r="K332" t="s">
        <v>227</v>
      </c>
      <c r="L332">
        <v>2</v>
      </c>
      <c r="M332">
        <v>1</v>
      </c>
      <c r="N332">
        <v>1</v>
      </c>
      <c r="O332" t="s">
        <v>228</v>
      </c>
      <c r="P332" t="s">
        <v>231</v>
      </c>
      <c r="S332" t="s">
        <v>45</v>
      </c>
      <c r="T332">
        <v>2</v>
      </c>
      <c r="V332">
        <v>1</v>
      </c>
      <c r="W332" t="s">
        <v>47</v>
      </c>
      <c r="AA332" t="s">
        <v>63</v>
      </c>
      <c r="AB332">
        <v>1</v>
      </c>
      <c r="AD332">
        <v>1</v>
      </c>
      <c r="AE332" t="s">
        <v>103</v>
      </c>
      <c r="AF332" t="s">
        <v>91</v>
      </c>
      <c r="AG332" t="s">
        <v>147</v>
      </c>
      <c r="AI332">
        <v>8</v>
      </c>
      <c r="AJ332">
        <v>26</v>
      </c>
    </row>
    <row r="333" spans="1:36" x14ac:dyDescent="0.25">
      <c r="A333" t="s">
        <v>577</v>
      </c>
      <c r="B333">
        <v>331</v>
      </c>
      <c r="C333" t="s">
        <v>48</v>
      </c>
      <c r="D333">
        <v>2</v>
      </c>
      <c r="F333">
        <v>1</v>
      </c>
      <c r="G333" t="s">
        <v>49</v>
      </c>
      <c r="K333" t="s">
        <v>227</v>
      </c>
      <c r="L333">
        <v>1</v>
      </c>
      <c r="M333">
        <v>1</v>
      </c>
      <c r="N333">
        <v>1</v>
      </c>
      <c r="O333" t="s">
        <v>228</v>
      </c>
      <c r="P333" t="s">
        <v>231</v>
      </c>
      <c r="Q333" t="s">
        <v>235</v>
      </c>
      <c r="S333" t="s">
        <v>45</v>
      </c>
      <c r="T333">
        <v>3</v>
      </c>
      <c r="V333">
        <v>1</v>
      </c>
      <c r="W333" t="s">
        <v>47</v>
      </c>
      <c r="AA333" t="s">
        <v>38</v>
      </c>
      <c r="AB333">
        <v>1</v>
      </c>
      <c r="AC333">
        <v>1</v>
      </c>
      <c r="AD333">
        <v>1</v>
      </c>
      <c r="AE333" t="s">
        <v>152</v>
      </c>
      <c r="AI333">
        <v>5</v>
      </c>
      <c r="AJ333">
        <v>21</v>
      </c>
    </row>
    <row r="334" spans="1:36" x14ac:dyDescent="0.25">
      <c r="A334" t="s">
        <v>578</v>
      </c>
      <c r="B334">
        <v>332</v>
      </c>
      <c r="C334" t="s">
        <v>63</v>
      </c>
      <c r="D334">
        <v>1</v>
      </c>
      <c r="F334">
        <v>1</v>
      </c>
      <c r="G334" t="s">
        <v>72</v>
      </c>
      <c r="H334" t="s">
        <v>91</v>
      </c>
      <c r="K334" t="s">
        <v>38</v>
      </c>
      <c r="L334">
        <v>1</v>
      </c>
      <c r="M334">
        <v>1</v>
      </c>
      <c r="N334">
        <v>1</v>
      </c>
      <c r="O334" t="s">
        <v>152</v>
      </c>
      <c r="P334" t="s">
        <v>70</v>
      </c>
      <c r="Q334" t="s">
        <v>41</v>
      </c>
      <c r="S334" t="s">
        <v>48</v>
      </c>
      <c r="T334">
        <v>1</v>
      </c>
      <c r="V334">
        <v>2</v>
      </c>
      <c r="W334" t="s">
        <v>49</v>
      </c>
      <c r="AA334" t="s">
        <v>227</v>
      </c>
      <c r="AB334">
        <v>1</v>
      </c>
      <c r="AC334">
        <v>1</v>
      </c>
      <c r="AD334">
        <v>1</v>
      </c>
      <c r="AE334" t="s">
        <v>228</v>
      </c>
      <c r="AI334">
        <v>4</v>
      </c>
      <c r="AJ334">
        <v>36</v>
      </c>
    </row>
    <row r="335" spans="1:36" x14ac:dyDescent="0.25">
      <c r="A335" t="s">
        <v>579</v>
      </c>
      <c r="B335">
        <v>333</v>
      </c>
      <c r="C335" t="s">
        <v>45</v>
      </c>
      <c r="D335">
        <v>2</v>
      </c>
      <c r="F335">
        <v>1</v>
      </c>
      <c r="G335" t="s">
        <v>47</v>
      </c>
      <c r="K335" t="s">
        <v>63</v>
      </c>
      <c r="L335">
        <v>1</v>
      </c>
      <c r="N335">
        <v>1</v>
      </c>
      <c r="O335" t="s">
        <v>145</v>
      </c>
      <c r="P335" t="s">
        <v>95</v>
      </c>
      <c r="S335" t="s">
        <v>33</v>
      </c>
      <c r="T335">
        <v>1</v>
      </c>
      <c r="V335">
        <v>3</v>
      </c>
      <c r="W335" t="s">
        <v>46</v>
      </c>
      <c r="AA335" t="s">
        <v>43</v>
      </c>
      <c r="AB335">
        <v>1</v>
      </c>
      <c r="AD335">
        <v>1</v>
      </c>
      <c r="AE335" t="s">
        <v>135</v>
      </c>
      <c r="AF335" t="s">
        <v>99</v>
      </c>
      <c r="AI335">
        <v>5</v>
      </c>
      <c r="AJ335">
        <v>17</v>
      </c>
    </row>
    <row r="336" spans="1:36" x14ac:dyDescent="0.25">
      <c r="A336" t="s">
        <v>580</v>
      </c>
      <c r="B336">
        <v>334</v>
      </c>
      <c r="C336" t="s">
        <v>33</v>
      </c>
      <c r="D336">
        <v>1</v>
      </c>
      <c r="F336">
        <v>2</v>
      </c>
      <c r="G336" t="s">
        <v>46</v>
      </c>
      <c r="K336" t="s">
        <v>43</v>
      </c>
      <c r="L336">
        <v>2</v>
      </c>
      <c r="N336">
        <v>2</v>
      </c>
      <c r="O336" t="s">
        <v>135</v>
      </c>
      <c r="P336" t="s">
        <v>74</v>
      </c>
      <c r="Q336" t="s">
        <v>75</v>
      </c>
      <c r="S336" t="s">
        <v>45</v>
      </c>
      <c r="T336">
        <v>2</v>
      </c>
      <c r="V336">
        <v>1</v>
      </c>
      <c r="W336" t="s">
        <v>140</v>
      </c>
      <c r="AA336" t="s">
        <v>38</v>
      </c>
      <c r="AB336">
        <v>3</v>
      </c>
      <c r="AC336">
        <v>1</v>
      </c>
      <c r="AD336">
        <v>2</v>
      </c>
      <c r="AE336" t="s">
        <v>67</v>
      </c>
      <c r="AF336" t="s">
        <v>96</v>
      </c>
      <c r="AI336">
        <v>10</v>
      </c>
      <c r="AJ336">
        <v>26</v>
      </c>
    </row>
    <row r="337" spans="1:36" x14ac:dyDescent="0.25">
      <c r="A337" t="s">
        <v>581</v>
      </c>
      <c r="B337">
        <v>335</v>
      </c>
      <c r="C337" t="s">
        <v>45</v>
      </c>
      <c r="D337">
        <v>3</v>
      </c>
      <c r="F337">
        <v>1</v>
      </c>
      <c r="G337" t="s">
        <v>47</v>
      </c>
      <c r="K337" t="s">
        <v>227</v>
      </c>
      <c r="L337">
        <v>1</v>
      </c>
      <c r="M337">
        <v>1</v>
      </c>
      <c r="N337">
        <v>1</v>
      </c>
      <c r="O337" t="s">
        <v>228</v>
      </c>
      <c r="S337" t="s">
        <v>33</v>
      </c>
      <c r="T337">
        <v>1</v>
      </c>
      <c r="V337">
        <v>1</v>
      </c>
      <c r="W337" t="s">
        <v>46</v>
      </c>
      <c r="AA337" t="s">
        <v>43</v>
      </c>
      <c r="AB337">
        <v>1</v>
      </c>
      <c r="AD337">
        <v>1</v>
      </c>
      <c r="AE337" t="s">
        <v>73</v>
      </c>
      <c r="AF337" t="s">
        <v>136</v>
      </c>
      <c r="AG337" t="s">
        <v>100</v>
      </c>
      <c r="AH337" t="s">
        <v>101</v>
      </c>
      <c r="AI337">
        <v>5</v>
      </c>
      <c r="AJ337">
        <v>20</v>
      </c>
    </row>
    <row r="338" spans="1:36" x14ac:dyDescent="0.25">
      <c r="A338" t="s">
        <v>582</v>
      </c>
      <c r="B338">
        <v>336</v>
      </c>
      <c r="C338" t="s">
        <v>63</v>
      </c>
      <c r="D338">
        <v>1</v>
      </c>
      <c r="F338">
        <v>1</v>
      </c>
      <c r="G338" t="s">
        <v>72</v>
      </c>
      <c r="H338" t="s">
        <v>95</v>
      </c>
      <c r="K338" t="s">
        <v>38</v>
      </c>
      <c r="L338">
        <v>1</v>
      </c>
      <c r="M338">
        <v>1</v>
      </c>
      <c r="N338">
        <v>3</v>
      </c>
      <c r="O338" t="s">
        <v>67</v>
      </c>
      <c r="P338" t="s">
        <v>70</v>
      </c>
      <c r="S338" t="s">
        <v>33</v>
      </c>
      <c r="T338">
        <v>1</v>
      </c>
      <c r="V338">
        <v>1</v>
      </c>
      <c r="W338" t="s">
        <v>46</v>
      </c>
      <c r="AA338" t="s">
        <v>43</v>
      </c>
      <c r="AB338">
        <v>2</v>
      </c>
      <c r="AD338">
        <v>1</v>
      </c>
      <c r="AE338" t="s">
        <v>135</v>
      </c>
      <c r="AF338" t="s">
        <v>74</v>
      </c>
      <c r="AG338" t="s">
        <v>137</v>
      </c>
      <c r="AI338">
        <v>7</v>
      </c>
      <c r="AJ338">
        <v>21</v>
      </c>
    </row>
    <row r="339" spans="1:36" x14ac:dyDescent="0.25">
      <c r="A339" t="s">
        <v>583</v>
      </c>
      <c r="B339">
        <v>337</v>
      </c>
      <c r="C339" t="s">
        <v>33</v>
      </c>
      <c r="D339">
        <v>1</v>
      </c>
      <c r="F339">
        <v>1</v>
      </c>
      <c r="G339" t="s">
        <v>46</v>
      </c>
      <c r="K339" t="s">
        <v>43</v>
      </c>
      <c r="L339">
        <v>1</v>
      </c>
      <c r="N339">
        <v>1</v>
      </c>
      <c r="O339" t="s">
        <v>73</v>
      </c>
      <c r="P339" t="s">
        <v>99</v>
      </c>
      <c r="S339" t="s">
        <v>63</v>
      </c>
      <c r="T339">
        <v>1</v>
      </c>
      <c r="V339">
        <v>1</v>
      </c>
      <c r="W339" t="s">
        <v>72</v>
      </c>
      <c r="AA339" t="s">
        <v>227</v>
      </c>
      <c r="AB339">
        <v>1</v>
      </c>
      <c r="AC339">
        <v>1</v>
      </c>
      <c r="AD339">
        <v>2</v>
      </c>
      <c r="AE339" t="s">
        <v>228</v>
      </c>
      <c r="AI339">
        <v>2</v>
      </c>
      <c r="AJ339">
        <v>29</v>
      </c>
    </row>
    <row r="340" spans="1:36" x14ac:dyDescent="0.25">
      <c r="A340" t="s">
        <v>584</v>
      </c>
      <c r="B340">
        <v>338</v>
      </c>
      <c r="C340" t="s">
        <v>38</v>
      </c>
      <c r="D340">
        <v>1</v>
      </c>
      <c r="E340">
        <v>1</v>
      </c>
      <c r="F340">
        <v>2</v>
      </c>
      <c r="G340" t="s">
        <v>67</v>
      </c>
      <c r="H340" t="s">
        <v>70</v>
      </c>
      <c r="K340" t="s">
        <v>227</v>
      </c>
      <c r="L340">
        <v>1</v>
      </c>
      <c r="M340">
        <v>1</v>
      </c>
      <c r="N340">
        <v>1</v>
      </c>
      <c r="O340" t="s">
        <v>228</v>
      </c>
      <c r="S340" t="s">
        <v>33</v>
      </c>
      <c r="T340">
        <v>1</v>
      </c>
      <c r="V340">
        <v>1</v>
      </c>
      <c r="W340" t="s">
        <v>46</v>
      </c>
      <c r="AA340" t="s">
        <v>43</v>
      </c>
      <c r="AB340">
        <v>1</v>
      </c>
      <c r="AD340">
        <v>1</v>
      </c>
      <c r="AE340" t="s">
        <v>73</v>
      </c>
      <c r="AF340" t="s">
        <v>99</v>
      </c>
      <c r="AG340" t="s">
        <v>100</v>
      </c>
      <c r="AI340">
        <v>4</v>
      </c>
      <c r="AJ340">
        <v>27</v>
      </c>
    </row>
    <row r="341" spans="1:36" x14ac:dyDescent="0.25">
      <c r="A341" t="s">
        <v>585</v>
      </c>
      <c r="B341">
        <v>339</v>
      </c>
      <c r="C341" t="s">
        <v>33</v>
      </c>
      <c r="D341">
        <v>3</v>
      </c>
      <c r="F341">
        <v>3</v>
      </c>
      <c r="G341" t="s">
        <v>46</v>
      </c>
      <c r="K341" t="s">
        <v>45</v>
      </c>
      <c r="L341">
        <v>2</v>
      </c>
      <c r="N341">
        <v>1</v>
      </c>
      <c r="O341" t="s">
        <v>86</v>
      </c>
      <c r="S341" t="s">
        <v>43</v>
      </c>
      <c r="T341">
        <v>1</v>
      </c>
      <c r="V341">
        <v>3</v>
      </c>
      <c r="W341" t="s">
        <v>135</v>
      </c>
      <c r="X341" t="s">
        <v>136</v>
      </c>
      <c r="AA341" t="s">
        <v>63</v>
      </c>
      <c r="AB341">
        <v>2</v>
      </c>
      <c r="AD341">
        <v>1</v>
      </c>
      <c r="AE341" t="s">
        <v>72</v>
      </c>
      <c r="AI341">
        <v>9</v>
      </c>
      <c r="AJ341">
        <v>38</v>
      </c>
    </row>
    <row r="342" spans="1:36" x14ac:dyDescent="0.25">
      <c r="A342" t="s">
        <v>586</v>
      </c>
      <c r="B342">
        <v>340</v>
      </c>
      <c r="C342" t="s">
        <v>43</v>
      </c>
      <c r="D342">
        <v>1</v>
      </c>
      <c r="F342">
        <v>3</v>
      </c>
      <c r="G342" t="s">
        <v>135</v>
      </c>
      <c r="H342" t="s">
        <v>74</v>
      </c>
      <c r="K342" t="s">
        <v>38</v>
      </c>
      <c r="L342">
        <v>1</v>
      </c>
      <c r="M342">
        <v>1</v>
      </c>
      <c r="N342">
        <v>1</v>
      </c>
      <c r="O342" t="s">
        <v>67</v>
      </c>
      <c r="P342" t="s">
        <v>70</v>
      </c>
      <c r="S342" t="s">
        <v>33</v>
      </c>
      <c r="T342">
        <v>2</v>
      </c>
      <c r="V342">
        <v>1</v>
      </c>
      <c r="W342" t="s">
        <v>46</v>
      </c>
      <c r="AA342" t="s">
        <v>45</v>
      </c>
      <c r="AB342">
        <v>2</v>
      </c>
      <c r="AD342">
        <v>1</v>
      </c>
      <c r="AE342" t="s">
        <v>86</v>
      </c>
      <c r="AI342">
        <v>6</v>
      </c>
      <c r="AJ342">
        <v>22</v>
      </c>
    </row>
    <row r="343" spans="1:36" x14ac:dyDescent="0.25">
      <c r="A343" t="s">
        <v>587</v>
      </c>
      <c r="B343">
        <v>341</v>
      </c>
      <c r="C343" t="s">
        <v>33</v>
      </c>
      <c r="D343">
        <v>1</v>
      </c>
      <c r="F343">
        <v>2</v>
      </c>
      <c r="G343" t="s">
        <v>46</v>
      </c>
      <c r="K343" t="s">
        <v>45</v>
      </c>
      <c r="L343">
        <v>2</v>
      </c>
      <c r="N343">
        <v>1</v>
      </c>
      <c r="O343" t="s">
        <v>47</v>
      </c>
      <c r="P343" t="s">
        <v>141</v>
      </c>
      <c r="Q343" t="s">
        <v>102</v>
      </c>
      <c r="S343" t="s">
        <v>43</v>
      </c>
      <c r="T343">
        <v>1</v>
      </c>
      <c r="V343">
        <v>1</v>
      </c>
      <c r="W343" t="s">
        <v>135</v>
      </c>
      <c r="AA343" t="s">
        <v>227</v>
      </c>
      <c r="AB343">
        <v>1</v>
      </c>
      <c r="AC343">
        <v>1</v>
      </c>
      <c r="AD343">
        <v>1</v>
      </c>
      <c r="AE343" t="s">
        <v>228</v>
      </c>
      <c r="AF343" t="s">
        <v>232</v>
      </c>
      <c r="AG343" t="s">
        <v>235</v>
      </c>
      <c r="AI343">
        <v>6</v>
      </c>
      <c r="AJ343">
        <v>24</v>
      </c>
    </row>
    <row r="344" spans="1:36" x14ac:dyDescent="0.25">
      <c r="A344" t="s">
        <v>588</v>
      </c>
      <c r="B344">
        <v>342</v>
      </c>
      <c r="C344" t="s">
        <v>63</v>
      </c>
      <c r="D344">
        <v>2</v>
      </c>
      <c r="F344">
        <v>1</v>
      </c>
      <c r="G344" t="s">
        <v>72</v>
      </c>
      <c r="H344" t="s">
        <v>91</v>
      </c>
      <c r="K344" t="s">
        <v>38</v>
      </c>
      <c r="L344">
        <v>1</v>
      </c>
      <c r="M344">
        <v>1</v>
      </c>
      <c r="N344">
        <v>2</v>
      </c>
      <c r="O344" t="s">
        <v>67</v>
      </c>
      <c r="S344" t="s">
        <v>33</v>
      </c>
      <c r="T344">
        <v>1</v>
      </c>
      <c r="V344">
        <v>1</v>
      </c>
      <c r="W344" t="s">
        <v>46</v>
      </c>
      <c r="AA344" t="s">
        <v>45</v>
      </c>
      <c r="AB344">
        <v>3</v>
      </c>
      <c r="AD344">
        <v>1</v>
      </c>
      <c r="AE344" t="s">
        <v>47</v>
      </c>
      <c r="AI344">
        <v>5</v>
      </c>
      <c r="AJ344">
        <v>18</v>
      </c>
    </row>
    <row r="345" spans="1:36" x14ac:dyDescent="0.25">
      <c r="A345" t="s">
        <v>589</v>
      </c>
      <c r="B345">
        <v>343</v>
      </c>
      <c r="C345" t="s">
        <v>33</v>
      </c>
      <c r="D345">
        <v>1</v>
      </c>
      <c r="F345">
        <v>2</v>
      </c>
      <c r="G345" t="s">
        <v>46</v>
      </c>
      <c r="K345" t="s">
        <v>45</v>
      </c>
      <c r="L345">
        <v>2</v>
      </c>
      <c r="N345">
        <v>1</v>
      </c>
      <c r="O345" t="s">
        <v>47</v>
      </c>
      <c r="S345" t="s">
        <v>63</v>
      </c>
      <c r="T345">
        <v>2</v>
      </c>
      <c r="V345">
        <v>1</v>
      </c>
      <c r="W345" t="s">
        <v>72</v>
      </c>
      <c r="X345" t="s">
        <v>91</v>
      </c>
      <c r="AA345" t="s">
        <v>227</v>
      </c>
      <c r="AB345">
        <v>2</v>
      </c>
      <c r="AC345">
        <v>1</v>
      </c>
      <c r="AD345">
        <v>1</v>
      </c>
      <c r="AE345" t="s">
        <v>228</v>
      </c>
      <c r="AI345">
        <v>5</v>
      </c>
      <c r="AJ345">
        <v>27</v>
      </c>
    </row>
    <row r="346" spans="1:36" x14ac:dyDescent="0.25">
      <c r="A346" t="s">
        <v>590</v>
      </c>
      <c r="B346">
        <v>344</v>
      </c>
      <c r="C346" t="s">
        <v>38</v>
      </c>
      <c r="D346">
        <v>1</v>
      </c>
      <c r="E346">
        <v>1</v>
      </c>
      <c r="F346">
        <v>3</v>
      </c>
      <c r="G346" t="s">
        <v>67</v>
      </c>
      <c r="K346" t="s">
        <v>227</v>
      </c>
      <c r="L346">
        <v>1</v>
      </c>
      <c r="M346">
        <v>2</v>
      </c>
      <c r="N346">
        <v>2</v>
      </c>
      <c r="O346" t="s">
        <v>228</v>
      </c>
      <c r="P346" t="s">
        <v>231</v>
      </c>
      <c r="Q346" t="s">
        <v>235</v>
      </c>
      <c r="S346" t="s">
        <v>33</v>
      </c>
      <c r="T346">
        <v>1</v>
      </c>
      <c r="V346">
        <v>2</v>
      </c>
      <c r="W346" t="s">
        <v>46</v>
      </c>
      <c r="AA346" t="s">
        <v>45</v>
      </c>
      <c r="AB346">
        <v>2</v>
      </c>
      <c r="AD346">
        <v>1</v>
      </c>
      <c r="AE346" t="s">
        <v>47</v>
      </c>
      <c r="AI346">
        <v>8</v>
      </c>
      <c r="AJ346">
        <v>25</v>
      </c>
    </row>
    <row r="347" spans="1:36" x14ac:dyDescent="0.25">
      <c r="A347" t="s">
        <v>591</v>
      </c>
      <c r="B347">
        <v>345</v>
      </c>
      <c r="C347" t="s">
        <v>33</v>
      </c>
      <c r="D347">
        <v>1</v>
      </c>
      <c r="F347">
        <v>2</v>
      </c>
      <c r="G347" t="s">
        <v>46</v>
      </c>
      <c r="K347" t="s">
        <v>63</v>
      </c>
      <c r="L347">
        <v>2</v>
      </c>
      <c r="N347">
        <v>2</v>
      </c>
      <c r="O347" t="s">
        <v>72</v>
      </c>
      <c r="P347" t="s">
        <v>91</v>
      </c>
      <c r="S347" t="s">
        <v>43</v>
      </c>
      <c r="T347">
        <v>2</v>
      </c>
      <c r="V347">
        <v>1</v>
      </c>
      <c r="W347" t="s">
        <v>135</v>
      </c>
      <c r="X347" t="s">
        <v>136</v>
      </c>
      <c r="AA347" t="s">
        <v>45</v>
      </c>
      <c r="AB347">
        <v>3</v>
      </c>
      <c r="AD347">
        <v>2</v>
      </c>
      <c r="AE347" t="s">
        <v>47</v>
      </c>
      <c r="AI347">
        <v>9</v>
      </c>
      <c r="AJ347">
        <v>37</v>
      </c>
    </row>
    <row r="348" spans="1:36" x14ac:dyDescent="0.25">
      <c r="A348" t="s">
        <v>592</v>
      </c>
      <c r="B348">
        <v>346</v>
      </c>
      <c r="C348" t="s">
        <v>43</v>
      </c>
      <c r="D348">
        <v>2</v>
      </c>
      <c r="F348">
        <v>1</v>
      </c>
      <c r="G348" t="s">
        <v>135</v>
      </c>
      <c r="H348" t="s">
        <v>74</v>
      </c>
      <c r="K348" t="s">
        <v>38</v>
      </c>
      <c r="L348">
        <v>1</v>
      </c>
      <c r="M348">
        <v>1</v>
      </c>
      <c r="N348">
        <v>1</v>
      </c>
      <c r="O348" t="s">
        <v>152</v>
      </c>
      <c r="S348" t="s">
        <v>33</v>
      </c>
      <c r="T348">
        <v>1</v>
      </c>
      <c r="V348">
        <v>1</v>
      </c>
      <c r="W348" t="s">
        <v>46</v>
      </c>
      <c r="AA348" t="s">
        <v>63</v>
      </c>
      <c r="AB348">
        <v>1</v>
      </c>
      <c r="AD348">
        <v>1</v>
      </c>
      <c r="AE348" t="s">
        <v>72</v>
      </c>
      <c r="AF348" t="s">
        <v>91</v>
      </c>
      <c r="AI348">
        <v>3</v>
      </c>
      <c r="AJ348">
        <v>23</v>
      </c>
    </row>
    <row r="349" spans="1:36" x14ac:dyDescent="0.25">
      <c r="A349" t="s">
        <v>593</v>
      </c>
      <c r="B349">
        <v>347</v>
      </c>
      <c r="C349" t="s">
        <v>43</v>
      </c>
      <c r="D349">
        <v>3</v>
      </c>
      <c r="F349">
        <v>3</v>
      </c>
      <c r="G349" t="s">
        <v>135</v>
      </c>
      <c r="H349" t="s">
        <v>99</v>
      </c>
      <c r="I349" t="s">
        <v>100</v>
      </c>
      <c r="K349" t="s">
        <v>227</v>
      </c>
      <c r="L349">
        <v>2</v>
      </c>
      <c r="M349">
        <v>1</v>
      </c>
      <c r="N349">
        <v>2</v>
      </c>
      <c r="O349" t="s">
        <v>228</v>
      </c>
      <c r="P349" t="s">
        <v>231</v>
      </c>
      <c r="S349" t="s">
        <v>33</v>
      </c>
      <c r="T349">
        <v>3</v>
      </c>
      <c r="V349">
        <v>3</v>
      </c>
      <c r="W349" t="s">
        <v>46</v>
      </c>
      <c r="X349" t="s">
        <v>130</v>
      </c>
      <c r="Y349" t="s">
        <v>131</v>
      </c>
      <c r="AA349" t="s">
        <v>63</v>
      </c>
      <c r="AB349">
        <v>1</v>
      </c>
      <c r="AD349">
        <v>1</v>
      </c>
      <c r="AE349" t="s">
        <v>72</v>
      </c>
      <c r="AF349" t="s">
        <v>95</v>
      </c>
      <c r="AI349">
        <v>16</v>
      </c>
      <c r="AJ349">
        <v>36</v>
      </c>
    </row>
    <row r="350" spans="1:36" x14ac:dyDescent="0.25">
      <c r="A350" t="s">
        <v>594</v>
      </c>
      <c r="B350">
        <v>348</v>
      </c>
      <c r="C350" t="s">
        <v>45</v>
      </c>
      <c r="D350">
        <v>2</v>
      </c>
      <c r="F350">
        <v>1</v>
      </c>
      <c r="G350" t="s">
        <v>47</v>
      </c>
      <c r="K350" t="s">
        <v>38</v>
      </c>
      <c r="L350">
        <v>1</v>
      </c>
      <c r="M350">
        <v>1</v>
      </c>
      <c r="N350">
        <v>2</v>
      </c>
      <c r="O350" t="s">
        <v>152</v>
      </c>
      <c r="S350" t="s">
        <v>33</v>
      </c>
      <c r="T350">
        <v>1</v>
      </c>
      <c r="V350">
        <v>1</v>
      </c>
      <c r="W350" t="s">
        <v>46</v>
      </c>
      <c r="AA350" t="s">
        <v>63</v>
      </c>
      <c r="AB350">
        <v>1</v>
      </c>
      <c r="AD350">
        <v>2</v>
      </c>
      <c r="AE350" t="s">
        <v>72</v>
      </c>
      <c r="AF350" t="s">
        <v>91</v>
      </c>
      <c r="AI350">
        <v>4</v>
      </c>
      <c r="AJ350">
        <v>22</v>
      </c>
    </row>
    <row r="351" spans="1:36" x14ac:dyDescent="0.25">
      <c r="A351" t="s">
        <v>595</v>
      </c>
      <c r="B351">
        <v>349</v>
      </c>
      <c r="C351" t="s">
        <v>45</v>
      </c>
      <c r="D351">
        <v>3</v>
      </c>
      <c r="F351">
        <v>2</v>
      </c>
      <c r="G351" t="s">
        <v>47</v>
      </c>
      <c r="H351" t="s">
        <v>76</v>
      </c>
      <c r="I351" t="s">
        <v>142</v>
      </c>
      <c r="K351" t="s">
        <v>227</v>
      </c>
      <c r="L351">
        <v>1</v>
      </c>
      <c r="M351">
        <v>1</v>
      </c>
      <c r="N351">
        <v>1</v>
      </c>
      <c r="O351" t="s">
        <v>228</v>
      </c>
      <c r="S351" t="s">
        <v>33</v>
      </c>
      <c r="T351">
        <v>1</v>
      </c>
      <c r="V351">
        <v>2</v>
      </c>
      <c r="W351" t="s">
        <v>46</v>
      </c>
      <c r="X351" t="s">
        <v>66</v>
      </c>
      <c r="AA351" t="s">
        <v>63</v>
      </c>
      <c r="AB351">
        <v>2</v>
      </c>
      <c r="AD351">
        <v>1</v>
      </c>
      <c r="AE351" t="s">
        <v>72</v>
      </c>
      <c r="AF351" t="s">
        <v>91</v>
      </c>
      <c r="AG351" t="s">
        <v>147</v>
      </c>
      <c r="AI351">
        <v>10</v>
      </c>
      <c r="AJ351">
        <v>26</v>
      </c>
    </row>
    <row r="352" spans="1:36" x14ac:dyDescent="0.25">
      <c r="A352" s="39" t="s">
        <v>596</v>
      </c>
      <c r="B352">
        <v>350</v>
      </c>
      <c r="C352" t="s">
        <v>33</v>
      </c>
      <c r="D352">
        <v>1</v>
      </c>
      <c r="F352">
        <v>2</v>
      </c>
      <c r="G352" t="s">
        <v>46</v>
      </c>
      <c r="K352" t="s">
        <v>63</v>
      </c>
      <c r="L352">
        <v>1</v>
      </c>
      <c r="N352">
        <v>1</v>
      </c>
      <c r="O352" t="s">
        <v>103</v>
      </c>
      <c r="S352" t="s">
        <v>38</v>
      </c>
      <c r="T352">
        <v>1</v>
      </c>
      <c r="U352">
        <v>1</v>
      </c>
      <c r="V352">
        <v>2</v>
      </c>
      <c r="W352" t="s">
        <v>67</v>
      </c>
      <c r="AA352" t="s">
        <v>227</v>
      </c>
      <c r="AB352">
        <v>1</v>
      </c>
      <c r="AC352">
        <v>1</v>
      </c>
      <c r="AD352">
        <v>1</v>
      </c>
      <c r="AE352" t="s">
        <v>228</v>
      </c>
      <c r="AI352">
        <v>2</v>
      </c>
      <c r="AJ352">
        <v>21</v>
      </c>
    </row>
    <row r="353" spans="1:36" x14ac:dyDescent="0.25">
      <c r="A353" t="s">
        <v>597</v>
      </c>
      <c r="B353">
        <v>351</v>
      </c>
      <c r="C353" t="s">
        <v>33</v>
      </c>
      <c r="D353">
        <v>2</v>
      </c>
      <c r="F353">
        <v>3</v>
      </c>
      <c r="G353" t="s">
        <v>46</v>
      </c>
      <c r="K353" t="s">
        <v>38</v>
      </c>
      <c r="L353">
        <v>3</v>
      </c>
      <c r="M353">
        <v>1</v>
      </c>
      <c r="N353">
        <v>3</v>
      </c>
      <c r="O353" t="s">
        <v>67</v>
      </c>
      <c r="S353" t="s">
        <v>43</v>
      </c>
      <c r="T353">
        <v>2</v>
      </c>
      <c r="V353">
        <v>1</v>
      </c>
      <c r="W353" t="s">
        <v>135</v>
      </c>
      <c r="X353" t="s">
        <v>74</v>
      </c>
      <c r="AA353" t="s">
        <v>45</v>
      </c>
      <c r="AB353">
        <v>3</v>
      </c>
      <c r="AD353">
        <v>2</v>
      </c>
      <c r="AE353" t="s">
        <v>140</v>
      </c>
      <c r="AI353">
        <v>12</v>
      </c>
      <c r="AJ353">
        <v>34</v>
      </c>
    </row>
    <row r="354" spans="1:36" x14ac:dyDescent="0.25">
      <c r="A354" t="s">
        <v>598</v>
      </c>
      <c r="B354">
        <v>352</v>
      </c>
      <c r="C354" t="s">
        <v>33</v>
      </c>
      <c r="D354">
        <v>3</v>
      </c>
      <c r="F354">
        <v>2</v>
      </c>
      <c r="G354" t="s">
        <v>46</v>
      </c>
      <c r="K354" t="s">
        <v>38</v>
      </c>
      <c r="L354">
        <v>1</v>
      </c>
      <c r="M354">
        <v>1</v>
      </c>
      <c r="N354">
        <v>1</v>
      </c>
      <c r="O354" t="s">
        <v>67</v>
      </c>
      <c r="P354" t="s">
        <v>70</v>
      </c>
      <c r="S354" t="s">
        <v>43</v>
      </c>
      <c r="T354">
        <v>1</v>
      </c>
      <c r="V354">
        <v>1</v>
      </c>
      <c r="W354" t="s">
        <v>135</v>
      </c>
      <c r="AA354" t="s">
        <v>63</v>
      </c>
      <c r="AB354">
        <v>3</v>
      </c>
      <c r="AD354">
        <v>1</v>
      </c>
      <c r="AE354" t="s">
        <v>72</v>
      </c>
      <c r="AF354" t="s">
        <v>91</v>
      </c>
      <c r="AI354">
        <v>7</v>
      </c>
      <c r="AJ354">
        <v>32</v>
      </c>
    </row>
    <row r="355" spans="1:36" x14ac:dyDescent="0.25">
      <c r="A355" t="s">
        <v>599</v>
      </c>
      <c r="B355">
        <v>353</v>
      </c>
      <c r="C355" t="s">
        <v>33</v>
      </c>
      <c r="D355">
        <v>2</v>
      </c>
      <c r="F355">
        <v>1</v>
      </c>
      <c r="G355" t="s">
        <v>46</v>
      </c>
      <c r="K355" t="s">
        <v>38</v>
      </c>
      <c r="L355">
        <v>1</v>
      </c>
      <c r="M355">
        <v>1</v>
      </c>
      <c r="N355">
        <v>1</v>
      </c>
      <c r="O355" t="s">
        <v>67</v>
      </c>
      <c r="P355" t="s">
        <v>70</v>
      </c>
      <c r="S355" t="s">
        <v>43</v>
      </c>
      <c r="T355">
        <v>1</v>
      </c>
      <c r="V355">
        <v>1</v>
      </c>
      <c r="W355" t="s">
        <v>135</v>
      </c>
      <c r="X355" t="s">
        <v>136</v>
      </c>
      <c r="AA355" t="s">
        <v>227</v>
      </c>
      <c r="AB355">
        <v>1</v>
      </c>
      <c r="AC355">
        <v>1</v>
      </c>
      <c r="AD355">
        <v>1</v>
      </c>
      <c r="AE355" t="s">
        <v>228</v>
      </c>
      <c r="AI355">
        <v>3</v>
      </c>
      <c r="AJ355">
        <v>33</v>
      </c>
    </row>
    <row r="356" spans="1:36" x14ac:dyDescent="0.25">
      <c r="A356" t="s">
        <v>600</v>
      </c>
      <c r="B356">
        <v>354</v>
      </c>
      <c r="C356" t="s">
        <v>33</v>
      </c>
      <c r="D356">
        <v>2</v>
      </c>
      <c r="F356">
        <v>3</v>
      </c>
      <c r="G356" t="s">
        <v>46</v>
      </c>
      <c r="H356" t="s">
        <v>130</v>
      </c>
      <c r="K356" t="s">
        <v>38</v>
      </c>
      <c r="L356">
        <v>1</v>
      </c>
      <c r="M356">
        <v>1</v>
      </c>
      <c r="N356">
        <v>1</v>
      </c>
      <c r="O356" t="s">
        <v>67</v>
      </c>
      <c r="S356" t="s">
        <v>45</v>
      </c>
      <c r="T356">
        <v>1</v>
      </c>
      <c r="V356">
        <v>1</v>
      </c>
      <c r="W356" t="s">
        <v>47</v>
      </c>
      <c r="AA356" t="s">
        <v>63</v>
      </c>
      <c r="AB356">
        <v>2</v>
      </c>
      <c r="AD356">
        <v>1</v>
      </c>
      <c r="AE356" t="s">
        <v>72</v>
      </c>
      <c r="AF356" t="s">
        <v>95</v>
      </c>
      <c r="AG356" t="s">
        <v>147</v>
      </c>
      <c r="AI356">
        <v>7</v>
      </c>
      <c r="AJ356">
        <v>30</v>
      </c>
    </row>
    <row r="357" spans="1:36" x14ac:dyDescent="0.25">
      <c r="A357" t="s">
        <v>601</v>
      </c>
      <c r="B357">
        <v>355</v>
      </c>
      <c r="C357" t="s">
        <v>33</v>
      </c>
      <c r="D357">
        <v>2</v>
      </c>
      <c r="F357">
        <v>3</v>
      </c>
      <c r="G357" t="s">
        <v>46</v>
      </c>
      <c r="H357" t="s">
        <v>35</v>
      </c>
      <c r="I357" t="s">
        <v>131</v>
      </c>
      <c r="K357" t="s">
        <v>38</v>
      </c>
      <c r="L357">
        <v>1</v>
      </c>
      <c r="M357">
        <v>1</v>
      </c>
      <c r="N357">
        <v>1</v>
      </c>
      <c r="O357" t="s">
        <v>152</v>
      </c>
      <c r="S357" t="s">
        <v>45</v>
      </c>
      <c r="T357">
        <v>2</v>
      </c>
      <c r="V357">
        <v>1</v>
      </c>
      <c r="W357" t="s">
        <v>47</v>
      </c>
      <c r="AA357" t="s">
        <v>227</v>
      </c>
      <c r="AB357">
        <v>1</v>
      </c>
      <c r="AC357">
        <v>1</v>
      </c>
      <c r="AD357">
        <v>1</v>
      </c>
      <c r="AE357" t="s">
        <v>228</v>
      </c>
      <c r="AF357" t="s">
        <v>233</v>
      </c>
      <c r="AI357">
        <v>7</v>
      </c>
      <c r="AJ357">
        <v>25</v>
      </c>
    </row>
    <row r="358" spans="1:36" x14ac:dyDescent="0.25">
      <c r="A358" t="s">
        <v>602</v>
      </c>
      <c r="B358">
        <v>356</v>
      </c>
      <c r="C358" t="s">
        <v>33</v>
      </c>
      <c r="D358">
        <v>1</v>
      </c>
      <c r="F358">
        <v>1</v>
      </c>
      <c r="G358" t="s">
        <v>46</v>
      </c>
      <c r="K358" t="s">
        <v>38</v>
      </c>
      <c r="L358">
        <v>1</v>
      </c>
      <c r="M358">
        <v>1</v>
      </c>
      <c r="N358">
        <v>1</v>
      </c>
      <c r="O358" t="s">
        <v>152</v>
      </c>
      <c r="P358" t="s">
        <v>70</v>
      </c>
      <c r="S358" t="s">
        <v>63</v>
      </c>
      <c r="T358">
        <v>2</v>
      </c>
      <c r="V358">
        <v>1</v>
      </c>
      <c r="W358" t="s">
        <v>72</v>
      </c>
      <c r="AA358" t="s">
        <v>227</v>
      </c>
      <c r="AB358">
        <v>1</v>
      </c>
      <c r="AC358">
        <v>1</v>
      </c>
      <c r="AD358">
        <v>1</v>
      </c>
      <c r="AE358" t="s">
        <v>228</v>
      </c>
      <c r="AI358">
        <v>2</v>
      </c>
      <c r="AJ358">
        <v>23</v>
      </c>
    </row>
    <row r="359" spans="1:36" x14ac:dyDescent="0.25">
      <c r="A359" s="39" t="s">
        <v>603</v>
      </c>
      <c r="B359">
        <v>357</v>
      </c>
      <c r="C359" t="s">
        <v>33</v>
      </c>
      <c r="D359">
        <v>3</v>
      </c>
      <c r="F359">
        <v>3</v>
      </c>
      <c r="G359" t="s">
        <v>46</v>
      </c>
      <c r="H359" t="s">
        <v>66</v>
      </c>
      <c r="K359" t="s">
        <v>227</v>
      </c>
      <c r="L359">
        <v>1</v>
      </c>
      <c r="M359">
        <v>1</v>
      </c>
      <c r="N359">
        <v>1</v>
      </c>
      <c r="O359" t="s">
        <v>228</v>
      </c>
      <c r="S359" t="s">
        <v>43</v>
      </c>
      <c r="T359">
        <v>1</v>
      </c>
      <c r="V359">
        <v>3</v>
      </c>
      <c r="W359" t="s">
        <v>73</v>
      </c>
      <c r="X359" t="s">
        <v>136</v>
      </c>
      <c r="Y359" t="s">
        <v>100</v>
      </c>
      <c r="AA359" t="s">
        <v>45</v>
      </c>
      <c r="AB359">
        <v>2</v>
      </c>
      <c r="AD359">
        <v>1</v>
      </c>
      <c r="AE359" t="s">
        <v>47</v>
      </c>
      <c r="AI359">
        <v>10</v>
      </c>
      <c r="AJ359">
        <v>34</v>
      </c>
    </row>
    <row r="360" spans="1:36" x14ac:dyDescent="0.25">
      <c r="A360" t="s">
        <v>604</v>
      </c>
      <c r="B360">
        <v>358</v>
      </c>
      <c r="C360" t="s">
        <v>43</v>
      </c>
      <c r="D360">
        <v>1</v>
      </c>
      <c r="F360">
        <v>1</v>
      </c>
      <c r="G360" t="s">
        <v>73</v>
      </c>
      <c r="H360" t="s">
        <v>136</v>
      </c>
      <c r="K360" t="s">
        <v>63</v>
      </c>
      <c r="L360">
        <v>1</v>
      </c>
      <c r="N360">
        <v>2</v>
      </c>
      <c r="O360" t="s">
        <v>72</v>
      </c>
      <c r="P360" t="s">
        <v>95</v>
      </c>
      <c r="S360" t="s">
        <v>33</v>
      </c>
      <c r="T360">
        <v>1</v>
      </c>
      <c r="V360">
        <v>2</v>
      </c>
      <c r="W360" t="s">
        <v>46</v>
      </c>
      <c r="AA360" t="s">
        <v>227</v>
      </c>
      <c r="AB360">
        <v>3</v>
      </c>
      <c r="AC360">
        <v>1</v>
      </c>
      <c r="AD360">
        <v>1</v>
      </c>
      <c r="AE360" t="s">
        <v>228</v>
      </c>
      <c r="AF360" t="s">
        <v>231</v>
      </c>
      <c r="AI360">
        <v>7</v>
      </c>
      <c r="AJ360">
        <v>34</v>
      </c>
    </row>
    <row r="361" spans="1:36" x14ac:dyDescent="0.25">
      <c r="A361" t="s">
        <v>605</v>
      </c>
      <c r="B361">
        <v>359</v>
      </c>
      <c r="C361" t="s">
        <v>33</v>
      </c>
      <c r="D361">
        <v>3</v>
      </c>
      <c r="F361">
        <v>1</v>
      </c>
      <c r="G361" t="s">
        <v>46</v>
      </c>
      <c r="K361" t="s">
        <v>227</v>
      </c>
      <c r="L361">
        <v>1</v>
      </c>
      <c r="M361">
        <v>1</v>
      </c>
      <c r="N361">
        <v>1</v>
      </c>
      <c r="O361" t="s">
        <v>228</v>
      </c>
      <c r="P361" t="s">
        <v>231</v>
      </c>
      <c r="S361" t="s">
        <v>43</v>
      </c>
      <c r="T361">
        <v>1</v>
      </c>
      <c r="V361">
        <v>1</v>
      </c>
      <c r="W361" t="s">
        <v>73</v>
      </c>
      <c r="X361" t="s">
        <v>136</v>
      </c>
      <c r="AA361" t="s">
        <v>38</v>
      </c>
      <c r="AB361">
        <v>1</v>
      </c>
      <c r="AC361">
        <v>1</v>
      </c>
      <c r="AD361">
        <v>1</v>
      </c>
      <c r="AE361" t="s">
        <v>152</v>
      </c>
      <c r="AF361" t="s">
        <v>70</v>
      </c>
      <c r="AI361">
        <v>5</v>
      </c>
      <c r="AJ361">
        <v>20</v>
      </c>
    </row>
    <row r="362" spans="1:36" x14ac:dyDescent="0.25">
      <c r="A362" t="s">
        <v>606</v>
      </c>
      <c r="B362">
        <v>360</v>
      </c>
      <c r="C362" t="s">
        <v>45</v>
      </c>
      <c r="D362">
        <v>2</v>
      </c>
      <c r="F362">
        <v>1</v>
      </c>
      <c r="G362" t="s">
        <v>47</v>
      </c>
      <c r="K362" t="s">
        <v>63</v>
      </c>
      <c r="L362">
        <v>1</v>
      </c>
      <c r="N362">
        <v>1</v>
      </c>
      <c r="O362" t="s">
        <v>103</v>
      </c>
      <c r="P362" t="s">
        <v>95</v>
      </c>
      <c r="S362" t="s">
        <v>33</v>
      </c>
      <c r="T362">
        <v>1</v>
      </c>
      <c r="V362">
        <v>1</v>
      </c>
      <c r="W362" t="s">
        <v>46</v>
      </c>
      <c r="AA362" t="s">
        <v>227</v>
      </c>
      <c r="AB362">
        <v>2</v>
      </c>
      <c r="AC362">
        <v>1</v>
      </c>
      <c r="AD362">
        <v>1</v>
      </c>
      <c r="AE362" t="s">
        <v>228</v>
      </c>
      <c r="AF362" t="s">
        <v>231</v>
      </c>
      <c r="AI362">
        <v>4</v>
      </c>
      <c r="AJ362">
        <v>19</v>
      </c>
    </row>
    <row r="363" spans="1:36" x14ac:dyDescent="0.25">
      <c r="A363" t="s">
        <v>607</v>
      </c>
      <c r="B363">
        <v>361</v>
      </c>
      <c r="C363" t="s">
        <v>45</v>
      </c>
      <c r="D363">
        <v>1</v>
      </c>
      <c r="F363">
        <v>1</v>
      </c>
      <c r="G363" t="s">
        <v>47</v>
      </c>
      <c r="K363" t="s">
        <v>38</v>
      </c>
      <c r="L363">
        <v>1</v>
      </c>
      <c r="M363">
        <v>1</v>
      </c>
      <c r="N363">
        <v>1</v>
      </c>
      <c r="O363" t="s">
        <v>152</v>
      </c>
      <c r="P363" t="s">
        <v>70</v>
      </c>
      <c r="S363" t="s">
        <v>33</v>
      </c>
      <c r="T363">
        <v>2</v>
      </c>
      <c r="V363">
        <v>1</v>
      </c>
      <c r="W363" t="s">
        <v>46</v>
      </c>
      <c r="AA363" t="s">
        <v>227</v>
      </c>
      <c r="AB363">
        <v>1</v>
      </c>
      <c r="AC363">
        <v>1</v>
      </c>
      <c r="AD363">
        <v>1</v>
      </c>
      <c r="AE363" t="s">
        <v>228</v>
      </c>
      <c r="AI363">
        <v>2</v>
      </c>
      <c r="AJ363">
        <v>23</v>
      </c>
    </row>
    <row r="364" spans="1:36" x14ac:dyDescent="0.25">
      <c r="A364" t="s">
        <v>608</v>
      </c>
      <c r="B364">
        <v>362</v>
      </c>
      <c r="C364" t="s">
        <v>63</v>
      </c>
      <c r="D364">
        <v>1</v>
      </c>
      <c r="F364">
        <v>1</v>
      </c>
      <c r="G364" t="s">
        <v>72</v>
      </c>
      <c r="H364" t="s">
        <v>91</v>
      </c>
      <c r="K364" t="s">
        <v>38</v>
      </c>
      <c r="L364">
        <v>3</v>
      </c>
      <c r="M364">
        <v>1</v>
      </c>
      <c r="N364">
        <v>2</v>
      </c>
      <c r="O364" t="s">
        <v>152</v>
      </c>
      <c r="P364" t="s">
        <v>70</v>
      </c>
      <c r="Q364" t="s">
        <v>41</v>
      </c>
      <c r="R364" t="s">
        <v>156</v>
      </c>
      <c r="S364" t="s">
        <v>33</v>
      </c>
      <c r="T364">
        <v>2</v>
      </c>
      <c r="V364">
        <v>3</v>
      </c>
      <c r="W364" t="s">
        <v>46</v>
      </c>
      <c r="X364" t="s">
        <v>35</v>
      </c>
      <c r="Y364" t="s">
        <v>131</v>
      </c>
      <c r="Z364" t="s">
        <v>133</v>
      </c>
      <c r="AA364" t="s">
        <v>227</v>
      </c>
      <c r="AB364">
        <v>1</v>
      </c>
      <c r="AC364">
        <v>1</v>
      </c>
      <c r="AD364">
        <v>1</v>
      </c>
      <c r="AE364" t="s">
        <v>228</v>
      </c>
      <c r="AI364">
        <v>13</v>
      </c>
      <c r="AJ364">
        <v>52</v>
      </c>
    </row>
    <row r="365" spans="1:36" x14ac:dyDescent="0.25">
      <c r="A365" t="s">
        <v>609</v>
      </c>
      <c r="B365">
        <v>363</v>
      </c>
      <c r="C365" t="s">
        <v>63</v>
      </c>
      <c r="D365">
        <v>1</v>
      </c>
      <c r="F365">
        <v>1</v>
      </c>
      <c r="G365" t="s">
        <v>72</v>
      </c>
      <c r="H365" t="s">
        <v>146</v>
      </c>
      <c r="K365" t="s">
        <v>38</v>
      </c>
      <c r="L365">
        <v>1</v>
      </c>
      <c r="M365">
        <v>1</v>
      </c>
      <c r="N365">
        <v>2</v>
      </c>
      <c r="O365" t="s">
        <v>67</v>
      </c>
      <c r="P365" t="s">
        <v>70</v>
      </c>
      <c r="S365" t="s">
        <v>43</v>
      </c>
      <c r="T365">
        <v>1</v>
      </c>
      <c r="V365">
        <v>1</v>
      </c>
      <c r="W365" t="s">
        <v>135</v>
      </c>
      <c r="X365" t="s">
        <v>74</v>
      </c>
      <c r="AA365" t="s">
        <v>45</v>
      </c>
      <c r="AB365">
        <v>2</v>
      </c>
      <c r="AD365">
        <v>1</v>
      </c>
      <c r="AE365" t="s">
        <v>47</v>
      </c>
      <c r="AI365">
        <v>5</v>
      </c>
      <c r="AJ365">
        <v>22</v>
      </c>
    </row>
    <row r="366" spans="1:36" x14ac:dyDescent="0.25">
      <c r="A366" t="s">
        <v>610</v>
      </c>
      <c r="B366">
        <v>364</v>
      </c>
      <c r="C366" t="s">
        <v>63</v>
      </c>
      <c r="D366">
        <v>2</v>
      </c>
      <c r="F366">
        <v>1</v>
      </c>
      <c r="G366" t="s">
        <v>72</v>
      </c>
      <c r="H366" t="s">
        <v>91</v>
      </c>
      <c r="K366" t="s">
        <v>227</v>
      </c>
      <c r="L366">
        <v>1</v>
      </c>
      <c r="M366">
        <v>1</v>
      </c>
      <c r="N366">
        <v>3</v>
      </c>
      <c r="O366" t="s">
        <v>228</v>
      </c>
      <c r="S366" t="s">
        <v>43</v>
      </c>
      <c r="T366">
        <v>1</v>
      </c>
      <c r="V366">
        <v>1</v>
      </c>
      <c r="W366" t="s">
        <v>73</v>
      </c>
      <c r="X366" t="s">
        <v>99</v>
      </c>
      <c r="AA366" t="s">
        <v>45</v>
      </c>
      <c r="AB366">
        <v>3</v>
      </c>
      <c r="AD366">
        <v>1</v>
      </c>
      <c r="AE366" t="s">
        <v>47</v>
      </c>
      <c r="AI366">
        <v>7</v>
      </c>
      <c r="AJ366">
        <v>35</v>
      </c>
    </row>
    <row r="367" spans="1:36" x14ac:dyDescent="0.25">
      <c r="A367" t="s">
        <v>611</v>
      </c>
      <c r="B367">
        <v>365</v>
      </c>
      <c r="C367" t="s">
        <v>43</v>
      </c>
      <c r="D367">
        <v>1</v>
      </c>
      <c r="F367">
        <v>1</v>
      </c>
      <c r="G367" t="s">
        <v>73</v>
      </c>
      <c r="H367" t="s">
        <v>99</v>
      </c>
      <c r="I367" t="s">
        <v>137</v>
      </c>
      <c r="J367" t="s">
        <v>138</v>
      </c>
      <c r="K367" t="s">
        <v>45</v>
      </c>
      <c r="L367">
        <v>3</v>
      </c>
      <c r="N367">
        <v>1</v>
      </c>
      <c r="O367" t="s">
        <v>47</v>
      </c>
      <c r="S367" t="s">
        <v>38</v>
      </c>
      <c r="T367">
        <v>1</v>
      </c>
      <c r="U367">
        <v>1</v>
      </c>
      <c r="V367">
        <v>3</v>
      </c>
      <c r="W367" t="s">
        <v>67</v>
      </c>
      <c r="AA367" t="s">
        <v>227</v>
      </c>
      <c r="AB367">
        <v>1</v>
      </c>
      <c r="AC367">
        <v>1</v>
      </c>
      <c r="AD367">
        <v>1</v>
      </c>
      <c r="AE367" t="s">
        <v>228</v>
      </c>
      <c r="AI367">
        <v>7</v>
      </c>
      <c r="AJ367">
        <v>26</v>
      </c>
    </row>
    <row r="368" spans="1:36" x14ac:dyDescent="0.25">
      <c r="A368" t="s">
        <v>612</v>
      </c>
      <c r="B368">
        <v>366</v>
      </c>
      <c r="C368" t="s">
        <v>45</v>
      </c>
      <c r="D368">
        <v>2</v>
      </c>
      <c r="F368">
        <v>1</v>
      </c>
      <c r="G368" t="s">
        <v>47</v>
      </c>
      <c r="K368" t="s">
        <v>38</v>
      </c>
      <c r="L368">
        <v>1</v>
      </c>
      <c r="M368">
        <v>1</v>
      </c>
      <c r="N368">
        <v>1</v>
      </c>
      <c r="O368" t="s">
        <v>152</v>
      </c>
      <c r="P368" t="s">
        <v>70</v>
      </c>
      <c r="S368" t="s">
        <v>43</v>
      </c>
      <c r="T368">
        <v>1</v>
      </c>
      <c r="V368">
        <v>1</v>
      </c>
      <c r="W368" t="s">
        <v>135</v>
      </c>
      <c r="AA368" t="s">
        <v>63</v>
      </c>
      <c r="AB368">
        <v>2</v>
      </c>
      <c r="AD368">
        <v>1</v>
      </c>
      <c r="AE368" t="s">
        <v>72</v>
      </c>
      <c r="AI368">
        <v>3</v>
      </c>
      <c r="AJ368">
        <v>20</v>
      </c>
    </row>
    <row r="369" spans="1:36" x14ac:dyDescent="0.25">
      <c r="A369" t="s">
        <v>613</v>
      </c>
      <c r="B369">
        <v>367</v>
      </c>
      <c r="C369" t="s">
        <v>43</v>
      </c>
      <c r="D369">
        <v>1</v>
      </c>
      <c r="F369">
        <v>1</v>
      </c>
      <c r="G369" t="s">
        <v>73</v>
      </c>
      <c r="H369" t="s">
        <v>136</v>
      </c>
      <c r="K369" t="s">
        <v>63</v>
      </c>
      <c r="L369">
        <v>3</v>
      </c>
      <c r="N369">
        <v>1</v>
      </c>
      <c r="O369" t="s">
        <v>72</v>
      </c>
      <c r="P369" t="s">
        <v>95</v>
      </c>
      <c r="S369" t="s">
        <v>45</v>
      </c>
      <c r="T369">
        <v>3</v>
      </c>
      <c r="V369">
        <v>1</v>
      </c>
      <c r="W369" t="s">
        <v>47</v>
      </c>
      <c r="AA369" t="s">
        <v>227</v>
      </c>
      <c r="AB369">
        <v>1</v>
      </c>
      <c r="AC369">
        <v>1</v>
      </c>
      <c r="AD369">
        <v>2</v>
      </c>
      <c r="AE369" t="s">
        <v>228</v>
      </c>
      <c r="AF369" t="s">
        <v>233</v>
      </c>
      <c r="AG369" t="s">
        <v>236</v>
      </c>
      <c r="AH369" t="s">
        <v>239</v>
      </c>
      <c r="AI369">
        <v>10</v>
      </c>
      <c r="AJ369">
        <v>31</v>
      </c>
    </row>
    <row r="370" spans="1:36" x14ac:dyDescent="0.25">
      <c r="A370" t="s">
        <v>614</v>
      </c>
      <c r="B370">
        <v>368</v>
      </c>
      <c r="C370" t="s">
        <v>38</v>
      </c>
      <c r="D370">
        <v>1</v>
      </c>
      <c r="E370">
        <v>2</v>
      </c>
      <c r="F370">
        <v>2</v>
      </c>
      <c r="G370" t="s">
        <v>152</v>
      </c>
      <c r="K370" t="s">
        <v>227</v>
      </c>
      <c r="L370">
        <v>1</v>
      </c>
      <c r="M370">
        <v>1</v>
      </c>
      <c r="N370">
        <v>1</v>
      </c>
      <c r="O370" t="s">
        <v>228</v>
      </c>
      <c r="P370" t="s">
        <v>231</v>
      </c>
      <c r="S370" t="s">
        <v>43</v>
      </c>
      <c r="T370">
        <v>1</v>
      </c>
      <c r="V370">
        <v>1</v>
      </c>
      <c r="W370" t="s">
        <v>73</v>
      </c>
      <c r="X370" t="s">
        <v>99</v>
      </c>
      <c r="AA370" t="s">
        <v>63</v>
      </c>
      <c r="AB370">
        <v>1</v>
      </c>
      <c r="AD370">
        <v>1</v>
      </c>
      <c r="AE370" t="s">
        <v>103</v>
      </c>
      <c r="AF370" t="s">
        <v>91</v>
      </c>
      <c r="AI370">
        <v>5</v>
      </c>
      <c r="AJ370">
        <v>24</v>
      </c>
    </row>
    <row r="371" spans="1:36" x14ac:dyDescent="0.25">
      <c r="A371" t="s">
        <v>615</v>
      </c>
      <c r="B371">
        <v>369</v>
      </c>
      <c r="C371" t="s">
        <v>43</v>
      </c>
      <c r="D371">
        <v>2</v>
      </c>
      <c r="F371">
        <v>1</v>
      </c>
      <c r="G371" t="s">
        <v>135</v>
      </c>
      <c r="H371" t="s">
        <v>74</v>
      </c>
      <c r="I371" t="s">
        <v>75</v>
      </c>
      <c r="J371" t="s">
        <v>138</v>
      </c>
      <c r="K371" t="s">
        <v>38</v>
      </c>
      <c r="L371">
        <v>1</v>
      </c>
      <c r="M371">
        <v>1</v>
      </c>
      <c r="N371">
        <v>1</v>
      </c>
      <c r="O371" t="s">
        <v>67</v>
      </c>
      <c r="P371" t="s">
        <v>70</v>
      </c>
      <c r="S371" t="s">
        <v>45</v>
      </c>
      <c r="T371">
        <v>1</v>
      </c>
      <c r="V371">
        <v>2</v>
      </c>
      <c r="W371" t="s">
        <v>86</v>
      </c>
      <c r="AA371" t="s">
        <v>63</v>
      </c>
      <c r="AB371">
        <v>1</v>
      </c>
      <c r="AD371">
        <v>1</v>
      </c>
      <c r="AE371" t="s">
        <v>72</v>
      </c>
      <c r="AI371">
        <v>6</v>
      </c>
      <c r="AJ371">
        <v>24</v>
      </c>
    </row>
    <row r="372" spans="1:36" x14ac:dyDescent="0.25">
      <c r="A372" t="s">
        <v>616</v>
      </c>
      <c r="B372">
        <v>370</v>
      </c>
      <c r="C372" t="s">
        <v>43</v>
      </c>
      <c r="D372">
        <v>1</v>
      </c>
      <c r="F372">
        <v>1</v>
      </c>
      <c r="G372" t="s">
        <v>73</v>
      </c>
      <c r="H372" t="s">
        <v>136</v>
      </c>
      <c r="I372" t="s">
        <v>100</v>
      </c>
      <c r="J372" t="s">
        <v>138</v>
      </c>
      <c r="K372" t="s">
        <v>38</v>
      </c>
      <c r="L372">
        <v>2</v>
      </c>
      <c r="M372">
        <v>1</v>
      </c>
      <c r="N372">
        <v>1</v>
      </c>
      <c r="O372" t="s">
        <v>67</v>
      </c>
      <c r="P372" t="s">
        <v>70</v>
      </c>
      <c r="S372" t="s">
        <v>45</v>
      </c>
      <c r="T372">
        <v>3</v>
      </c>
      <c r="V372">
        <v>1</v>
      </c>
      <c r="W372" t="s">
        <v>86</v>
      </c>
      <c r="AA372" t="s">
        <v>227</v>
      </c>
      <c r="AB372">
        <v>1</v>
      </c>
      <c r="AC372">
        <v>1</v>
      </c>
      <c r="AD372">
        <v>1</v>
      </c>
      <c r="AE372" t="s">
        <v>228</v>
      </c>
      <c r="AI372">
        <v>7</v>
      </c>
      <c r="AJ372">
        <v>28</v>
      </c>
    </row>
    <row r="373" spans="1:36" x14ac:dyDescent="0.25">
      <c r="A373" t="s">
        <v>617</v>
      </c>
      <c r="B373">
        <v>371</v>
      </c>
      <c r="C373" t="s">
        <v>43</v>
      </c>
      <c r="D373">
        <v>1</v>
      </c>
      <c r="F373">
        <v>1</v>
      </c>
      <c r="G373" t="s">
        <v>73</v>
      </c>
      <c r="H373" t="s">
        <v>99</v>
      </c>
      <c r="I373" t="s">
        <v>100</v>
      </c>
      <c r="J373" t="s">
        <v>101</v>
      </c>
      <c r="K373" t="s">
        <v>38</v>
      </c>
      <c r="L373">
        <v>1</v>
      </c>
      <c r="M373">
        <v>1</v>
      </c>
      <c r="N373">
        <v>1</v>
      </c>
      <c r="O373" t="s">
        <v>152</v>
      </c>
      <c r="P373" t="s">
        <v>70</v>
      </c>
      <c r="S373" t="s">
        <v>63</v>
      </c>
      <c r="T373">
        <v>1</v>
      </c>
      <c r="V373">
        <v>1</v>
      </c>
      <c r="W373" t="s">
        <v>72</v>
      </c>
      <c r="X373" t="s">
        <v>91</v>
      </c>
      <c r="AA373" t="s">
        <v>227</v>
      </c>
      <c r="AB373">
        <v>1</v>
      </c>
      <c r="AC373">
        <v>1</v>
      </c>
      <c r="AD373">
        <v>1</v>
      </c>
      <c r="AE373" t="s">
        <v>228</v>
      </c>
      <c r="AI373">
        <v>5</v>
      </c>
      <c r="AJ373">
        <v>23</v>
      </c>
    </row>
    <row r="374" spans="1:36" x14ac:dyDescent="0.25">
      <c r="A374" t="s">
        <v>618</v>
      </c>
      <c r="B374">
        <v>372</v>
      </c>
      <c r="C374" t="s">
        <v>45</v>
      </c>
      <c r="D374">
        <v>3</v>
      </c>
      <c r="F374">
        <v>1</v>
      </c>
      <c r="G374" t="s">
        <v>47</v>
      </c>
      <c r="K374" t="s">
        <v>63</v>
      </c>
      <c r="L374">
        <v>2</v>
      </c>
      <c r="N374">
        <v>1</v>
      </c>
      <c r="O374" t="s">
        <v>72</v>
      </c>
      <c r="P374" t="s">
        <v>95</v>
      </c>
      <c r="S374" t="s">
        <v>43</v>
      </c>
      <c r="T374">
        <v>2</v>
      </c>
      <c r="V374">
        <v>1</v>
      </c>
      <c r="W374" t="s">
        <v>135</v>
      </c>
      <c r="AA374" t="s">
        <v>227</v>
      </c>
      <c r="AB374">
        <v>1</v>
      </c>
      <c r="AC374">
        <v>1</v>
      </c>
      <c r="AD374">
        <v>3</v>
      </c>
      <c r="AE374" t="s">
        <v>228</v>
      </c>
      <c r="AF374" t="s">
        <v>231</v>
      </c>
      <c r="AG374" t="s">
        <v>235</v>
      </c>
      <c r="AI374">
        <v>9</v>
      </c>
      <c r="AJ374">
        <v>28</v>
      </c>
    </row>
    <row r="375" spans="1:36" x14ac:dyDescent="0.25">
      <c r="A375" t="s">
        <v>619</v>
      </c>
      <c r="B375">
        <v>373</v>
      </c>
      <c r="C375" t="s">
        <v>45</v>
      </c>
      <c r="D375">
        <v>2</v>
      </c>
      <c r="F375">
        <v>1</v>
      </c>
      <c r="G375" t="s">
        <v>47</v>
      </c>
      <c r="K375" t="s">
        <v>38</v>
      </c>
      <c r="L375">
        <v>1</v>
      </c>
      <c r="M375">
        <v>1</v>
      </c>
      <c r="N375">
        <v>1</v>
      </c>
      <c r="O375" t="s">
        <v>152</v>
      </c>
      <c r="P375" t="s">
        <v>70</v>
      </c>
      <c r="S375" t="s">
        <v>43</v>
      </c>
      <c r="T375">
        <v>1</v>
      </c>
      <c r="V375">
        <v>1</v>
      </c>
      <c r="W375" t="s">
        <v>135</v>
      </c>
      <c r="X375" t="s">
        <v>136</v>
      </c>
      <c r="AA375" t="s">
        <v>227</v>
      </c>
      <c r="AB375">
        <v>1</v>
      </c>
      <c r="AC375">
        <v>1</v>
      </c>
      <c r="AD375">
        <v>1</v>
      </c>
      <c r="AE375" t="s">
        <v>228</v>
      </c>
      <c r="AI375">
        <v>3</v>
      </c>
      <c r="AJ375">
        <v>17</v>
      </c>
    </row>
    <row r="376" spans="1:36" x14ac:dyDescent="0.25">
      <c r="A376" t="s">
        <v>620</v>
      </c>
      <c r="B376">
        <v>374</v>
      </c>
      <c r="C376" t="s">
        <v>43</v>
      </c>
      <c r="D376">
        <v>3</v>
      </c>
      <c r="F376">
        <v>3</v>
      </c>
      <c r="G376" t="s">
        <v>135</v>
      </c>
      <c r="H376" t="s">
        <v>74</v>
      </c>
      <c r="I376" t="s">
        <v>75</v>
      </c>
      <c r="J376" t="s">
        <v>101</v>
      </c>
      <c r="K376" t="s">
        <v>227</v>
      </c>
      <c r="L376">
        <v>1</v>
      </c>
      <c r="M376">
        <v>1</v>
      </c>
      <c r="N376">
        <v>1</v>
      </c>
      <c r="O376" t="s">
        <v>228</v>
      </c>
      <c r="S376" t="s">
        <v>63</v>
      </c>
      <c r="T376">
        <v>1</v>
      </c>
      <c r="V376">
        <v>1</v>
      </c>
      <c r="W376" t="s">
        <v>72</v>
      </c>
      <c r="X376" t="s">
        <v>146</v>
      </c>
      <c r="AA376" t="s">
        <v>38</v>
      </c>
      <c r="AB376">
        <v>1</v>
      </c>
      <c r="AC376">
        <v>3</v>
      </c>
      <c r="AD376">
        <v>3</v>
      </c>
      <c r="AE376" t="s">
        <v>152</v>
      </c>
      <c r="AF376" t="s">
        <v>70</v>
      </c>
      <c r="AI376">
        <v>13</v>
      </c>
      <c r="AJ376">
        <v>32</v>
      </c>
    </row>
    <row r="377" spans="1:36" x14ac:dyDescent="0.25">
      <c r="A377" t="s">
        <v>621</v>
      </c>
      <c r="B377">
        <v>375</v>
      </c>
      <c r="C377" t="s">
        <v>38</v>
      </c>
      <c r="D377">
        <v>1</v>
      </c>
      <c r="E377">
        <v>2</v>
      </c>
      <c r="F377">
        <v>1</v>
      </c>
      <c r="G377" t="s">
        <v>67</v>
      </c>
      <c r="K377" t="s">
        <v>227</v>
      </c>
      <c r="L377">
        <v>2</v>
      </c>
      <c r="M377">
        <v>1</v>
      </c>
      <c r="N377">
        <v>3</v>
      </c>
      <c r="O377" t="s">
        <v>228</v>
      </c>
      <c r="P377" t="s">
        <v>231</v>
      </c>
      <c r="Q377" t="s">
        <v>234</v>
      </c>
      <c r="S377" t="s">
        <v>45</v>
      </c>
      <c r="T377">
        <v>2</v>
      </c>
      <c r="V377">
        <v>1</v>
      </c>
      <c r="W377" t="s">
        <v>47</v>
      </c>
      <c r="AA377" t="s">
        <v>63</v>
      </c>
      <c r="AB377">
        <v>1</v>
      </c>
      <c r="AD377">
        <v>1</v>
      </c>
      <c r="AE377" t="s">
        <v>103</v>
      </c>
      <c r="AF377" t="s">
        <v>91</v>
      </c>
      <c r="AI377">
        <v>8</v>
      </c>
      <c r="AJ377">
        <v>36</v>
      </c>
    </row>
    <row r="378" spans="1:36" x14ac:dyDescent="0.25">
      <c r="A378" t="s">
        <v>622</v>
      </c>
      <c r="B378">
        <v>376</v>
      </c>
      <c r="C378" t="s">
        <v>45</v>
      </c>
      <c r="D378">
        <v>3</v>
      </c>
      <c r="F378">
        <v>1</v>
      </c>
      <c r="G378" t="s">
        <v>47</v>
      </c>
      <c r="K378" t="s">
        <v>38</v>
      </c>
      <c r="L378">
        <v>1</v>
      </c>
      <c r="M378">
        <v>1</v>
      </c>
      <c r="N378">
        <v>1</v>
      </c>
      <c r="O378" t="s">
        <v>152</v>
      </c>
      <c r="P378" t="s">
        <v>70</v>
      </c>
      <c r="S378" t="s">
        <v>63</v>
      </c>
      <c r="T378">
        <v>2</v>
      </c>
      <c r="V378">
        <v>1</v>
      </c>
      <c r="W378" t="s">
        <v>72</v>
      </c>
      <c r="AA378" t="s">
        <v>227</v>
      </c>
      <c r="AB378">
        <v>1</v>
      </c>
      <c r="AC378">
        <v>1</v>
      </c>
      <c r="AD378">
        <v>1</v>
      </c>
      <c r="AE378" t="s">
        <v>228</v>
      </c>
      <c r="AI378">
        <v>4</v>
      </c>
      <c r="AJ378">
        <v>29</v>
      </c>
    </row>
    <row r="379" spans="1:36" x14ac:dyDescent="0.25">
      <c r="A379" t="s">
        <v>623</v>
      </c>
      <c r="B379">
        <v>377</v>
      </c>
      <c r="C379" t="s">
        <v>45</v>
      </c>
      <c r="D379">
        <v>2</v>
      </c>
      <c r="F379">
        <v>1</v>
      </c>
      <c r="G379" t="s">
        <v>47</v>
      </c>
      <c r="K379" t="s">
        <v>227</v>
      </c>
      <c r="L379">
        <v>1</v>
      </c>
      <c r="M379">
        <v>1</v>
      </c>
      <c r="N379">
        <v>1</v>
      </c>
      <c r="O379" t="s">
        <v>228</v>
      </c>
      <c r="P379" t="s">
        <v>233</v>
      </c>
      <c r="Q379" t="s">
        <v>236</v>
      </c>
      <c r="S379" t="s">
        <v>63</v>
      </c>
      <c r="T379">
        <v>3</v>
      </c>
      <c r="V379">
        <v>1</v>
      </c>
      <c r="W379" t="s">
        <v>72</v>
      </c>
      <c r="X379" t="s">
        <v>95</v>
      </c>
      <c r="AA379" t="s">
        <v>38</v>
      </c>
      <c r="AB379">
        <v>1</v>
      </c>
      <c r="AC379">
        <v>1</v>
      </c>
      <c r="AD379">
        <v>1</v>
      </c>
      <c r="AE379" t="s">
        <v>152</v>
      </c>
      <c r="AF379" t="s">
        <v>70</v>
      </c>
      <c r="AI379">
        <v>7</v>
      </c>
      <c r="AJ379">
        <v>33</v>
      </c>
    </row>
  </sheetData>
  <phoneticPr fontId="3" type="noConversion"/>
  <conditionalFormatting sqref="B1:B1048576">
    <cfRule type="duplicateValues" dxfId="15" priority="1"/>
  </conditionalFormatting>
  <conditionalFormatting sqref="A2:B379">
    <cfRule type="duplicateValues" dxfId="14" priority="3560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0"/>
  <sheetViews>
    <sheetView topLeftCell="A10" workbookViewId="0">
      <selection activeCell="O24" sqref="O24"/>
    </sheetView>
  </sheetViews>
  <sheetFormatPr defaultRowHeight="15" x14ac:dyDescent="0.25"/>
  <cols>
    <col min="1" max="1" width="10.5703125" bestFit="1" customWidth="1"/>
    <col min="2" max="2" width="11.42578125" bestFit="1" customWidth="1"/>
    <col min="3" max="3" width="13.5703125" customWidth="1"/>
    <col min="4" max="5" width="11.42578125" bestFit="1" customWidth="1"/>
    <col min="6" max="6" width="13.5703125" bestFit="1" customWidth="1"/>
    <col min="7" max="7" width="9.42578125" bestFit="1" customWidth="1"/>
    <col min="9" max="10" width="11.42578125" bestFit="1" customWidth="1"/>
    <col min="11" max="11" width="9.42578125" bestFit="1" customWidth="1"/>
    <col min="12" max="12" width="7.42578125" bestFit="1" customWidth="1"/>
    <col min="13" max="13" width="10.85546875" bestFit="1" customWidth="1"/>
    <col min="15" max="15" width="25.140625" bestFit="1" customWidth="1"/>
    <col min="16" max="16" width="3" bestFit="1" customWidth="1"/>
    <col min="18" max="18" width="9.28515625" bestFit="1" customWidth="1"/>
  </cols>
  <sheetData>
    <row r="1" spans="1:16" ht="15.75" thickBot="1" x14ac:dyDescent="0.3">
      <c r="A1" s="36" t="s">
        <v>78</v>
      </c>
      <c r="B1" s="37"/>
      <c r="C1" s="37"/>
      <c r="D1" s="37"/>
      <c r="E1" s="37"/>
      <c r="F1" s="37"/>
      <c r="G1" s="38"/>
      <c r="I1" s="36" t="s">
        <v>82</v>
      </c>
      <c r="J1" s="37"/>
      <c r="K1" s="37"/>
      <c r="L1" s="37"/>
      <c r="M1" s="38"/>
      <c r="O1" s="4" t="s">
        <v>157</v>
      </c>
      <c r="P1" s="30">
        <f>MIN(Scenario0[crystals])</f>
        <v>1</v>
      </c>
    </row>
    <row r="2" spans="1:16" ht="15.75" thickBot="1" x14ac:dyDescent="0.3">
      <c r="A2" t="s">
        <v>59</v>
      </c>
      <c r="B2" t="s">
        <v>60</v>
      </c>
      <c r="C2" t="s">
        <v>81</v>
      </c>
      <c r="D2" t="s">
        <v>61</v>
      </c>
      <c r="E2" t="s">
        <v>62</v>
      </c>
      <c r="F2" t="s">
        <v>77</v>
      </c>
      <c r="G2" t="s">
        <v>58</v>
      </c>
      <c r="I2" t="s">
        <v>59</v>
      </c>
      <c r="J2" t="s">
        <v>60</v>
      </c>
      <c r="K2" t="s">
        <v>58</v>
      </c>
      <c r="L2" t="s">
        <v>79</v>
      </c>
      <c r="M2" t="s">
        <v>80</v>
      </c>
      <c r="O2" s="4" t="s">
        <v>107</v>
      </c>
      <c r="P2" s="30">
        <f>AVERAGE(Scenario0[crystals])</f>
        <v>6.2989417989417991</v>
      </c>
    </row>
    <row r="3" spans="1:16" ht="15.75" thickBot="1" x14ac:dyDescent="0.3">
      <c r="A3" t="s">
        <v>53</v>
      </c>
      <c r="B3" t="s">
        <v>56</v>
      </c>
      <c r="C3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" t="s">
        <v>48</v>
      </c>
      <c r="E3" t="s">
        <v>33</v>
      </c>
      <c r="F3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">
        <f>ScenarioStat0[[#This Row],[team-1-win]]+ScenarioStat0[[#This Row],[team-2-win]]</f>
        <v>1</v>
      </c>
      <c r="I3" t="s">
        <v>53</v>
      </c>
      <c r="J3" t="s">
        <v>56</v>
      </c>
      <c r="K3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3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7</v>
      </c>
      <c r="M3" s="3">
        <f>IF(ScenarioTeams0[[#This Row],[battles]],ScenarioTeams0[[#This Row],[wins]]/ScenarioTeams0[[#This Row],[battles]],0)</f>
        <v>0.33333333333333331</v>
      </c>
      <c r="O3" s="4" t="s">
        <v>159</v>
      </c>
      <c r="P3" s="30">
        <f>MAX(Scenario0[crystals])</f>
        <v>18</v>
      </c>
    </row>
    <row r="4" spans="1:16" ht="15.75" thickBot="1" x14ac:dyDescent="0.3">
      <c r="A4" t="s">
        <v>53</v>
      </c>
      <c r="B4" t="s">
        <v>56</v>
      </c>
      <c r="C4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4" t="s">
        <v>48</v>
      </c>
      <c r="E4" t="s">
        <v>43</v>
      </c>
      <c r="F4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4">
        <f>ScenarioStat0[[#This Row],[team-1-win]]+ScenarioStat0[[#This Row],[team-2-win]]</f>
        <v>1</v>
      </c>
      <c r="I4" t="s">
        <v>53</v>
      </c>
      <c r="J4" t="s">
        <v>48</v>
      </c>
      <c r="K4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4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6</v>
      </c>
      <c r="M4" s="3">
        <f>IF(ScenarioTeams0[[#This Row],[battles]],ScenarioTeams0[[#This Row],[wins]]/ScenarioTeams0[[#This Row],[battles]],0)</f>
        <v>0.2857142857142857</v>
      </c>
    </row>
    <row r="5" spans="1:16" ht="15.75" thickBot="1" x14ac:dyDescent="0.3">
      <c r="A5" t="s">
        <v>53</v>
      </c>
      <c r="B5" t="s">
        <v>56</v>
      </c>
      <c r="C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5" t="s">
        <v>48</v>
      </c>
      <c r="E5" t="s">
        <v>45</v>
      </c>
      <c r="F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5">
        <f>ScenarioStat0[[#This Row],[team-1-win]]+ScenarioStat0[[#This Row],[team-2-win]]</f>
        <v>1</v>
      </c>
      <c r="I5" t="s">
        <v>53</v>
      </c>
      <c r="J5" t="s">
        <v>33</v>
      </c>
      <c r="K5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5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15</v>
      </c>
      <c r="M5" s="3">
        <f>IF(ScenarioTeams0[[#This Row],[battles]],ScenarioTeams0[[#This Row],[wins]]/ScenarioTeams0[[#This Row],[battles]],0)</f>
        <v>0.7142857142857143</v>
      </c>
      <c r="O5" s="4" t="s">
        <v>158</v>
      </c>
      <c r="P5" s="30">
        <f>MIN(Scenario0[turns])</f>
        <v>16</v>
      </c>
    </row>
    <row r="6" spans="1:16" ht="15.75" thickBot="1" x14ac:dyDescent="0.3">
      <c r="A6" t="s">
        <v>53</v>
      </c>
      <c r="B6" t="s">
        <v>56</v>
      </c>
      <c r="C6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6" t="s">
        <v>48</v>
      </c>
      <c r="E6" t="s">
        <v>63</v>
      </c>
      <c r="F6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6">
        <f>ScenarioStat0[[#This Row],[team-1-win]]+ScenarioStat0[[#This Row],[team-2-win]]</f>
        <v>1</v>
      </c>
      <c r="I6" t="s">
        <v>53</v>
      </c>
      <c r="J6" t="s">
        <v>43</v>
      </c>
      <c r="K6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6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13</v>
      </c>
      <c r="M6" s="3">
        <f>IF(ScenarioTeams0[[#This Row],[battles]],ScenarioTeams0[[#This Row],[wins]]/ScenarioTeams0[[#This Row],[battles]],0)</f>
        <v>0.61904761904761907</v>
      </c>
      <c r="O6" s="5" t="s">
        <v>108</v>
      </c>
      <c r="P6" s="31">
        <f>AVERAGE(Scenario0[turns])</f>
        <v>28.071428571428573</v>
      </c>
    </row>
    <row r="7" spans="1:16" ht="15.75" thickBot="1" x14ac:dyDescent="0.3">
      <c r="A7" t="s">
        <v>53</v>
      </c>
      <c r="B7" t="s">
        <v>56</v>
      </c>
      <c r="C7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7" t="s">
        <v>48</v>
      </c>
      <c r="E7" t="s">
        <v>38</v>
      </c>
      <c r="F7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7">
        <f>ScenarioStat0[[#This Row],[team-1-win]]+ScenarioStat0[[#This Row],[team-2-win]]</f>
        <v>1</v>
      </c>
      <c r="I7" t="s">
        <v>53</v>
      </c>
      <c r="J7" t="s">
        <v>45</v>
      </c>
      <c r="K7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7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9</v>
      </c>
      <c r="M7" s="3">
        <f>IF(ScenarioTeams0[[#This Row],[battles]],ScenarioTeams0[[#This Row],[wins]]/ScenarioTeams0[[#This Row],[battles]],0)</f>
        <v>0.42857142857142855</v>
      </c>
      <c r="O7" s="5" t="s">
        <v>160</v>
      </c>
      <c r="P7" s="31">
        <f>MAX(Scenario0[turns])</f>
        <v>69</v>
      </c>
    </row>
    <row r="8" spans="1:16" ht="15.75" thickBot="1" x14ac:dyDescent="0.3">
      <c r="A8" t="s">
        <v>53</v>
      </c>
      <c r="B8" t="s">
        <v>56</v>
      </c>
      <c r="C8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8" t="s">
        <v>48</v>
      </c>
      <c r="E8" t="s">
        <v>227</v>
      </c>
      <c r="F8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8">
        <f>ScenarioStat0[[#This Row],[team-1-win]]+ScenarioStat0[[#This Row],[team-2-win]]</f>
        <v>1</v>
      </c>
      <c r="I8" t="s">
        <v>53</v>
      </c>
      <c r="J8" t="s">
        <v>63</v>
      </c>
      <c r="K8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8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8</v>
      </c>
      <c r="M8" s="3">
        <f>IF(ScenarioTeams0[[#This Row],[battles]],ScenarioTeams0[[#This Row],[wins]]/ScenarioTeams0[[#This Row],[battles]],0)</f>
        <v>0.38095238095238093</v>
      </c>
    </row>
    <row r="9" spans="1:16" ht="15.75" thickBot="1" x14ac:dyDescent="0.3">
      <c r="A9" t="s">
        <v>53</v>
      </c>
      <c r="B9" t="s">
        <v>56</v>
      </c>
      <c r="C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9" t="s">
        <v>33</v>
      </c>
      <c r="E9" t="s">
        <v>43</v>
      </c>
      <c r="F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9">
        <f>ScenarioStat0[[#This Row],[team-1-win]]+ScenarioStat0[[#This Row],[team-2-win]]</f>
        <v>1</v>
      </c>
      <c r="I9" t="s">
        <v>53</v>
      </c>
      <c r="J9" t="s">
        <v>38</v>
      </c>
      <c r="K9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9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11</v>
      </c>
      <c r="M9" s="3">
        <f>IF(ScenarioTeams0[[#This Row],[battles]],ScenarioTeams0[[#This Row],[wins]]/ScenarioTeams0[[#This Row],[battles]],0)</f>
        <v>0.52380952380952384</v>
      </c>
      <c r="O9" s="4" t="s">
        <v>185</v>
      </c>
      <c r="P9" s="30">
        <f>120000*$P$6/1000/60</f>
        <v>56.142857142857139</v>
      </c>
    </row>
    <row r="10" spans="1:16" ht="15.75" thickBot="1" x14ac:dyDescent="0.3">
      <c r="A10" t="s">
        <v>53</v>
      </c>
      <c r="B10" t="s">
        <v>56</v>
      </c>
      <c r="C10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0" t="s">
        <v>33</v>
      </c>
      <c r="E10" t="s">
        <v>45</v>
      </c>
      <c r="F10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0">
        <f>ScenarioStat0[[#This Row],[team-1-win]]+ScenarioStat0[[#This Row],[team-2-win]]</f>
        <v>1</v>
      </c>
      <c r="I10" t="s">
        <v>53</v>
      </c>
      <c r="J10" t="s">
        <v>227</v>
      </c>
      <c r="K10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10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4</v>
      </c>
      <c r="M10" s="3">
        <f>IF(ScenarioTeams0[[#This Row],[battles]],ScenarioTeams0[[#This Row],[wins]]/ScenarioTeams0[[#This Row],[battles]],0)</f>
        <v>0.19047619047619047</v>
      </c>
      <c r="O10" s="5" t="s">
        <v>186</v>
      </c>
      <c r="P10" s="31">
        <f>P9*COUNTA(ScenarioStat0[hero-1])/60/24</f>
        <v>14.737499999999999</v>
      </c>
    </row>
    <row r="11" spans="1:16" x14ac:dyDescent="0.25">
      <c r="A11" t="s">
        <v>53</v>
      </c>
      <c r="B11" t="s">
        <v>56</v>
      </c>
      <c r="C11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1" t="s">
        <v>33</v>
      </c>
      <c r="E11" t="s">
        <v>63</v>
      </c>
      <c r="F11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1">
        <f>ScenarioStat0[[#This Row],[team-1-win]]+ScenarioStat0[[#This Row],[team-2-win]]</f>
        <v>1</v>
      </c>
      <c r="I11" t="s">
        <v>56</v>
      </c>
      <c r="J11" t="s">
        <v>48</v>
      </c>
      <c r="K11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11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12</v>
      </c>
      <c r="M11" s="3">
        <f>IF(ScenarioTeams0[[#This Row],[battles]],ScenarioTeams0[[#This Row],[wins]]/ScenarioTeams0[[#This Row],[battles]],0)</f>
        <v>0.5714285714285714</v>
      </c>
    </row>
    <row r="12" spans="1:16" x14ac:dyDescent="0.25">
      <c r="A12" t="s">
        <v>53</v>
      </c>
      <c r="B12" t="s">
        <v>56</v>
      </c>
      <c r="C12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2" t="s">
        <v>33</v>
      </c>
      <c r="E12" t="s">
        <v>38</v>
      </c>
      <c r="F12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2">
        <f>ScenarioStat0[[#This Row],[team-1-win]]+ScenarioStat0[[#This Row],[team-2-win]]</f>
        <v>1</v>
      </c>
      <c r="I12" t="s">
        <v>56</v>
      </c>
      <c r="J12" t="s">
        <v>33</v>
      </c>
      <c r="K12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12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14</v>
      </c>
      <c r="M12" s="3">
        <f>IF(ScenarioTeams0[[#This Row],[battles]],ScenarioTeams0[[#This Row],[wins]]/ScenarioTeams0[[#This Row],[battles]],0)</f>
        <v>0.66666666666666663</v>
      </c>
    </row>
    <row r="13" spans="1:16" x14ac:dyDescent="0.25">
      <c r="A13" t="s">
        <v>53</v>
      </c>
      <c r="B13" t="s">
        <v>56</v>
      </c>
      <c r="C13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3" t="s">
        <v>33</v>
      </c>
      <c r="E13" t="s">
        <v>227</v>
      </c>
      <c r="F13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3">
        <f>ScenarioStat0[[#This Row],[team-1-win]]+ScenarioStat0[[#This Row],[team-2-win]]</f>
        <v>1</v>
      </c>
      <c r="I13" t="s">
        <v>56</v>
      </c>
      <c r="J13" t="s">
        <v>43</v>
      </c>
      <c r="K13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13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9</v>
      </c>
      <c r="M13" s="3">
        <f>IF(ScenarioTeams0[[#This Row],[battles]],ScenarioTeams0[[#This Row],[wins]]/ScenarioTeams0[[#This Row],[battles]],0)</f>
        <v>0.42857142857142855</v>
      </c>
    </row>
    <row r="14" spans="1:16" x14ac:dyDescent="0.25">
      <c r="A14" t="s">
        <v>53</v>
      </c>
      <c r="B14" t="s">
        <v>56</v>
      </c>
      <c r="C14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4" t="s">
        <v>43</v>
      </c>
      <c r="E14" t="s">
        <v>45</v>
      </c>
      <c r="F14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4">
        <f>ScenarioStat0[[#This Row],[team-1-win]]+ScenarioStat0[[#This Row],[team-2-win]]</f>
        <v>1</v>
      </c>
      <c r="I14" t="s">
        <v>56</v>
      </c>
      <c r="J14" t="s">
        <v>45</v>
      </c>
      <c r="K14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14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10</v>
      </c>
      <c r="M14" s="3">
        <f>IF(ScenarioTeams0[[#This Row],[battles]],ScenarioTeams0[[#This Row],[wins]]/ScenarioTeams0[[#This Row],[battles]],0)</f>
        <v>0.47619047619047616</v>
      </c>
    </row>
    <row r="15" spans="1:16" x14ac:dyDescent="0.25">
      <c r="A15" t="s">
        <v>53</v>
      </c>
      <c r="B15" t="s">
        <v>56</v>
      </c>
      <c r="C1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5" t="s">
        <v>43</v>
      </c>
      <c r="E15" t="s">
        <v>63</v>
      </c>
      <c r="F1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5">
        <f>ScenarioStat0[[#This Row],[team-1-win]]+ScenarioStat0[[#This Row],[team-2-win]]</f>
        <v>1</v>
      </c>
      <c r="I15" t="s">
        <v>56</v>
      </c>
      <c r="J15" t="s">
        <v>63</v>
      </c>
      <c r="K15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15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7</v>
      </c>
      <c r="M15" s="3">
        <f>IF(ScenarioTeams0[[#This Row],[battles]],ScenarioTeams0[[#This Row],[wins]]/ScenarioTeams0[[#This Row],[battles]],0)</f>
        <v>0.33333333333333331</v>
      </c>
    </row>
    <row r="16" spans="1:16" x14ac:dyDescent="0.25">
      <c r="A16" t="s">
        <v>53</v>
      </c>
      <c r="B16" t="s">
        <v>56</v>
      </c>
      <c r="C16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6" t="s">
        <v>43</v>
      </c>
      <c r="E16" t="s">
        <v>38</v>
      </c>
      <c r="F16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6">
        <f>ScenarioStat0[[#This Row],[team-1-win]]+ScenarioStat0[[#This Row],[team-2-win]]</f>
        <v>1</v>
      </c>
      <c r="I16" t="s">
        <v>56</v>
      </c>
      <c r="J16" t="s">
        <v>38</v>
      </c>
      <c r="K16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16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9</v>
      </c>
      <c r="M16" s="3">
        <f>IF(ScenarioTeams0[[#This Row],[battles]],ScenarioTeams0[[#This Row],[wins]]/ScenarioTeams0[[#This Row],[battles]],0)</f>
        <v>0.42857142857142855</v>
      </c>
    </row>
    <row r="17" spans="1:13" x14ac:dyDescent="0.25">
      <c r="A17" t="s">
        <v>53</v>
      </c>
      <c r="B17" t="s">
        <v>56</v>
      </c>
      <c r="C17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7" t="s">
        <v>43</v>
      </c>
      <c r="E17" t="s">
        <v>227</v>
      </c>
      <c r="F17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7">
        <f>ScenarioStat0[[#This Row],[team-1-win]]+ScenarioStat0[[#This Row],[team-2-win]]</f>
        <v>1</v>
      </c>
      <c r="I17" t="s">
        <v>56</v>
      </c>
      <c r="J17" t="s">
        <v>227</v>
      </c>
      <c r="K17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17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5</v>
      </c>
      <c r="M17" s="3">
        <f>IF(ScenarioTeams0[[#This Row],[battles]],ScenarioTeams0[[#This Row],[wins]]/ScenarioTeams0[[#This Row],[battles]],0)</f>
        <v>0.23809523809523808</v>
      </c>
    </row>
    <row r="18" spans="1:13" x14ac:dyDescent="0.25">
      <c r="A18" t="s">
        <v>53</v>
      </c>
      <c r="B18" t="s">
        <v>56</v>
      </c>
      <c r="C18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8" t="s">
        <v>45</v>
      </c>
      <c r="E18" t="s">
        <v>63</v>
      </c>
      <c r="F18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8">
        <f>ScenarioStat0[[#This Row],[team-1-win]]+ScenarioStat0[[#This Row],[team-2-win]]</f>
        <v>1</v>
      </c>
      <c r="I18" t="s">
        <v>48</v>
      </c>
      <c r="J18" t="s">
        <v>33</v>
      </c>
      <c r="K18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18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12</v>
      </c>
      <c r="M18" s="3">
        <f>IF(ScenarioTeams0[[#This Row],[battles]],ScenarioTeams0[[#This Row],[wins]]/ScenarioTeams0[[#This Row],[battles]],0)</f>
        <v>0.5714285714285714</v>
      </c>
    </row>
    <row r="19" spans="1:13" x14ac:dyDescent="0.25">
      <c r="A19" t="s">
        <v>53</v>
      </c>
      <c r="B19" t="s">
        <v>56</v>
      </c>
      <c r="C19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9" t="s">
        <v>45</v>
      </c>
      <c r="E19" t="s">
        <v>38</v>
      </c>
      <c r="F19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9">
        <f>ScenarioStat0[[#This Row],[team-1-win]]+ScenarioStat0[[#This Row],[team-2-win]]</f>
        <v>1</v>
      </c>
      <c r="I19" t="s">
        <v>48</v>
      </c>
      <c r="J19" t="s">
        <v>43</v>
      </c>
      <c r="K19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19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12</v>
      </c>
      <c r="M19" s="3">
        <f>IF(ScenarioTeams0[[#This Row],[battles]],ScenarioTeams0[[#This Row],[wins]]/ScenarioTeams0[[#This Row],[battles]],0)</f>
        <v>0.5714285714285714</v>
      </c>
    </row>
    <row r="20" spans="1:13" x14ac:dyDescent="0.25">
      <c r="A20" t="s">
        <v>53</v>
      </c>
      <c r="B20" t="s">
        <v>56</v>
      </c>
      <c r="C20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0" t="s">
        <v>45</v>
      </c>
      <c r="E20" t="s">
        <v>227</v>
      </c>
      <c r="F20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0">
        <f>ScenarioStat0[[#This Row],[team-1-win]]+ScenarioStat0[[#This Row],[team-2-win]]</f>
        <v>1</v>
      </c>
      <c r="I20" t="s">
        <v>48</v>
      </c>
      <c r="J20" t="s">
        <v>45</v>
      </c>
      <c r="K20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20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14</v>
      </c>
      <c r="M20" s="3">
        <f>IF(ScenarioTeams0[[#This Row],[battles]],ScenarioTeams0[[#This Row],[wins]]/ScenarioTeams0[[#This Row],[battles]],0)</f>
        <v>0.66666666666666663</v>
      </c>
    </row>
    <row r="21" spans="1:13" x14ac:dyDescent="0.25">
      <c r="A21" t="s">
        <v>53</v>
      </c>
      <c r="B21" t="s">
        <v>56</v>
      </c>
      <c r="C21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1" t="s">
        <v>63</v>
      </c>
      <c r="E21" t="s">
        <v>38</v>
      </c>
      <c r="F21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1">
        <f>ScenarioStat0[[#This Row],[team-1-win]]+ScenarioStat0[[#This Row],[team-2-win]]</f>
        <v>1</v>
      </c>
      <c r="I21" t="s">
        <v>48</v>
      </c>
      <c r="J21" t="s">
        <v>63</v>
      </c>
      <c r="K21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21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12</v>
      </c>
      <c r="M21" s="3">
        <f>IF(ScenarioTeams0[[#This Row],[battles]],ScenarioTeams0[[#This Row],[wins]]/ScenarioTeams0[[#This Row],[battles]],0)</f>
        <v>0.5714285714285714</v>
      </c>
    </row>
    <row r="22" spans="1:13" x14ac:dyDescent="0.25">
      <c r="A22" t="s">
        <v>53</v>
      </c>
      <c r="B22" t="s">
        <v>56</v>
      </c>
      <c r="C22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2" t="s">
        <v>63</v>
      </c>
      <c r="E22" t="s">
        <v>227</v>
      </c>
      <c r="F22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2">
        <f>ScenarioStat0[[#This Row],[team-1-win]]+ScenarioStat0[[#This Row],[team-2-win]]</f>
        <v>1</v>
      </c>
      <c r="I22" t="s">
        <v>48</v>
      </c>
      <c r="J22" t="s">
        <v>38</v>
      </c>
      <c r="K22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22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14</v>
      </c>
      <c r="M22" s="3">
        <f>IF(ScenarioTeams0[[#This Row],[battles]],ScenarioTeams0[[#This Row],[wins]]/ScenarioTeams0[[#This Row],[battles]],0)</f>
        <v>0.66666666666666663</v>
      </c>
    </row>
    <row r="23" spans="1:13" x14ac:dyDescent="0.25">
      <c r="A23" t="s">
        <v>53</v>
      </c>
      <c r="B23" t="s">
        <v>56</v>
      </c>
      <c r="C23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3" t="s">
        <v>38</v>
      </c>
      <c r="E23" t="s">
        <v>227</v>
      </c>
      <c r="F23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3">
        <f>ScenarioStat0[[#This Row],[team-1-win]]+ScenarioStat0[[#This Row],[team-2-win]]</f>
        <v>1</v>
      </c>
      <c r="I23" t="s">
        <v>48</v>
      </c>
      <c r="J23" t="s">
        <v>227</v>
      </c>
      <c r="K23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23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9</v>
      </c>
      <c r="M23" s="3">
        <f>IF(ScenarioTeams0[[#This Row],[battles]],ScenarioTeams0[[#This Row],[wins]]/ScenarioTeams0[[#This Row],[battles]],0)</f>
        <v>0.42857142857142855</v>
      </c>
    </row>
    <row r="24" spans="1:13" x14ac:dyDescent="0.25">
      <c r="A24" t="s">
        <v>53</v>
      </c>
      <c r="B24" t="s">
        <v>48</v>
      </c>
      <c r="C24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4" t="s">
        <v>56</v>
      </c>
      <c r="E24" t="s">
        <v>33</v>
      </c>
      <c r="F24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4">
        <f>ScenarioStat0[[#This Row],[team-1-win]]+ScenarioStat0[[#This Row],[team-2-win]]</f>
        <v>1</v>
      </c>
      <c r="I24" t="s">
        <v>33</v>
      </c>
      <c r="J24" t="s">
        <v>43</v>
      </c>
      <c r="K24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24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12</v>
      </c>
      <c r="M24" s="3">
        <f>IF(ScenarioTeams0[[#This Row],[battles]],ScenarioTeams0[[#This Row],[wins]]/ScenarioTeams0[[#This Row],[battles]],0)</f>
        <v>0.5714285714285714</v>
      </c>
    </row>
    <row r="25" spans="1:13" x14ac:dyDescent="0.25">
      <c r="A25" t="s">
        <v>53</v>
      </c>
      <c r="B25" t="s">
        <v>48</v>
      </c>
      <c r="C2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5" t="s">
        <v>56</v>
      </c>
      <c r="E25" t="s">
        <v>43</v>
      </c>
      <c r="F2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5">
        <f>ScenarioStat0[[#This Row],[team-1-win]]+ScenarioStat0[[#This Row],[team-2-win]]</f>
        <v>1</v>
      </c>
      <c r="I25" t="s">
        <v>33</v>
      </c>
      <c r="J25" t="s">
        <v>45</v>
      </c>
      <c r="K25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25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15</v>
      </c>
      <c r="M25" s="3">
        <f>IF(ScenarioTeams0[[#This Row],[battles]],ScenarioTeams0[[#This Row],[wins]]/ScenarioTeams0[[#This Row],[battles]],0)</f>
        <v>0.7142857142857143</v>
      </c>
    </row>
    <row r="26" spans="1:13" x14ac:dyDescent="0.25">
      <c r="A26" t="s">
        <v>53</v>
      </c>
      <c r="B26" t="s">
        <v>48</v>
      </c>
      <c r="C26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6" t="s">
        <v>56</v>
      </c>
      <c r="E26" t="s">
        <v>45</v>
      </c>
      <c r="F26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6">
        <f>ScenarioStat0[[#This Row],[team-1-win]]+ScenarioStat0[[#This Row],[team-2-win]]</f>
        <v>1</v>
      </c>
      <c r="I26" t="s">
        <v>33</v>
      </c>
      <c r="J26" t="s">
        <v>63</v>
      </c>
      <c r="K26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26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13</v>
      </c>
      <c r="M26" s="3">
        <f>IF(ScenarioTeams0[[#This Row],[battles]],ScenarioTeams0[[#This Row],[wins]]/ScenarioTeams0[[#This Row],[battles]],0)</f>
        <v>0.61904761904761907</v>
      </c>
    </row>
    <row r="27" spans="1:13" x14ac:dyDescent="0.25">
      <c r="A27" t="s">
        <v>53</v>
      </c>
      <c r="B27" t="s">
        <v>48</v>
      </c>
      <c r="C27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7" t="s">
        <v>56</v>
      </c>
      <c r="E27" t="s">
        <v>63</v>
      </c>
      <c r="F27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7">
        <f>ScenarioStat0[[#This Row],[team-1-win]]+ScenarioStat0[[#This Row],[team-2-win]]</f>
        <v>1</v>
      </c>
      <c r="I27" t="s">
        <v>33</v>
      </c>
      <c r="J27" t="s">
        <v>38</v>
      </c>
      <c r="K27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27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16</v>
      </c>
      <c r="M27" s="3">
        <f>IF(ScenarioTeams0[[#This Row],[battles]],ScenarioTeams0[[#This Row],[wins]]/ScenarioTeams0[[#This Row],[battles]],0)</f>
        <v>0.76190476190476186</v>
      </c>
    </row>
    <row r="28" spans="1:13" x14ac:dyDescent="0.25">
      <c r="A28" t="s">
        <v>53</v>
      </c>
      <c r="B28" t="s">
        <v>48</v>
      </c>
      <c r="C28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8" t="s">
        <v>56</v>
      </c>
      <c r="E28" t="s">
        <v>38</v>
      </c>
      <c r="F28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8">
        <f>ScenarioStat0[[#This Row],[team-1-win]]+ScenarioStat0[[#This Row],[team-2-win]]</f>
        <v>1</v>
      </c>
      <c r="I28" t="s">
        <v>33</v>
      </c>
      <c r="J28" t="s">
        <v>227</v>
      </c>
      <c r="K28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28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12</v>
      </c>
      <c r="M28" s="3">
        <f>IF(ScenarioTeams0[[#This Row],[battles]],ScenarioTeams0[[#This Row],[wins]]/ScenarioTeams0[[#This Row],[battles]],0)</f>
        <v>0.5714285714285714</v>
      </c>
    </row>
    <row r="29" spans="1:13" x14ac:dyDescent="0.25">
      <c r="A29" t="s">
        <v>53</v>
      </c>
      <c r="B29" t="s">
        <v>48</v>
      </c>
      <c r="C29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9" t="s">
        <v>56</v>
      </c>
      <c r="E29" t="s">
        <v>227</v>
      </c>
      <c r="F29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9">
        <f>ScenarioStat0[[#This Row],[team-1-win]]+ScenarioStat0[[#This Row],[team-2-win]]</f>
        <v>1</v>
      </c>
      <c r="I29" t="s">
        <v>43</v>
      </c>
      <c r="J29" t="s">
        <v>45</v>
      </c>
      <c r="K29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29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7</v>
      </c>
      <c r="M29" s="3">
        <f>IF(ScenarioTeams0[[#This Row],[battles]],ScenarioTeams0[[#This Row],[wins]]/ScenarioTeams0[[#This Row],[battles]],0)</f>
        <v>0.33333333333333331</v>
      </c>
    </row>
    <row r="30" spans="1:13" x14ac:dyDescent="0.25">
      <c r="A30" t="s">
        <v>53</v>
      </c>
      <c r="B30" t="s">
        <v>48</v>
      </c>
      <c r="C30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0" t="s">
        <v>33</v>
      </c>
      <c r="E30" t="s">
        <v>43</v>
      </c>
      <c r="F30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0">
        <f>ScenarioStat0[[#This Row],[team-1-win]]+ScenarioStat0[[#This Row],[team-2-win]]</f>
        <v>1</v>
      </c>
      <c r="I30" t="s">
        <v>43</v>
      </c>
      <c r="J30" t="s">
        <v>63</v>
      </c>
      <c r="K30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30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11</v>
      </c>
      <c r="M30" s="3">
        <f>IF(ScenarioTeams0[[#This Row],[battles]],ScenarioTeams0[[#This Row],[wins]]/ScenarioTeams0[[#This Row],[battles]],0)</f>
        <v>0.52380952380952384</v>
      </c>
    </row>
    <row r="31" spans="1:13" x14ac:dyDescent="0.25">
      <c r="A31" t="s">
        <v>53</v>
      </c>
      <c r="B31" t="s">
        <v>48</v>
      </c>
      <c r="C31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1" t="s">
        <v>33</v>
      </c>
      <c r="E31" t="s">
        <v>45</v>
      </c>
      <c r="F31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1">
        <f>ScenarioStat0[[#This Row],[team-1-win]]+ScenarioStat0[[#This Row],[team-2-win]]</f>
        <v>1</v>
      </c>
      <c r="I31" t="s">
        <v>43</v>
      </c>
      <c r="J31" t="s">
        <v>38</v>
      </c>
      <c r="K31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31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18</v>
      </c>
      <c r="M31" s="3">
        <f>IF(ScenarioTeams0[[#This Row],[battles]],ScenarioTeams0[[#This Row],[wins]]/ScenarioTeams0[[#This Row],[battles]],0)</f>
        <v>0.8571428571428571</v>
      </c>
    </row>
    <row r="32" spans="1:13" x14ac:dyDescent="0.25">
      <c r="A32" t="s">
        <v>53</v>
      </c>
      <c r="B32" t="s">
        <v>48</v>
      </c>
      <c r="C32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2" t="s">
        <v>33</v>
      </c>
      <c r="E32" t="s">
        <v>63</v>
      </c>
      <c r="F32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2">
        <f>ScenarioStat0[[#This Row],[team-1-win]]+ScenarioStat0[[#This Row],[team-2-win]]</f>
        <v>1</v>
      </c>
      <c r="I32" t="s">
        <v>43</v>
      </c>
      <c r="J32" t="s">
        <v>227</v>
      </c>
      <c r="K32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32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12</v>
      </c>
      <c r="M32" s="3">
        <f>IF(ScenarioTeams0[[#This Row],[battles]],ScenarioTeams0[[#This Row],[wins]]/ScenarioTeams0[[#This Row],[battles]],0)</f>
        <v>0.5714285714285714</v>
      </c>
    </row>
    <row r="33" spans="1:13" x14ac:dyDescent="0.25">
      <c r="A33" t="s">
        <v>53</v>
      </c>
      <c r="B33" t="s">
        <v>48</v>
      </c>
      <c r="C33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3" t="s">
        <v>33</v>
      </c>
      <c r="E33" t="s">
        <v>38</v>
      </c>
      <c r="F33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3">
        <f>ScenarioStat0[[#This Row],[team-1-win]]+ScenarioStat0[[#This Row],[team-2-win]]</f>
        <v>1</v>
      </c>
      <c r="I33" t="s">
        <v>45</v>
      </c>
      <c r="J33" t="s">
        <v>63</v>
      </c>
      <c r="K33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33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8</v>
      </c>
      <c r="M33" s="3">
        <f>IF(ScenarioTeams0[[#This Row],[battles]],ScenarioTeams0[[#This Row],[wins]]/ScenarioTeams0[[#This Row],[battles]],0)</f>
        <v>0.38095238095238093</v>
      </c>
    </row>
    <row r="34" spans="1:13" x14ac:dyDescent="0.25">
      <c r="A34" t="s">
        <v>53</v>
      </c>
      <c r="B34" t="s">
        <v>48</v>
      </c>
      <c r="C34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4" t="s">
        <v>33</v>
      </c>
      <c r="E34" t="s">
        <v>227</v>
      </c>
      <c r="F34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4">
        <f>ScenarioStat0[[#This Row],[team-1-win]]+ScenarioStat0[[#This Row],[team-2-win]]</f>
        <v>1</v>
      </c>
      <c r="I34" t="s">
        <v>45</v>
      </c>
      <c r="J34" t="s">
        <v>38</v>
      </c>
      <c r="K34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34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11</v>
      </c>
      <c r="M34" s="3">
        <f>IF(ScenarioTeams0[[#This Row],[battles]],ScenarioTeams0[[#This Row],[wins]]/ScenarioTeams0[[#This Row],[battles]],0)</f>
        <v>0.52380952380952384</v>
      </c>
    </row>
    <row r="35" spans="1:13" x14ac:dyDescent="0.25">
      <c r="A35" t="s">
        <v>53</v>
      </c>
      <c r="B35" t="s">
        <v>48</v>
      </c>
      <c r="C3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5" t="s">
        <v>43</v>
      </c>
      <c r="E35" t="s">
        <v>45</v>
      </c>
      <c r="F3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5">
        <f>ScenarioStat0[[#This Row],[team-1-win]]+ScenarioStat0[[#This Row],[team-2-win]]</f>
        <v>1</v>
      </c>
      <c r="I35" t="s">
        <v>45</v>
      </c>
      <c r="J35" t="s">
        <v>227</v>
      </c>
      <c r="K35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35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7</v>
      </c>
      <c r="M35" s="3">
        <f>IF(ScenarioTeams0[[#This Row],[battles]],ScenarioTeams0[[#This Row],[wins]]/ScenarioTeams0[[#This Row],[battles]],0)</f>
        <v>0.33333333333333331</v>
      </c>
    </row>
    <row r="36" spans="1:13" x14ac:dyDescent="0.25">
      <c r="A36" t="s">
        <v>53</v>
      </c>
      <c r="B36" t="s">
        <v>48</v>
      </c>
      <c r="C36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6" t="s">
        <v>43</v>
      </c>
      <c r="E36" t="s">
        <v>63</v>
      </c>
      <c r="F36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6">
        <f>ScenarioStat0[[#This Row],[team-1-win]]+ScenarioStat0[[#This Row],[team-2-win]]</f>
        <v>1</v>
      </c>
      <c r="I36" t="s">
        <v>63</v>
      </c>
      <c r="J36" t="s">
        <v>38</v>
      </c>
      <c r="K36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36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7</v>
      </c>
      <c r="M36" s="3">
        <f>IF(ScenarioTeams0[[#This Row],[battles]],ScenarioTeams0[[#This Row],[wins]]/ScenarioTeams0[[#This Row],[battles]],0)</f>
        <v>0.33333333333333331</v>
      </c>
    </row>
    <row r="37" spans="1:13" x14ac:dyDescent="0.25">
      <c r="A37" t="s">
        <v>53</v>
      </c>
      <c r="B37" t="s">
        <v>48</v>
      </c>
      <c r="C37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7" t="s">
        <v>43</v>
      </c>
      <c r="E37" t="s">
        <v>38</v>
      </c>
      <c r="F37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7">
        <f>ScenarioStat0[[#This Row],[team-1-win]]+ScenarioStat0[[#This Row],[team-2-win]]</f>
        <v>1</v>
      </c>
      <c r="I37" t="s">
        <v>38</v>
      </c>
      <c r="J37" t="s">
        <v>227</v>
      </c>
      <c r="K37">
        <f>COUNTIFS(ScenarioStat0[hero-1],ScenarioTeams0[[#This Row],[hero-1]],ScenarioStat0[hero-2],ScenarioTeams0[[#This Row],[hero-2]],ScenarioStat0[battles],"1")+COUNTIFS(ScenarioStat0[hero-3],ScenarioTeams0[[#This Row],[hero-1]],ScenarioStat0[hero-4],ScenarioTeams0[[#This Row],[hero-2]],ScenarioStat0[battles],"1")</f>
        <v>21</v>
      </c>
      <c r="L37">
        <f>COUNTIFS(ScenarioStat0[hero-1],ScenarioTeams0[[#This Row],[hero-1]],ScenarioStat0[hero-2],ScenarioTeams0[[#This Row],[hero-2]],ScenarioStat0[team-1-win],"1")+COUNTIFS(ScenarioStat0[hero-3],ScenarioTeams0[[#This Row],[hero-1]],ScenarioStat0[hero-4],ScenarioTeams0[[#This Row],[hero-2]],ScenarioStat0[team-2-win],"1")</f>
        <v>13</v>
      </c>
      <c r="M37" s="3">
        <f>IF(ScenarioTeams0[[#This Row],[battles]],ScenarioTeams0[[#This Row],[wins]]/ScenarioTeams0[[#This Row],[battles]],0)</f>
        <v>0.61904761904761907</v>
      </c>
    </row>
    <row r="38" spans="1:13" x14ac:dyDescent="0.25">
      <c r="A38" t="s">
        <v>53</v>
      </c>
      <c r="B38" t="s">
        <v>48</v>
      </c>
      <c r="C38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8" t="s">
        <v>43</v>
      </c>
      <c r="E38" t="s">
        <v>227</v>
      </c>
      <c r="F38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8">
        <f>ScenarioStat0[[#This Row],[team-1-win]]+ScenarioStat0[[#This Row],[team-2-win]]</f>
        <v>1</v>
      </c>
    </row>
    <row r="39" spans="1:13" x14ac:dyDescent="0.25">
      <c r="A39" t="s">
        <v>53</v>
      </c>
      <c r="B39" t="s">
        <v>48</v>
      </c>
      <c r="C39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9" t="s">
        <v>45</v>
      </c>
      <c r="E39" t="s">
        <v>63</v>
      </c>
      <c r="F39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9">
        <f>ScenarioStat0[[#This Row],[team-1-win]]+ScenarioStat0[[#This Row],[team-2-win]]</f>
        <v>1</v>
      </c>
    </row>
    <row r="40" spans="1:13" x14ac:dyDescent="0.25">
      <c r="A40" t="s">
        <v>53</v>
      </c>
      <c r="B40" t="s">
        <v>48</v>
      </c>
      <c r="C40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40" t="s">
        <v>45</v>
      </c>
      <c r="E40" t="s">
        <v>38</v>
      </c>
      <c r="F40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40">
        <f>ScenarioStat0[[#This Row],[team-1-win]]+ScenarioStat0[[#This Row],[team-2-win]]</f>
        <v>1</v>
      </c>
    </row>
    <row r="41" spans="1:13" x14ac:dyDescent="0.25">
      <c r="A41" t="s">
        <v>53</v>
      </c>
      <c r="B41" t="s">
        <v>48</v>
      </c>
      <c r="C41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41" t="s">
        <v>45</v>
      </c>
      <c r="E41" t="s">
        <v>227</v>
      </c>
      <c r="F41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41">
        <f>ScenarioStat0[[#This Row],[team-1-win]]+ScenarioStat0[[#This Row],[team-2-win]]</f>
        <v>1</v>
      </c>
    </row>
    <row r="42" spans="1:13" x14ac:dyDescent="0.25">
      <c r="A42" t="s">
        <v>53</v>
      </c>
      <c r="B42" t="s">
        <v>48</v>
      </c>
      <c r="C42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42" t="s">
        <v>63</v>
      </c>
      <c r="E42" t="s">
        <v>38</v>
      </c>
      <c r="F42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42">
        <f>ScenarioStat0[[#This Row],[team-1-win]]+ScenarioStat0[[#This Row],[team-2-win]]</f>
        <v>1</v>
      </c>
    </row>
    <row r="43" spans="1:13" x14ac:dyDescent="0.25">
      <c r="A43" t="s">
        <v>53</v>
      </c>
      <c r="B43" t="s">
        <v>48</v>
      </c>
      <c r="C43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43" t="s">
        <v>63</v>
      </c>
      <c r="E43" t="s">
        <v>227</v>
      </c>
      <c r="F43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43">
        <f>ScenarioStat0[[#This Row],[team-1-win]]+ScenarioStat0[[#This Row],[team-2-win]]</f>
        <v>1</v>
      </c>
    </row>
    <row r="44" spans="1:13" x14ac:dyDescent="0.25">
      <c r="A44" t="s">
        <v>53</v>
      </c>
      <c r="B44" t="s">
        <v>48</v>
      </c>
      <c r="C44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44" t="s">
        <v>38</v>
      </c>
      <c r="E44" t="s">
        <v>227</v>
      </c>
      <c r="F44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44">
        <f>ScenarioStat0[[#This Row],[team-1-win]]+ScenarioStat0[[#This Row],[team-2-win]]</f>
        <v>1</v>
      </c>
    </row>
    <row r="45" spans="1:13" x14ac:dyDescent="0.25">
      <c r="A45" t="s">
        <v>53</v>
      </c>
      <c r="B45" t="s">
        <v>33</v>
      </c>
      <c r="C4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45" t="s">
        <v>56</v>
      </c>
      <c r="E45" t="s">
        <v>48</v>
      </c>
      <c r="F4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45">
        <f>ScenarioStat0[[#This Row],[team-1-win]]+ScenarioStat0[[#This Row],[team-2-win]]</f>
        <v>1</v>
      </c>
    </row>
    <row r="46" spans="1:13" x14ac:dyDescent="0.25">
      <c r="A46" t="s">
        <v>53</v>
      </c>
      <c r="B46" t="s">
        <v>33</v>
      </c>
      <c r="C46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46" t="s">
        <v>56</v>
      </c>
      <c r="E46" t="s">
        <v>43</v>
      </c>
      <c r="F46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46">
        <f>ScenarioStat0[[#This Row],[team-1-win]]+ScenarioStat0[[#This Row],[team-2-win]]</f>
        <v>1</v>
      </c>
    </row>
    <row r="47" spans="1:13" x14ac:dyDescent="0.25">
      <c r="A47" t="s">
        <v>53</v>
      </c>
      <c r="B47" t="s">
        <v>33</v>
      </c>
      <c r="C47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47" t="s">
        <v>56</v>
      </c>
      <c r="E47" t="s">
        <v>45</v>
      </c>
      <c r="F47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47">
        <f>ScenarioStat0[[#This Row],[team-1-win]]+ScenarioStat0[[#This Row],[team-2-win]]</f>
        <v>1</v>
      </c>
    </row>
    <row r="48" spans="1:13" x14ac:dyDescent="0.25">
      <c r="A48" t="s">
        <v>53</v>
      </c>
      <c r="B48" t="s">
        <v>33</v>
      </c>
      <c r="C48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48" t="s">
        <v>56</v>
      </c>
      <c r="E48" t="s">
        <v>63</v>
      </c>
      <c r="F48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48">
        <f>ScenarioStat0[[#This Row],[team-1-win]]+ScenarioStat0[[#This Row],[team-2-win]]</f>
        <v>1</v>
      </c>
    </row>
    <row r="49" spans="1:7" x14ac:dyDescent="0.25">
      <c r="A49" t="s">
        <v>53</v>
      </c>
      <c r="B49" t="s">
        <v>33</v>
      </c>
      <c r="C49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49" t="s">
        <v>56</v>
      </c>
      <c r="E49" t="s">
        <v>38</v>
      </c>
      <c r="F49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49">
        <f>ScenarioStat0[[#This Row],[team-1-win]]+ScenarioStat0[[#This Row],[team-2-win]]</f>
        <v>1</v>
      </c>
    </row>
    <row r="50" spans="1:7" x14ac:dyDescent="0.25">
      <c r="A50" t="s">
        <v>53</v>
      </c>
      <c r="B50" t="s">
        <v>33</v>
      </c>
      <c r="C50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50" t="s">
        <v>56</v>
      </c>
      <c r="E50" t="s">
        <v>227</v>
      </c>
      <c r="F50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50">
        <f>ScenarioStat0[[#This Row],[team-1-win]]+ScenarioStat0[[#This Row],[team-2-win]]</f>
        <v>1</v>
      </c>
    </row>
    <row r="51" spans="1:7" x14ac:dyDescent="0.25">
      <c r="A51" t="s">
        <v>53</v>
      </c>
      <c r="B51" t="s">
        <v>33</v>
      </c>
      <c r="C51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51" t="s">
        <v>48</v>
      </c>
      <c r="E51" t="s">
        <v>43</v>
      </c>
      <c r="F51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51">
        <f>ScenarioStat0[[#This Row],[team-1-win]]+ScenarioStat0[[#This Row],[team-2-win]]</f>
        <v>1</v>
      </c>
    </row>
    <row r="52" spans="1:7" x14ac:dyDescent="0.25">
      <c r="A52" t="s">
        <v>53</v>
      </c>
      <c r="B52" t="s">
        <v>33</v>
      </c>
      <c r="C52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52" t="s">
        <v>48</v>
      </c>
      <c r="E52" t="s">
        <v>45</v>
      </c>
      <c r="F52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52">
        <f>ScenarioStat0[[#This Row],[team-1-win]]+ScenarioStat0[[#This Row],[team-2-win]]</f>
        <v>1</v>
      </c>
    </row>
    <row r="53" spans="1:7" x14ac:dyDescent="0.25">
      <c r="A53" t="s">
        <v>53</v>
      </c>
      <c r="B53" t="s">
        <v>33</v>
      </c>
      <c r="C53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53" t="s">
        <v>48</v>
      </c>
      <c r="E53" t="s">
        <v>63</v>
      </c>
      <c r="F53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53">
        <f>ScenarioStat0[[#This Row],[team-1-win]]+ScenarioStat0[[#This Row],[team-2-win]]</f>
        <v>1</v>
      </c>
    </row>
    <row r="54" spans="1:7" x14ac:dyDescent="0.25">
      <c r="A54" t="s">
        <v>53</v>
      </c>
      <c r="B54" t="s">
        <v>33</v>
      </c>
      <c r="C54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54" t="s">
        <v>48</v>
      </c>
      <c r="E54" t="s">
        <v>38</v>
      </c>
      <c r="F54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54">
        <f>ScenarioStat0[[#This Row],[team-1-win]]+ScenarioStat0[[#This Row],[team-2-win]]</f>
        <v>1</v>
      </c>
    </row>
    <row r="55" spans="1:7" x14ac:dyDescent="0.25">
      <c r="A55" t="s">
        <v>53</v>
      </c>
      <c r="B55" t="s">
        <v>33</v>
      </c>
      <c r="C5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55" t="s">
        <v>48</v>
      </c>
      <c r="E55" t="s">
        <v>227</v>
      </c>
      <c r="F5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55">
        <f>ScenarioStat0[[#This Row],[team-1-win]]+ScenarioStat0[[#This Row],[team-2-win]]</f>
        <v>1</v>
      </c>
    </row>
    <row r="56" spans="1:7" x14ac:dyDescent="0.25">
      <c r="A56" t="s">
        <v>53</v>
      </c>
      <c r="B56" t="s">
        <v>33</v>
      </c>
      <c r="C56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56" t="s">
        <v>43</v>
      </c>
      <c r="E56" t="s">
        <v>45</v>
      </c>
      <c r="F56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56">
        <f>ScenarioStat0[[#This Row],[team-1-win]]+ScenarioStat0[[#This Row],[team-2-win]]</f>
        <v>1</v>
      </c>
    </row>
    <row r="57" spans="1:7" x14ac:dyDescent="0.25">
      <c r="A57" t="s">
        <v>53</v>
      </c>
      <c r="B57" t="s">
        <v>33</v>
      </c>
      <c r="C57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57" t="s">
        <v>43</v>
      </c>
      <c r="E57" t="s">
        <v>63</v>
      </c>
      <c r="F57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57">
        <f>ScenarioStat0[[#This Row],[team-1-win]]+ScenarioStat0[[#This Row],[team-2-win]]</f>
        <v>1</v>
      </c>
    </row>
    <row r="58" spans="1:7" x14ac:dyDescent="0.25">
      <c r="A58" t="s">
        <v>53</v>
      </c>
      <c r="B58" t="s">
        <v>33</v>
      </c>
      <c r="C58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58" t="s">
        <v>43</v>
      </c>
      <c r="E58" t="s">
        <v>38</v>
      </c>
      <c r="F58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58">
        <f>ScenarioStat0[[#This Row],[team-1-win]]+ScenarioStat0[[#This Row],[team-2-win]]</f>
        <v>1</v>
      </c>
    </row>
    <row r="59" spans="1:7" x14ac:dyDescent="0.25">
      <c r="A59" t="s">
        <v>53</v>
      </c>
      <c r="B59" t="s">
        <v>33</v>
      </c>
      <c r="C59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59" t="s">
        <v>43</v>
      </c>
      <c r="E59" t="s">
        <v>227</v>
      </c>
      <c r="F59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59">
        <f>ScenarioStat0[[#This Row],[team-1-win]]+ScenarioStat0[[#This Row],[team-2-win]]</f>
        <v>1</v>
      </c>
    </row>
    <row r="60" spans="1:7" x14ac:dyDescent="0.25">
      <c r="A60" t="s">
        <v>53</v>
      </c>
      <c r="B60" t="s">
        <v>33</v>
      </c>
      <c r="C60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60" t="s">
        <v>45</v>
      </c>
      <c r="E60" t="s">
        <v>63</v>
      </c>
      <c r="F60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60">
        <f>ScenarioStat0[[#This Row],[team-1-win]]+ScenarioStat0[[#This Row],[team-2-win]]</f>
        <v>1</v>
      </c>
    </row>
    <row r="61" spans="1:7" x14ac:dyDescent="0.25">
      <c r="A61" t="s">
        <v>53</v>
      </c>
      <c r="B61" t="s">
        <v>33</v>
      </c>
      <c r="C61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61" t="s">
        <v>45</v>
      </c>
      <c r="E61" t="s">
        <v>38</v>
      </c>
      <c r="F61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61">
        <f>ScenarioStat0[[#This Row],[team-1-win]]+ScenarioStat0[[#This Row],[team-2-win]]</f>
        <v>1</v>
      </c>
    </row>
    <row r="62" spans="1:7" x14ac:dyDescent="0.25">
      <c r="A62" t="s">
        <v>53</v>
      </c>
      <c r="B62" t="s">
        <v>33</v>
      </c>
      <c r="C62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62" t="s">
        <v>45</v>
      </c>
      <c r="E62" t="s">
        <v>227</v>
      </c>
      <c r="F62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62">
        <f>ScenarioStat0[[#This Row],[team-1-win]]+ScenarioStat0[[#This Row],[team-2-win]]</f>
        <v>1</v>
      </c>
    </row>
    <row r="63" spans="1:7" x14ac:dyDescent="0.25">
      <c r="A63" t="s">
        <v>53</v>
      </c>
      <c r="B63" t="s">
        <v>33</v>
      </c>
      <c r="C63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63" t="s">
        <v>63</v>
      </c>
      <c r="E63" t="s">
        <v>38</v>
      </c>
      <c r="F63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63">
        <f>ScenarioStat0[[#This Row],[team-1-win]]+ScenarioStat0[[#This Row],[team-2-win]]</f>
        <v>1</v>
      </c>
    </row>
    <row r="64" spans="1:7" x14ac:dyDescent="0.25">
      <c r="A64" t="s">
        <v>53</v>
      </c>
      <c r="B64" t="s">
        <v>33</v>
      </c>
      <c r="C64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64" t="s">
        <v>63</v>
      </c>
      <c r="E64" t="s">
        <v>227</v>
      </c>
      <c r="F64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64">
        <f>ScenarioStat0[[#This Row],[team-1-win]]+ScenarioStat0[[#This Row],[team-2-win]]</f>
        <v>1</v>
      </c>
    </row>
    <row r="65" spans="1:7" x14ac:dyDescent="0.25">
      <c r="A65" t="s">
        <v>53</v>
      </c>
      <c r="B65" t="s">
        <v>33</v>
      </c>
      <c r="C6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65" t="s">
        <v>38</v>
      </c>
      <c r="E65" t="s">
        <v>227</v>
      </c>
      <c r="F6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65">
        <f>ScenarioStat0[[#This Row],[team-1-win]]+ScenarioStat0[[#This Row],[team-2-win]]</f>
        <v>1</v>
      </c>
    </row>
    <row r="66" spans="1:7" x14ac:dyDescent="0.25">
      <c r="A66" t="s">
        <v>53</v>
      </c>
      <c r="B66" t="s">
        <v>43</v>
      </c>
      <c r="C66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66" t="s">
        <v>56</v>
      </c>
      <c r="E66" t="s">
        <v>48</v>
      </c>
      <c r="F66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66">
        <f>ScenarioStat0[[#This Row],[team-1-win]]+ScenarioStat0[[#This Row],[team-2-win]]</f>
        <v>1</v>
      </c>
    </row>
    <row r="67" spans="1:7" x14ac:dyDescent="0.25">
      <c r="A67" t="s">
        <v>53</v>
      </c>
      <c r="B67" t="s">
        <v>43</v>
      </c>
      <c r="C67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67" t="s">
        <v>56</v>
      </c>
      <c r="E67" t="s">
        <v>33</v>
      </c>
      <c r="F67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67">
        <f>ScenarioStat0[[#This Row],[team-1-win]]+ScenarioStat0[[#This Row],[team-2-win]]</f>
        <v>1</v>
      </c>
    </row>
    <row r="68" spans="1:7" x14ac:dyDescent="0.25">
      <c r="A68" t="s">
        <v>53</v>
      </c>
      <c r="B68" t="s">
        <v>43</v>
      </c>
      <c r="C68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68" t="s">
        <v>56</v>
      </c>
      <c r="E68" t="s">
        <v>45</v>
      </c>
      <c r="F68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68">
        <f>ScenarioStat0[[#This Row],[team-1-win]]+ScenarioStat0[[#This Row],[team-2-win]]</f>
        <v>1</v>
      </c>
    </row>
    <row r="69" spans="1:7" x14ac:dyDescent="0.25">
      <c r="A69" t="s">
        <v>53</v>
      </c>
      <c r="B69" t="s">
        <v>43</v>
      </c>
      <c r="C6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69" t="s">
        <v>56</v>
      </c>
      <c r="E69" t="s">
        <v>63</v>
      </c>
      <c r="F6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69">
        <f>ScenarioStat0[[#This Row],[team-1-win]]+ScenarioStat0[[#This Row],[team-2-win]]</f>
        <v>1</v>
      </c>
    </row>
    <row r="70" spans="1:7" x14ac:dyDescent="0.25">
      <c r="A70" t="s">
        <v>53</v>
      </c>
      <c r="B70" t="s">
        <v>43</v>
      </c>
      <c r="C70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70" t="s">
        <v>56</v>
      </c>
      <c r="E70" t="s">
        <v>38</v>
      </c>
      <c r="F70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70">
        <f>ScenarioStat0[[#This Row],[team-1-win]]+ScenarioStat0[[#This Row],[team-2-win]]</f>
        <v>1</v>
      </c>
    </row>
    <row r="71" spans="1:7" x14ac:dyDescent="0.25">
      <c r="A71" t="s">
        <v>53</v>
      </c>
      <c r="B71" t="s">
        <v>43</v>
      </c>
      <c r="C71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71" t="s">
        <v>56</v>
      </c>
      <c r="E71" t="s">
        <v>227</v>
      </c>
      <c r="F71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71">
        <f>ScenarioStat0[[#This Row],[team-1-win]]+ScenarioStat0[[#This Row],[team-2-win]]</f>
        <v>1</v>
      </c>
    </row>
    <row r="72" spans="1:7" x14ac:dyDescent="0.25">
      <c r="A72" t="s">
        <v>53</v>
      </c>
      <c r="B72" t="s">
        <v>43</v>
      </c>
      <c r="C72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72" t="s">
        <v>48</v>
      </c>
      <c r="E72" t="s">
        <v>33</v>
      </c>
      <c r="F72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72">
        <f>ScenarioStat0[[#This Row],[team-1-win]]+ScenarioStat0[[#This Row],[team-2-win]]</f>
        <v>1</v>
      </c>
    </row>
    <row r="73" spans="1:7" x14ac:dyDescent="0.25">
      <c r="A73" t="s">
        <v>53</v>
      </c>
      <c r="B73" t="s">
        <v>43</v>
      </c>
      <c r="C73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73" t="s">
        <v>48</v>
      </c>
      <c r="E73" t="s">
        <v>45</v>
      </c>
      <c r="F73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73">
        <f>ScenarioStat0[[#This Row],[team-1-win]]+ScenarioStat0[[#This Row],[team-2-win]]</f>
        <v>1</v>
      </c>
    </row>
    <row r="74" spans="1:7" x14ac:dyDescent="0.25">
      <c r="A74" t="s">
        <v>53</v>
      </c>
      <c r="B74" t="s">
        <v>43</v>
      </c>
      <c r="C74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74" t="s">
        <v>48</v>
      </c>
      <c r="E74" t="s">
        <v>63</v>
      </c>
      <c r="F74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74">
        <f>ScenarioStat0[[#This Row],[team-1-win]]+ScenarioStat0[[#This Row],[team-2-win]]</f>
        <v>1</v>
      </c>
    </row>
    <row r="75" spans="1:7" x14ac:dyDescent="0.25">
      <c r="A75" t="s">
        <v>53</v>
      </c>
      <c r="B75" t="s">
        <v>43</v>
      </c>
      <c r="C75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75" t="s">
        <v>48</v>
      </c>
      <c r="E75" t="s">
        <v>38</v>
      </c>
      <c r="F75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75">
        <f>ScenarioStat0[[#This Row],[team-1-win]]+ScenarioStat0[[#This Row],[team-2-win]]</f>
        <v>1</v>
      </c>
    </row>
    <row r="76" spans="1:7" x14ac:dyDescent="0.25">
      <c r="A76" t="s">
        <v>53</v>
      </c>
      <c r="B76" t="s">
        <v>43</v>
      </c>
      <c r="C76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76" t="s">
        <v>48</v>
      </c>
      <c r="E76" t="s">
        <v>227</v>
      </c>
      <c r="F76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76">
        <f>ScenarioStat0[[#This Row],[team-1-win]]+ScenarioStat0[[#This Row],[team-2-win]]</f>
        <v>1</v>
      </c>
    </row>
    <row r="77" spans="1:7" x14ac:dyDescent="0.25">
      <c r="A77" t="s">
        <v>53</v>
      </c>
      <c r="B77" t="s">
        <v>43</v>
      </c>
      <c r="C77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77" t="s">
        <v>33</v>
      </c>
      <c r="E77" t="s">
        <v>45</v>
      </c>
      <c r="F77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77">
        <f>ScenarioStat0[[#This Row],[team-1-win]]+ScenarioStat0[[#This Row],[team-2-win]]</f>
        <v>1</v>
      </c>
    </row>
    <row r="78" spans="1:7" x14ac:dyDescent="0.25">
      <c r="A78" t="s">
        <v>53</v>
      </c>
      <c r="B78" t="s">
        <v>43</v>
      </c>
      <c r="C78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78" t="s">
        <v>33</v>
      </c>
      <c r="E78" t="s">
        <v>63</v>
      </c>
      <c r="F78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78">
        <f>ScenarioStat0[[#This Row],[team-1-win]]+ScenarioStat0[[#This Row],[team-2-win]]</f>
        <v>1</v>
      </c>
    </row>
    <row r="79" spans="1:7" x14ac:dyDescent="0.25">
      <c r="A79" t="s">
        <v>53</v>
      </c>
      <c r="B79" t="s">
        <v>43</v>
      </c>
      <c r="C7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79" t="s">
        <v>33</v>
      </c>
      <c r="E79" t="s">
        <v>38</v>
      </c>
      <c r="F7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79">
        <f>ScenarioStat0[[#This Row],[team-1-win]]+ScenarioStat0[[#This Row],[team-2-win]]</f>
        <v>1</v>
      </c>
    </row>
    <row r="80" spans="1:7" x14ac:dyDescent="0.25">
      <c r="A80" t="s">
        <v>53</v>
      </c>
      <c r="B80" t="s">
        <v>43</v>
      </c>
      <c r="C80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80" t="s">
        <v>33</v>
      </c>
      <c r="E80" t="s">
        <v>227</v>
      </c>
      <c r="F80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80">
        <f>ScenarioStat0[[#This Row],[team-1-win]]+ScenarioStat0[[#This Row],[team-2-win]]</f>
        <v>1</v>
      </c>
    </row>
    <row r="81" spans="1:7" x14ac:dyDescent="0.25">
      <c r="A81" t="s">
        <v>53</v>
      </c>
      <c r="B81" t="s">
        <v>43</v>
      </c>
      <c r="C81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81" t="s">
        <v>45</v>
      </c>
      <c r="E81" t="s">
        <v>63</v>
      </c>
      <c r="F81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81">
        <f>ScenarioStat0[[#This Row],[team-1-win]]+ScenarioStat0[[#This Row],[team-2-win]]</f>
        <v>1</v>
      </c>
    </row>
    <row r="82" spans="1:7" x14ac:dyDescent="0.25">
      <c r="A82" t="s">
        <v>53</v>
      </c>
      <c r="B82" t="s">
        <v>43</v>
      </c>
      <c r="C82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82" t="s">
        <v>45</v>
      </c>
      <c r="E82" t="s">
        <v>38</v>
      </c>
      <c r="F82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82">
        <f>ScenarioStat0[[#This Row],[team-1-win]]+ScenarioStat0[[#This Row],[team-2-win]]</f>
        <v>1</v>
      </c>
    </row>
    <row r="83" spans="1:7" x14ac:dyDescent="0.25">
      <c r="A83" t="s">
        <v>53</v>
      </c>
      <c r="B83" t="s">
        <v>43</v>
      </c>
      <c r="C83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83" t="s">
        <v>45</v>
      </c>
      <c r="E83" t="s">
        <v>227</v>
      </c>
      <c r="F83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83">
        <f>ScenarioStat0[[#This Row],[team-1-win]]+ScenarioStat0[[#This Row],[team-2-win]]</f>
        <v>1</v>
      </c>
    </row>
    <row r="84" spans="1:7" x14ac:dyDescent="0.25">
      <c r="A84" t="s">
        <v>53</v>
      </c>
      <c r="B84" t="s">
        <v>43</v>
      </c>
      <c r="C84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84" t="s">
        <v>63</v>
      </c>
      <c r="E84" t="s">
        <v>38</v>
      </c>
      <c r="F84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84">
        <f>ScenarioStat0[[#This Row],[team-1-win]]+ScenarioStat0[[#This Row],[team-2-win]]</f>
        <v>1</v>
      </c>
    </row>
    <row r="85" spans="1:7" x14ac:dyDescent="0.25">
      <c r="A85" t="s">
        <v>53</v>
      </c>
      <c r="B85" t="s">
        <v>43</v>
      </c>
      <c r="C85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85" t="s">
        <v>63</v>
      </c>
      <c r="E85" t="s">
        <v>227</v>
      </c>
      <c r="F85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85">
        <f>ScenarioStat0[[#This Row],[team-1-win]]+ScenarioStat0[[#This Row],[team-2-win]]</f>
        <v>1</v>
      </c>
    </row>
    <row r="86" spans="1:7" x14ac:dyDescent="0.25">
      <c r="A86" t="s">
        <v>53</v>
      </c>
      <c r="B86" t="s">
        <v>43</v>
      </c>
      <c r="C86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86" t="s">
        <v>38</v>
      </c>
      <c r="E86" t="s">
        <v>227</v>
      </c>
      <c r="F86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86">
        <f>ScenarioStat0[[#This Row],[team-1-win]]+ScenarioStat0[[#This Row],[team-2-win]]</f>
        <v>1</v>
      </c>
    </row>
    <row r="87" spans="1:7" x14ac:dyDescent="0.25">
      <c r="A87" t="s">
        <v>53</v>
      </c>
      <c r="B87" t="s">
        <v>45</v>
      </c>
      <c r="C87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87" t="s">
        <v>56</v>
      </c>
      <c r="E87" t="s">
        <v>48</v>
      </c>
      <c r="F87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87">
        <f>ScenarioStat0[[#This Row],[team-1-win]]+ScenarioStat0[[#This Row],[team-2-win]]</f>
        <v>1</v>
      </c>
    </row>
    <row r="88" spans="1:7" x14ac:dyDescent="0.25">
      <c r="A88" t="s">
        <v>53</v>
      </c>
      <c r="B88" t="s">
        <v>45</v>
      </c>
      <c r="C88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88" t="s">
        <v>56</v>
      </c>
      <c r="E88" t="s">
        <v>33</v>
      </c>
      <c r="F88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88">
        <f>ScenarioStat0[[#This Row],[team-1-win]]+ScenarioStat0[[#This Row],[team-2-win]]</f>
        <v>1</v>
      </c>
    </row>
    <row r="89" spans="1:7" x14ac:dyDescent="0.25">
      <c r="A89" t="s">
        <v>53</v>
      </c>
      <c r="B89" t="s">
        <v>45</v>
      </c>
      <c r="C89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89" t="s">
        <v>56</v>
      </c>
      <c r="E89" t="s">
        <v>43</v>
      </c>
      <c r="F89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89">
        <f>ScenarioStat0[[#This Row],[team-1-win]]+ScenarioStat0[[#This Row],[team-2-win]]</f>
        <v>1</v>
      </c>
    </row>
    <row r="90" spans="1:7" x14ac:dyDescent="0.25">
      <c r="A90" t="s">
        <v>53</v>
      </c>
      <c r="B90" t="s">
        <v>45</v>
      </c>
      <c r="C90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90" t="s">
        <v>56</v>
      </c>
      <c r="E90" t="s">
        <v>63</v>
      </c>
      <c r="F90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90">
        <f>ScenarioStat0[[#This Row],[team-1-win]]+ScenarioStat0[[#This Row],[team-2-win]]</f>
        <v>1</v>
      </c>
    </row>
    <row r="91" spans="1:7" x14ac:dyDescent="0.25">
      <c r="A91" t="s">
        <v>53</v>
      </c>
      <c r="B91" t="s">
        <v>45</v>
      </c>
      <c r="C91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91" t="s">
        <v>56</v>
      </c>
      <c r="E91" t="s">
        <v>38</v>
      </c>
      <c r="F91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91">
        <f>ScenarioStat0[[#This Row],[team-1-win]]+ScenarioStat0[[#This Row],[team-2-win]]</f>
        <v>1</v>
      </c>
    </row>
    <row r="92" spans="1:7" x14ac:dyDescent="0.25">
      <c r="A92" t="s">
        <v>53</v>
      </c>
      <c r="B92" t="s">
        <v>45</v>
      </c>
      <c r="C92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92" t="s">
        <v>56</v>
      </c>
      <c r="E92" t="s">
        <v>227</v>
      </c>
      <c r="F92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92">
        <f>ScenarioStat0[[#This Row],[team-1-win]]+ScenarioStat0[[#This Row],[team-2-win]]</f>
        <v>1</v>
      </c>
    </row>
    <row r="93" spans="1:7" x14ac:dyDescent="0.25">
      <c r="A93" t="s">
        <v>53</v>
      </c>
      <c r="B93" t="s">
        <v>45</v>
      </c>
      <c r="C93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93" t="s">
        <v>48</v>
      </c>
      <c r="E93" t="s">
        <v>33</v>
      </c>
      <c r="F93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93">
        <f>ScenarioStat0[[#This Row],[team-1-win]]+ScenarioStat0[[#This Row],[team-2-win]]</f>
        <v>1</v>
      </c>
    </row>
    <row r="94" spans="1:7" x14ac:dyDescent="0.25">
      <c r="A94" t="s">
        <v>53</v>
      </c>
      <c r="B94" t="s">
        <v>45</v>
      </c>
      <c r="C94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94" t="s">
        <v>48</v>
      </c>
      <c r="E94" t="s">
        <v>43</v>
      </c>
      <c r="F94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94">
        <f>ScenarioStat0[[#This Row],[team-1-win]]+ScenarioStat0[[#This Row],[team-2-win]]</f>
        <v>1</v>
      </c>
    </row>
    <row r="95" spans="1:7" x14ac:dyDescent="0.25">
      <c r="A95" t="s">
        <v>53</v>
      </c>
      <c r="B95" t="s">
        <v>45</v>
      </c>
      <c r="C95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95" t="s">
        <v>48</v>
      </c>
      <c r="E95" t="s">
        <v>63</v>
      </c>
      <c r="F95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95">
        <f>ScenarioStat0[[#This Row],[team-1-win]]+ScenarioStat0[[#This Row],[team-2-win]]</f>
        <v>1</v>
      </c>
    </row>
    <row r="96" spans="1:7" x14ac:dyDescent="0.25">
      <c r="A96" t="s">
        <v>53</v>
      </c>
      <c r="B96" t="s">
        <v>45</v>
      </c>
      <c r="C96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96" t="s">
        <v>48</v>
      </c>
      <c r="E96" t="s">
        <v>38</v>
      </c>
      <c r="F96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96">
        <f>ScenarioStat0[[#This Row],[team-1-win]]+ScenarioStat0[[#This Row],[team-2-win]]</f>
        <v>1</v>
      </c>
    </row>
    <row r="97" spans="1:7" x14ac:dyDescent="0.25">
      <c r="A97" t="s">
        <v>53</v>
      </c>
      <c r="B97" t="s">
        <v>45</v>
      </c>
      <c r="C97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97" t="s">
        <v>48</v>
      </c>
      <c r="E97" t="s">
        <v>227</v>
      </c>
      <c r="F97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97">
        <f>ScenarioStat0[[#This Row],[team-1-win]]+ScenarioStat0[[#This Row],[team-2-win]]</f>
        <v>1</v>
      </c>
    </row>
    <row r="98" spans="1:7" x14ac:dyDescent="0.25">
      <c r="A98" t="s">
        <v>53</v>
      </c>
      <c r="B98" t="s">
        <v>45</v>
      </c>
      <c r="C98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98" t="s">
        <v>33</v>
      </c>
      <c r="E98" t="s">
        <v>43</v>
      </c>
      <c r="F98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98">
        <f>ScenarioStat0[[#This Row],[team-1-win]]+ScenarioStat0[[#This Row],[team-2-win]]</f>
        <v>1</v>
      </c>
    </row>
    <row r="99" spans="1:7" x14ac:dyDescent="0.25">
      <c r="A99" t="s">
        <v>53</v>
      </c>
      <c r="B99" t="s">
        <v>45</v>
      </c>
      <c r="C9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99" t="s">
        <v>33</v>
      </c>
      <c r="E99" t="s">
        <v>63</v>
      </c>
      <c r="F9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99">
        <f>ScenarioStat0[[#This Row],[team-1-win]]+ScenarioStat0[[#This Row],[team-2-win]]</f>
        <v>1</v>
      </c>
    </row>
    <row r="100" spans="1:7" x14ac:dyDescent="0.25">
      <c r="A100" t="s">
        <v>53</v>
      </c>
      <c r="B100" t="s">
        <v>45</v>
      </c>
      <c r="C100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00" t="s">
        <v>33</v>
      </c>
      <c r="E100" t="s">
        <v>38</v>
      </c>
      <c r="F100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00">
        <f>ScenarioStat0[[#This Row],[team-1-win]]+ScenarioStat0[[#This Row],[team-2-win]]</f>
        <v>1</v>
      </c>
    </row>
    <row r="101" spans="1:7" x14ac:dyDescent="0.25">
      <c r="A101" t="s">
        <v>53</v>
      </c>
      <c r="B101" t="s">
        <v>45</v>
      </c>
      <c r="C101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01" t="s">
        <v>33</v>
      </c>
      <c r="E101" t="s">
        <v>227</v>
      </c>
      <c r="F101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01">
        <f>ScenarioStat0[[#This Row],[team-1-win]]+ScenarioStat0[[#This Row],[team-2-win]]</f>
        <v>1</v>
      </c>
    </row>
    <row r="102" spans="1:7" x14ac:dyDescent="0.25">
      <c r="A102" t="s">
        <v>53</v>
      </c>
      <c r="B102" t="s">
        <v>45</v>
      </c>
      <c r="C102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02" t="s">
        <v>43</v>
      </c>
      <c r="E102" t="s">
        <v>63</v>
      </c>
      <c r="F102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02">
        <f>ScenarioStat0[[#This Row],[team-1-win]]+ScenarioStat0[[#This Row],[team-2-win]]</f>
        <v>1</v>
      </c>
    </row>
    <row r="103" spans="1:7" x14ac:dyDescent="0.25">
      <c r="A103" t="s">
        <v>53</v>
      </c>
      <c r="B103" t="s">
        <v>45</v>
      </c>
      <c r="C103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03" t="s">
        <v>43</v>
      </c>
      <c r="E103" t="s">
        <v>38</v>
      </c>
      <c r="F103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03">
        <f>ScenarioStat0[[#This Row],[team-1-win]]+ScenarioStat0[[#This Row],[team-2-win]]</f>
        <v>1</v>
      </c>
    </row>
    <row r="104" spans="1:7" x14ac:dyDescent="0.25">
      <c r="A104" t="s">
        <v>53</v>
      </c>
      <c r="B104" t="s">
        <v>45</v>
      </c>
      <c r="C104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04" t="s">
        <v>43</v>
      </c>
      <c r="E104" t="s">
        <v>227</v>
      </c>
      <c r="F104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04">
        <f>ScenarioStat0[[#This Row],[team-1-win]]+ScenarioStat0[[#This Row],[team-2-win]]</f>
        <v>1</v>
      </c>
    </row>
    <row r="105" spans="1:7" x14ac:dyDescent="0.25">
      <c r="A105" t="s">
        <v>53</v>
      </c>
      <c r="B105" t="s">
        <v>45</v>
      </c>
      <c r="C105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05" t="s">
        <v>63</v>
      </c>
      <c r="E105" t="s">
        <v>38</v>
      </c>
      <c r="F105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05">
        <f>ScenarioStat0[[#This Row],[team-1-win]]+ScenarioStat0[[#This Row],[team-2-win]]</f>
        <v>1</v>
      </c>
    </row>
    <row r="106" spans="1:7" x14ac:dyDescent="0.25">
      <c r="A106" t="s">
        <v>53</v>
      </c>
      <c r="B106" t="s">
        <v>45</v>
      </c>
      <c r="C106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06" t="s">
        <v>63</v>
      </c>
      <c r="E106" t="s">
        <v>227</v>
      </c>
      <c r="F106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06">
        <f>ScenarioStat0[[#This Row],[team-1-win]]+ScenarioStat0[[#This Row],[team-2-win]]</f>
        <v>1</v>
      </c>
    </row>
    <row r="107" spans="1:7" x14ac:dyDescent="0.25">
      <c r="A107" t="s">
        <v>53</v>
      </c>
      <c r="B107" t="s">
        <v>45</v>
      </c>
      <c r="C107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07" t="s">
        <v>38</v>
      </c>
      <c r="E107" t="s">
        <v>227</v>
      </c>
      <c r="F107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07">
        <f>ScenarioStat0[[#This Row],[team-1-win]]+ScenarioStat0[[#This Row],[team-2-win]]</f>
        <v>1</v>
      </c>
    </row>
    <row r="108" spans="1:7" x14ac:dyDescent="0.25">
      <c r="A108" t="s">
        <v>53</v>
      </c>
      <c r="B108" t="s">
        <v>63</v>
      </c>
      <c r="C108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08" t="s">
        <v>56</v>
      </c>
      <c r="E108" t="s">
        <v>48</v>
      </c>
      <c r="F108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08">
        <f>ScenarioStat0[[#This Row],[team-1-win]]+ScenarioStat0[[#This Row],[team-2-win]]</f>
        <v>1</v>
      </c>
    </row>
    <row r="109" spans="1:7" x14ac:dyDescent="0.25">
      <c r="A109" t="s">
        <v>53</v>
      </c>
      <c r="B109" t="s">
        <v>63</v>
      </c>
      <c r="C10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09" t="s">
        <v>56</v>
      </c>
      <c r="E109" t="s">
        <v>33</v>
      </c>
      <c r="F10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09">
        <f>ScenarioStat0[[#This Row],[team-1-win]]+ScenarioStat0[[#This Row],[team-2-win]]</f>
        <v>1</v>
      </c>
    </row>
    <row r="110" spans="1:7" x14ac:dyDescent="0.25">
      <c r="A110" t="s">
        <v>53</v>
      </c>
      <c r="B110" t="s">
        <v>63</v>
      </c>
      <c r="C110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10" t="s">
        <v>56</v>
      </c>
      <c r="E110" t="s">
        <v>43</v>
      </c>
      <c r="F110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10">
        <f>ScenarioStat0[[#This Row],[team-1-win]]+ScenarioStat0[[#This Row],[team-2-win]]</f>
        <v>1</v>
      </c>
    </row>
    <row r="111" spans="1:7" x14ac:dyDescent="0.25">
      <c r="A111" t="s">
        <v>53</v>
      </c>
      <c r="B111" t="s">
        <v>63</v>
      </c>
      <c r="C111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11" t="s">
        <v>56</v>
      </c>
      <c r="E111" t="s">
        <v>45</v>
      </c>
      <c r="F111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11">
        <f>ScenarioStat0[[#This Row],[team-1-win]]+ScenarioStat0[[#This Row],[team-2-win]]</f>
        <v>1</v>
      </c>
    </row>
    <row r="112" spans="1:7" x14ac:dyDescent="0.25">
      <c r="A112" t="s">
        <v>53</v>
      </c>
      <c r="B112" t="s">
        <v>63</v>
      </c>
      <c r="C112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12" t="s">
        <v>56</v>
      </c>
      <c r="E112" t="s">
        <v>38</v>
      </c>
      <c r="F112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12">
        <f>ScenarioStat0[[#This Row],[team-1-win]]+ScenarioStat0[[#This Row],[team-2-win]]</f>
        <v>1</v>
      </c>
    </row>
    <row r="113" spans="1:7" x14ac:dyDescent="0.25">
      <c r="A113" t="s">
        <v>53</v>
      </c>
      <c r="B113" t="s">
        <v>63</v>
      </c>
      <c r="C113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13" t="s">
        <v>56</v>
      </c>
      <c r="E113" t="s">
        <v>227</v>
      </c>
      <c r="F113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13">
        <f>ScenarioStat0[[#This Row],[team-1-win]]+ScenarioStat0[[#This Row],[team-2-win]]</f>
        <v>1</v>
      </c>
    </row>
    <row r="114" spans="1:7" x14ac:dyDescent="0.25">
      <c r="A114" t="s">
        <v>53</v>
      </c>
      <c r="B114" t="s">
        <v>63</v>
      </c>
      <c r="C114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14" t="s">
        <v>48</v>
      </c>
      <c r="E114" t="s">
        <v>33</v>
      </c>
      <c r="F114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14">
        <f>ScenarioStat0[[#This Row],[team-1-win]]+ScenarioStat0[[#This Row],[team-2-win]]</f>
        <v>1</v>
      </c>
    </row>
    <row r="115" spans="1:7" x14ac:dyDescent="0.25">
      <c r="A115" t="s">
        <v>53</v>
      </c>
      <c r="B115" t="s">
        <v>63</v>
      </c>
      <c r="C11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15" t="s">
        <v>48</v>
      </c>
      <c r="E115" t="s">
        <v>43</v>
      </c>
      <c r="F11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15">
        <f>ScenarioStat0[[#This Row],[team-1-win]]+ScenarioStat0[[#This Row],[team-2-win]]</f>
        <v>1</v>
      </c>
    </row>
    <row r="116" spans="1:7" x14ac:dyDescent="0.25">
      <c r="A116" t="s">
        <v>53</v>
      </c>
      <c r="B116" t="s">
        <v>63</v>
      </c>
      <c r="C116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16" t="s">
        <v>48</v>
      </c>
      <c r="E116" t="s">
        <v>45</v>
      </c>
      <c r="F116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16">
        <f>ScenarioStat0[[#This Row],[team-1-win]]+ScenarioStat0[[#This Row],[team-2-win]]</f>
        <v>1</v>
      </c>
    </row>
    <row r="117" spans="1:7" x14ac:dyDescent="0.25">
      <c r="A117" t="s">
        <v>53</v>
      </c>
      <c r="B117" t="s">
        <v>63</v>
      </c>
      <c r="C117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17" t="s">
        <v>48</v>
      </c>
      <c r="E117" t="s">
        <v>38</v>
      </c>
      <c r="F117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17">
        <f>ScenarioStat0[[#This Row],[team-1-win]]+ScenarioStat0[[#This Row],[team-2-win]]</f>
        <v>1</v>
      </c>
    </row>
    <row r="118" spans="1:7" x14ac:dyDescent="0.25">
      <c r="A118" t="s">
        <v>53</v>
      </c>
      <c r="B118" t="s">
        <v>63</v>
      </c>
      <c r="C118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18" t="s">
        <v>48</v>
      </c>
      <c r="E118" t="s">
        <v>227</v>
      </c>
      <c r="F118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18">
        <f>ScenarioStat0[[#This Row],[team-1-win]]+ScenarioStat0[[#This Row],[team-2-win]]</f>
        <v>1</v>
      </c>
    </row>
    <row r="119" spans="1:7" x14ac:dyDescent="0.25">
      <c r="A119" t="s">
        <v>53</v>
      </c>
      <c r="B119" t="s">
        <v>63</v>
      </c>
      <c r="C11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19" t="s">
        <v>33</v>
      </c>
      <c r="E119" t="s">
        <v>43</v>
      </c>
      <c r="F11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19">
        <f>ScenarioStat0[[#This Row],[team-1-win]]+ScenarioStat0[[#This Row],[team-2-win]]</f>
        <v>1</v>
      </c>
    </row>
    <row r="120" spans="1:7" x14ac:dyDescent="0.25">
      <c r="A120" t="s">
        <v>53</v>
      </c>
      <c r="B120" t="s">
        <v>63</v>
      </c>
      <c r="C120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20" t="s">
        <v>33</v>
      </c>
      <c r="E120" t="s">
        <v>45</v>
      </c>
      <c r="F120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20">
        <f>ScenarioStat0[[#This Row],[team-1-win]]+ScenarioStat0[[#This Row],[team-2-win]]</f>
        <v>1</v>
      </c>
    </row>
    <row r="121" spans="1:7" x14ac:dyDescent="0.25">
      <c r="A121" t="s">
        <v>53</v>
      </c>
      <c r="B121" t="s">
        <v>63</v>
      </c>
      <c r="C121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21" t="s">
        <v>33</v>
      </c>
      <c r="E121" t="s">
        <v>38</v>
      </c>
      <c r="F121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21">
        <f>ScenarioStat0[[#This Row],[team-1-win]]+ScenarioStat0[[#This Row],[team-2-win]]</f>
        <v>1</v>
      </c>
    </row>
    <row r="122" spans="1:7" x14ac:dyDescent="0.25">
      <c r="A122" t="s">
        <v>53</v>
      </c>
      <c r="B122" t="s">
        <v>63</v>
      </c>
      <c r="C122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22" t="s">
        <v>33</v>
      </c>
      <c r="E122" t="s">
        <v>227</v>
      </c>
      <c r="F122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22">
        <f>ScenarioStat0[[#This Row],[team-1-win]]+ScenarioStat0[[#This Row],[team-2-win]]</f>
        <v>1</v>
      </c>
    </row>
    <row r="123" spans="1:7" x14ac:dyDescent="0.25">
      <c r="A123" t="s">
        <v>53</v>
      </c>
      <c r="B123" t="s">
        <v>63</v>
      </c>
      <c r="C123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23" t="s">
        <v>43</v>
      </c>
      <c r="E123" t="s">
        <v>45</v>
      </c>
      <c r="F123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23">
        <f>ScenarioStat0[[#This Row],[team-1-win]]+ScenarioStat0[[#This Row],[team-2-win]]</f>
        <v>1</v>
      </c>
    </row>
    <row r="124" spans="1:7" x14ac:dyDescent="0.25">
      <c r="A124" t="s">
        <v>53</v>
      </c>
      <c r="B124" t="s">
        <v>63</v>
      </c>
      <c r="C124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24" t="s">
        <v>43</v>
      </c>
      <c r="E124" t="s">
        <v>38</v>
      </c>
      <c r="F124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24">
        <f>ScenarioStat0[[#This Row],[team-1-win]]+ScenarioStat0[[#This Row],[team-2-win]]</f>
        <v>1</v>
      </c>
    </row>
    <row r="125" spans="1:7" x14ac:dyDescent="0.25">
      <c r="A125" t="s">
        <v>53</v>
      </c>
      <c r="B125" t="s">
        <v>63</v>
      </c>
      <c r="C12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25" t="s">
        <v>43</v>
      </c>
      <c r="E125" t="s">
        <v>227</v>
      </c>
      <c r="F12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25">
        <f>ScenarioStat0[[#This Row],[team-1-win]]+ScenarioStat0[[#This Row],[team-2-win]]</f>
        <v>1</v>
      </c>
    </row>
    <row r="126" spans="1:7" x14ac:dyDescent="0.25">
      <c r="A126" t="s">
        <v>53</v>
      </c>
      <c r="B126" t="s">
        <v>63</v>
      </c>
      <c r="C126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26" t="s">
        <v>45</v>
      </c>
      <c r="E126" t="s">
        <v>38</v>
      </c>
      <c r="F126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26">
        <f>ScenarioStat0[[#This Row],[team-1-win]]+ScenarioStat0[[#This Row],[team-2-win]]</f>
        <v>1</v>
      </c>
    </row>
    <row r="127" spans="1:7" x14ac:dyDescent="0.25">
      <c r="A127" t="s">
        <v>53</v>
      </c>
      <c r="B127" t="s">
        <v>63</v>
      </c>
      <c r="C127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27" t="s">
        <v>45</v>
      </c>
      <c r="E127" t="s">
        <v>227</v>
      </c>
      <c r="F127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27">
        <f>ScenarioStat0[[#This Row],[team-1-win]]+ScenarioStat0[[#This Row],[team-2-win]]</f>
        <v>1</v>
      </c>
    </row>
    <row r="128" spans="1:7" x14ac:dyDescent="0.25">
      <c r="A128" t="s">
        <v>53</v>
      </c>
      <c r="B128" t="s">
        <v>63</v>
      </c>
      <c r="C128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28" t="s">
        <v>38</v>
      </c>
      <c r="E128" t="s">
        <v>227</v>
      </c>
      <c r="F128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28">
        <f>ScenarioStat0[[#This Row],[team-1-win]]+ScenarioStat0[[#This Row],[team-2-win]]</f>
        <v>1</v>
      </c>
    </row>
    <row r="129" spans="1:7" x14ac:dyDescent="0.25">
      <c r="A129" t="s">
        <v>53</v>
      </c>
      <c r="B129" t="s">
        <v>38</v>
      </c>
      <c r="C12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29" t="s">
        <v>56</v>
      </c>
      <c r="E129" t="s">
        <v>48</v>
      </c>
      <c r="F12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29">
        <f>ScenarioStat0[[#This Row],[team-1-win]]+ScenarioStat0[[#This Row],[team-2-win]]</f>
        <v>1</v>
      </c>
    </row>
    <row r="130" spans="1:7" x14ac:dyDescent="0.25">
      <c r="A130" t="s">
        <v>53</v>
      </c>
      <c r="B130" t="s">
        <v>38</v>
      </c>
      <c r="C130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30" t="s">
        <v>56</v>
      </c>
      <c r="E130" t="s">
        <v>33</v>
      </c>
      <c r="F130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30">
        <f>ScenarioStat0[[#This Row],[team-1-win]]+ScenarioStat0[[#This Row],[team-2-win]]</f>
        <v>1</v>
      </c>
    </row>
    <row r="131" spans="1:7" x14ac:dyDescent="0.25">
      <c r="A131" t="s">
        <v>53</v>
      </c>
      <c r="B131" t="s">
        <v>38</v>
      </c>
      <c r="C131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31" t="s">
        <v>56</v>
      </c>
      <c r="E131" t="s">
        <v>43</v>
      </c>
      <c r="F131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31">
        <f>ScenarioStat0[[#This Row],[team-1-win]]+ScenarioStat0[[#This Row],[team-2-win]]</f>
        <v>1</v>
      </c>
    </row>
    <row r="132" spans="1:7" x14ac:dyDescent="0.25">
      <c r="A132" t="s">
        <v>53</v>
      </c>
      <c r="B132" t="s">
        <v>38</v>
      </c>
      <c r="C132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32" t="s">
        <v>56</v>
      </c>
      <c r="E132" t="s">
        <v>45</v>
      </c>
      <c r="F132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32">
        <f>ScenarioStat0[[#This Row],[team-1-win]]+ScenarioStat0[[#This Row],[team-2-win]]</f>
        <v>1</v>
      </c>
    </row>
    <row r="133" spans="1:7" x14ac:dyDescent="0.25">
      <c r="A133" t="s">
        <v>53</v>
      </c>
      <c r="B133" t="s">
        <v>38</v>
      </c>
      <c r="C133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33" t="s">
        <v>56</v>
      </c>
      <c r="E133" t="s">
        <v>63</v>
      </c>
      <c r="F133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33">
        <f>ScenarioStat0[[#This Row],[team-1-win]]+ScenarioStat0[[#This Row],[team-2-win]]</f>
        <v>1</v>
      </c>
    </row>
    <row r="134" spans="1:7" x14ac:dyDescent="0.25">
      <c r="A134" t="s">
        <v>53</v>
      </c>
      <c r="B134" t="s">
        <v>38</v>
      </c>
      <c r="C134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34" t="s">
        <v>56</v>
      </c>
      <c r="E134" t="s">
        <v>227</v>
      </c>
      <c r="F134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34">
        <f>ScenarioStat0[[#This Row],[team-1-win]]+ScenarioStat0[[#This Row],[team-2-win]]</f>
        <v>1</v>
      </c>
    </row>
    <row r="135" spans="1:7" x14ac:dyDescent="0.25">
      <c r="A135" t="s">
        <v>53</v>
      </c>
      <c r="B135" t="s">
        <v>38</v>
      </c>
      <c r="C13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35" t="s">
        <v>48</v>
      </c>
      <c r="E135" t="s">
        <v>33</v>
      </c>
      <c r="F13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35">
        <f>ScenarioStat0[[#This Row],[team-1-win]]+ScenarioStat0[[#This Row],[team-2-win]]</f>
        <v>1</v>
      </c>
    </row>
    <row r="136" spans="1:7" x14ac:dyDescent="0.25">
      <c r="A136" t="s">
        <v>53</v>
      </c>
      <c r="B136" t="s">
        <v>38</v>
      </c>
      <c r="C136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36" t="s">
        <v>48</v>
      </c>
      <c r="E136" t="s">
        <v>43</v>
      </c>
      <c r="F136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36">
        <f>ScenarioStat0[[#This Row],[team-1-win]]+ScenarioStat0[[#This Row],[team-2-win]]</f>
        <v>1</v>
      </c>
    </row>
    <row r="137" spans="1:7" x14ac:dyDescent="0.25">
      <c r="A137" t="s">
        <v>53</v>
      </c>
      <c r="B137" t="s">
        <v>38</v>
      </c>
      <c r="C137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37" t="s">
        <v>48</v>
      </c>
      <c r="E137" t="s">
        <v>45</v>
      </c>
      <c r="F137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37">
        <f>ScenarioStat0[[#This Row],[team-1-win]]+ScenarioStat0[[#This Row],[team-2-win]]</f>
        <v>1</v>
      </c>
    </row>
    <row r="138" spans="1:7" x14ac:dyDescent="0.25">
      <c r="A138" t="s">
        <v>53</v>
      </c>
      <c r="B138" t="s">
        <v>38</v>
      </c>
      <c r="C138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38" t="s">
        <v>48</v>
      </c>
      <c r="E138" t="s">
        <v>63</v>
      </c>
      <c r="F138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38">
        <f>ScenarioStat0[[#This Row],[team-1-win]]+ScenarioStat0[[#This Row],[team-2-win]]</f>
        <v>1</v>
      </c>
    </row>
    <row r="139" spans="1:7" x14ac:dyDescent="0.25">
      <c r="A139" t="s">
        <v>53</v>
      </c>
      <c r="B139" t="s">
        <v>38</v>
      </c>
      <c r="C139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39" t="s">
        <v>48</v>
      </c>
      <c r="E139" t="s">
        <v>227</v>
      </c>
      <c r="F139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39">
        <f>ScenarioStat0[[#This Row],[team-1-win]]+ScenarioStat0[[#This Row],[team-2-win]]</f>
        <v>1</v>
      </c>
    </row>
    <row r="140" spans="1:7" x14ac:dyDescent="0.25">
      <c r="A140" t="s">
        <v>53</v>
      </c>
      <c r="B140" t="s">
        <v>38</v>
      </c>
      <c r="C140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40" t="s">
        <v>33</v>
      </c>
      <c r="E140" t="s">
        <v>43</v>
      </c>
      <c r="F140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40">
        <f>ScenarioStat0[[#This Row],[team-1-win]]+ScenarioStat0[[#This Row],[team-2-win]]</f>
        <v>1</v>
      </c>
    </row>
    <row r="141" spans="1:7" x14ac:dyDescent="0.25">
      <c r="A141" t="s">
        <v>53</v>
      </c>
      <c r="B141" t="s">
        <v>38</v>
      </c>
      <c r="C141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41" t="s">
        <v>33</v>
      </c>
      <c r="E141" t="s">
        <v>45</v>
      </c>
      <c r="F141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41">
        <f>ScenarioStat0[[#This Row],[team-1-win]]+ScenarioStat0[[#This Row],[team-2-win]]</f>
        <v>1</v>
      </c>
    </row>
    <row r="142" spans="1:7" x14ac:dyDescent="0.25">
      <c r="A142" t="s">
        <v>53</v>
      </c>
      <c r="B142" t="s">
        <v>38</v>
      </c>
      <c r="C142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42" t="s">
        <v>33</v>
      </c>
      <c r="E142" t="s">
        <v>63</v>
      </c>
      <c r="F142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42">
        <f>ScenarioStat0[[#This Row],[team-1-win]]+ScenarioStat0[[#This Row],[team-2-win]]</f>
        <v>1</v>
      </c>
    </row>
    <row r="143" spans="1:7" x14ac:dyDescent="0.25">
      <c r="A143" t="s">
        <v>53</v>
      </c>
      <c r="B143" t="s">
        <v>38</v>
      </c>
      <c r="C143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43" t="s">
        <v>33</v>
      </c>
      <c r="E143" t="s">
        <v>227</v>
      </c>
      <c r="F143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43">
        <f>ScenarioStat0[[#This Row],[team-1-win]]+ScenarioStat0[[#This Row],[team-2-win]]</f>
        <v>1</v>
      </c>
    </row>
    <row r="144" spans="1:7" x14ac:dyDescent="0.25">
      <c r="A144" t="s">
        <v>53</v>
      </c>
      <c r="B144" t="s">
        <v>38</v>
      </c>
      <c r="C144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44" t="s">
        <v>43</v>
      </c>
      <c r="E144" t="s">
        <v>45</v>
      </c>
      <c r="F144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44">
        <f>ScenarioStat0[[#This Row],[team-1-win]]+ScenarioStat0[[#This Row],[team-2-win]]</f>
        <v>1</v>
      </c>
    </row>
    <row r="145" spans="1:7" x14ac:dyDescent="0.25">
      <c r="A145" t="s">
        <v>53</v>
      </c>
      <c r="B145" t="s">
        <v>38</v>
      </c>
      <c r="C14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45" t="s">
        <v>43</v>
      </c>
      <c r="E145" t="s">
        <v>63</v>
      </c>
      <c r="F14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45">
        <f>ScenarioStat0[[#This Row],[team-1-win]]+ScenarioStat0[[#This Row],[team-2-win]]</f>
        <v>1</v>
      </c>
    </row>
    <row r="146" spans="1:7" x14ac:dyDescent="0.25">
      <c r="A146" t="s">
        <v>53</v>
      </c>
      <c r="B146" t="s">
        <v>38</v>
      </c>
      <c r="C146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46" t="s">
        <v>43</v>
      </c>
      <c r="E146" t="s">
        <v>227</v>
      </c>
      <c r="F146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46">
        <f>ScenarioStat0[[#This Row],[team-1-win]]+ScenarioStat0[[#This Row],[team-2-win]]</f>
        <v>1</v>
      </c>
    </row>
    <row r="147" spans="1:7" x14ac:dyDescent="0.25">
      <c r="A147" t="s">
        <v>53</v>
      </c>
      <c r="B147" t="s">
        <v>38</v>
      </c>
      <c r="C147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47" t="s">
        <v>45</v>
      </c>
      <c r="E147" t="s">
        <v>63</v>
      </c>
      <c r="F147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47">
        <f>ScenarioStat0[[#This Row],[team-1-win]]+ScenarioStat0[[#This Row],[team-2-win]]</f>
        <v>1</v>
      </c>
    </row>
    <row r="148" spans="1:7" x14ac:dyDescent="0.25">
      <c r="A148" t="s">
        <v>53</v>
      </c>
      <c r="B148" t="s">
        <v>38</v>
      </c>
      <c r="C148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48" t="s">
        <v>45</v>
      </c>
      <c r="E148" t="s">
        <v>227</v>
      </c>
      <c r="F148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48">
        <f>ScenarioStat0[[#This Row],[team-1-win]]+ScenarioStat0[[#This Row],[team-2-win]]</f>
        <v>1</v>
      </c>
    </row>
    <row r="149" spans="1:7" x14ac:dyDescent="0.25">
      <c r="A149" t="s">
        <v>53</v>
      </c>
      <c r="B149" t="s">
        <v>38</v>
      </c>
      <c r="C149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49" t="s">
        <v>63</v>
      </c>
      <c r="E149" t="s">
        <v>227</v>
      </c>
      <c r="F149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49">
        <f>ScenarioStat0[[#This Row],[team-1-win]]+ScenarioStat0[[#This Row],[team-2-win]]</f>
        <v>1</v>
      </c>
    </row>
    <row r="150" spans="1:7" x14ac:dyDescent="0.25">
      <c r="A150" t="s">
        <v>53</v>
      </c>
      <c r="B150" t="s">
        <v>227</v>
      </c>
      <c r="C150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50" t="s">
        <v>56</v>
      </c>
      <c r="E150" t="s">
        <v>48</v>
      </c>
      <c r="F150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50">
        <f>ScenarioStat0[[#This Row],[team-1-win]]+ScenarioStat0[[#This Row],[team-2-win]]</f>
        <v>1</v>
      </c>
    </row>
    <row r="151" spans="1:7" x14ac:dyDescent="0.25">
      <c r="A151" t="s">
        <v>53</v>
      </c>
      <c r="B151" t="s">
        <v>227</v>
      </c>
      <c r="C151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51" t="s">
        <v>56</v>
      </c>
      <c r="E151" t="s">
        <v>33</v>
      </c>
      <c r="F151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51">
        <f>ScenarioStat0[[#This Row],[team-1-win]]+ScenarioStat0[[#This Row],[team-2-win]]</f>
        <v>1</v>
      </c>
    </row>
    <row r="152" spans="1:7" x14ac:dyDescent="0.25">
      <c r="A152" t="s">
        <v>53</v>
      </c>
      <c r="B152" t="s">
        <v>227</v>
      </c>
      <c r="C152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52" t="s">
        <v>56</v>
      </c>
      <c r="E152" t="s">
        <v>43</v>
      </c>
      <c r="F152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52">
        <f>ScenarioStat0[[#This Row],[team-1-win]]+ScenarioStat0[[#This Row],[team-2-win]]</f>
        <v>1</v>
      </c>
    </row>
    <row r="153" spans="1:7" x14ac:dyDescent="0.25">
      <c r="A153" t="s">
        <v>53</v>
      </c>
      <c r="B153" t="s">
        <v>227</v>
      </c>
      <c r="C153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53" t="s">
        <v>56</v>
      </c>
      <c r="E153" t="s">
        <v>45</v>
      </c>
      <c r="F153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53">
        <f>ScenarioStat0[[#This Row],[team-1-win]]+ScenarioStat0[[#This Row],[team-2-win]]</f>
        <v>1</v>
      </c>
    </row>
    <row r="154" spans="1:7" x14ac:dyDescent="0.25">
      <c r="A154" t="s">
        <v>53</v>
      </c>
      <c r="B154" t="s">
        <v>227</v>
      </c>
      <c r="C154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54" t="s">
        <v>56</v>
      </c>
      <c r="E154" t="s">
        <v>63</v>
      </c>
      <c r="F154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54">
        <f>ScenarioStat0[[#This Row],[team-1-win]]+ScenarioStat0[[#This Row],[team-2-win]]</f>
        <v>1</v>
      </c>
    </row>
    <row r="155" spans="1:7" x14ac:dyDescent="0.25">
      <c r="A155" t="s">
        <v>53</v>
      </c>
      <c r="B155" t="s">
        <v>227</v>
      </c>
      <c r="C155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55" t="s">
        <v>56</v>
      </c>
      <c r="E155" t="s">
        <v>38</v>
      </c>
      <c r="F155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55">
        <f>ScenarioStat0[[#This Row],[team-1-win]]+ScenarioStat0[[#This Row],[team-2-win]]</f>
        <v>1</v>
      </c>
    </row>
    <row r="156" spans="1:7" x14ac:dyDescent="0.25">
      <c r="A156" t="s">
        <v>53</v>
      </c>
      <c r="B156" t="s">
        <v>227</v>
      </c>
      <c r="C156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56" t="s">
        <v>48</v>
      </c>
      <c r="E156" t="s">
        <v>33</v>
      </c>
      <c r="F156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56">
        <f>ScenarioStat0[[#This Row],[team-1-win]]+ScenarioStat0[[#This Row],[team-2-win]]</f>
        <v>1</v>
      </c>
    </row>
    <row r="157" spans="1:7" x14ac:dyDescent="0.25">
      <c r="A157" t="s">
        <v>53</v>
      </c>
      <c r="B157" t="s">
        <v>227</v>
      </c>
      <c r="C157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57" t="s">
        <v>48</v>
      </c>
      <c r="E157" t="s">
        <v>43</v>
      </c>
      <c r="F157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57">
        <f>ScenarioStat0[[#This Row],[team-1-win]]+ScenarioStat0[[#This Row],[team-2-win]]</f>
        <v>1</v>
      </c>
    </row>
    <row r="158" spans="1:7" x14ac:dyDescent="0.25">
      <c r="A158" t="s">
        <v>53</v>
      </c>
      <c r="B158" t="s">
        <v>227</v>
      </c>
      <c r="C158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58" t="s">
        <v>48</v>
      </c>
      <c r="E158" t="s">
        <v>45</v>
      </c>
      <c r="F158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58">
        <f>ScenarioStat0[[#This Row],[team-1-win]]+ScenarioStat0[[#This Row],[team-2-win]]</f>
        <v>1</v>
      </c>
    </row>
    <row r="159" spans="1:7" x14ac:dyDescent="0.25">
      <c r="A159" t="s">
        <v>53</v>
      </c>
      <c r="B159" t="s">
        <v>227</v>
      </c>
      <c r="C15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59" t="s">
        <v>48</v>
      </c>
      <c r="E159" t="s">
        <v>63</v>
      </c>
      <c r="F15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59">
        <f>ScenarioStat0[[#This Row],[team-1-win]]+ScenarioStat0[[#This Row],[team-2-win]]</f>
        <v>1</v>
      </c>
    </row>
    <row r="160" spans="1:7" x14ac:dyDescent="0.25">
      <c r="A160" t="s">
        <v>53</v>
      </c>
      <c r="B160" t="s">
        <v>227</v>
      </c>
      <c r="C160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60" t="s">
        <v>48</v>
      </c>
      <c r="E160" t="s">
        <v>38</v>
      </c>
      <c r="F160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60">
        <f>ScenarioStat0[[#This Row],[team-1-win]]+ScenarioStat0[[#This Row],[team-2-win]]</f>
        <v>1</v>
      </c>
    </row>
    <row r="161" spans="1:7" x14ac:dyDescent="0.25">
      <c r="A161" t="s">
        <v>53</v>
      </c>
      <c r="B161" t="s">
        <v>227</v>
      </c>
      <c r="C161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61" t="s">
        <v>33</v>
      </c>
      <c r="E161" t="s">
        <v>43</v>
      </c>
      <c r="F161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61">
        <f>ScenarioStat0[[#This Row],[team-1-win]]+ScenarioStat0[[#This Row],[team-2-win]]</f>
        <v>1</v>
      </c>
    </row>
    <row r="162" spans="1:7" x14ac:dyDescent="0.25">
      <c r="A162" t="s">
        <v>53</v>
      </c>
      <c r="B162" t="s">
        <v>227</v>
      </c>
      <c r="C162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62" t="s">
        <v>33</v>
      </c>
      <c r="E162" t="s">
        <v>45</v>
      </c>
      <c r="F162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62">
        <f>ScenarioStat0[[#This Row],[team-1-win]]+ScenarioStat0[[#This Row],[team-2-win]]</f>
        <v>1</v>
      </c>
    </row>
    <row r="163" spans="1:7" x14ac:dyDescent="0.25">
      <c r="A163" t="s">
        <v>53</v>
      </c>
      <c r="B163" t="s">
        <v>227</v>
      </c>
      <c r="C163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63" t="s">
        <v>33</v>
      </c>
      <c r="E163" t="s">
        <v>63</v>
      </c>
      <c r="F163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63">
        <f>ScenarioStat0[[#This Row],[team-1-win]]+ScenarioStat0[[#This Row],[team-2-win]]</f>
        <v>1</v>
      </c>
    </row>
    <row r="164" spans="1:7" x14ac:dyDescent="0.25">
      <c r="A164" t="s">
        <v>53</v>
      </c>
      <c r="B164" t="s">
        <v>227</v>
      </c>
      <c r="C164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64" t="s">
        <v>33</v>
      </c>
      <c r="E164" t="s">
        <v>38</v>
      </c>
      <c r="F164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64">
        <f>ScenarioStat0[[#This Row],[team-1-win]]+ScenarioStat0[[#This Row],[team-2-win]]</f>
        <v>1</v>
      </c>
    </row>
    <row r="165" spans="1:7" x14ac:dyDescent="0.25">
      <c r="A165" t="s">
        <v>53</v>
      </c>
      <c r="B165" t="s">
        <v>227</v>
      </c>
      <c r="C16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65" t="s">
        <v>43</v>
      </c>
      <c r="E165" t="s">
        <v>45</v>
      </c>
      <c r="F16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65">
        <f>ScenarioStat0[[#This Row],[team-1-win]]+ScenarioStat0[[#This Row],[team-2-win]]</f>
        <v>1</v>
      </c>
    </row>
    <row r="166" spans="1:7" x14ac:dyDescent="0.25">
      <c r="A166" t="s">
        <v>53</v>
      </c>
      <c r="B166" t="s">
        <v>227</v>
      </c>
      <c r="C166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66" t="s">
        <v>43</v>
      </c>
      <c r="E166" t="s">
        <v>63</v>
      </c>
      <c r="F166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66">
        <f>ScenarioStat0[[#This Row],[team-1-win]]+ScenarioStat0[[#This Row],[team-2-win]]</f>
        <v>1</v>
      </c>
    </row>
    <row r="167" spans="1:7" x14ac:dyDescent="0.25">
      <c r="A167" t="s">
        <v>53</v>
      </c>
      <c r="B167" t="s">
        <v>227</v>
      </c>
      <c r="C167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67" t="s">
        <v>43</v>
      </c>
      <c r="E167" t="s">
        <v>38</v>
      </c>
      <c r="F167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67">
        <f>ScenarioStat0[[#This Row],[team-1-win]]+ScenarioStat0[[#This Row],[team-2-win]]</f>
        <v>1</v>
      </c>
    </row>
    <row r="168" spans="1:7" x14ac:dyDescent="0.25">
      <c r="A168" t="s">
        <v>53</v>
      </c>
      <c r="B168" t="s">
        <v>227</v>
      </c>
      <c r="C168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68" t="s">
        <v>45</v>
      </c>
      <c r="E168" t="s">
        <v>63</v>
      </c>
      <c r="F168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68">
        <f>ScenarioStat0[[#This Row],[team-1-win]]+ScenarioStat0[[#This Row],[team-2-win]]</f>
        <v>1</v>
      </c>
    </row>
    <row r="169" spans="1:7" x14ac:dyDescent="0.25">
      <c r="A169" t="s">
        <v>53</v>
      </c>
      <c r="B169" t="s">
        <v>227</v>
      </c>
      <c r="C16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69" t="s">
        <v>45</v>
      </c>
      <c r="E169" t="s">
        <v>38</v>
      </c>
      <c r="F16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69">
        <f>ScenarioStat0[[#This Row],[team-1-win]]+ScenarioStat0[[#This Row],[team-2-win]]</f>
        <v>1</v>
      </c>
    </row>
    <row r="170" spans="1:7" x14ac:dyDescent="0.25">
      <c r="A170" t="s">
        <v>53</v>
      </c>
      <c r="B170" t="s">
        <v>227</v>
      </c>
      <c r="C170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70" t="s">
        <v>63</v>
      </c>
      <c r="E170" t="s">
        <v>38</v>
      </c>
      <c r="F170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70">
        <f>ScenarioStat0[[#This Row],[team-1-win]]+ScenarioStat0[[#This Row],[team-2-win]]</f>
        <v>1</v>
      </c>
    </row>
    <row r="171" spans="1:7" x14ac:dyDescent="0.25">
      <c r="A171" t="s">
        <v>56</v>
      </c>
      <c r="B171" t="s">
        <v>48</v>
      </c>
      <c r="C171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71" t="s">
        <v>33</v>
      </c>
      <c r="E171" t="s">
        <v>43</v>
      </c>
      <c r="F171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71">
        <f>ScenarioStat0[[#This Row],[team-1-win]]+ScenarioStat0[[#This Row],[team-2-win]]</f>
        <v>1</v>
      </c>
    </row>
    <row r="172" spans="1:7" x14ac:dyDescent="0.25">
      <c r="A172" t="s">
        <v>56</v>
      </c>
      <c r="B172" t="s">
        <v>48</v>
      </c>
      <c r="C172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72" t="s">
        <v>33</v>
      </c>
      <c r="E172" t="s">
        <v>45</v>
      </c>
      <c r="F172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72">
        <f>ScenarioStat0[[#This Row],[team-1-win]]+ScenarioStat0[[#This Row],[team-2-win]]</f>
        <v>1</v>
      </c>
    </row>
    <row r="173" spans="1:7" x14ac:dyDescent="0.25">
      <c r="A173" t="s">
        <v>56</v>
      </c>
      <c r="B173" t="s">
        <v>48</v>
      </c>
      <c r="C173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73" t="s">
        <v>33</v>
      </c>
      <c r="E173" t="s">
        <v>63</v>
      </c>
      <c r="F173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73">
        <f>ScenarioStat0[[#This Row],[team-1-win]]+ScenarioStat0[[#This Row],[team-2-win]]</f>
        <v>1</v>
      </c>
    </row>
    <row r="174" spans="1:7" x14ac:dyDescent="0.25">
      <c r="A174" t="s">
        <v>56</v>
      </c>
      <c r="B174" t="s">
        <v>48</v>
      </c>
      <c r="C174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74" t="s">
        <v>33</v>
      </c>
      <c r="E174" t="s">
        <v>38</v>
      </c>
      <c r="F174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74">
        <f>ScenarioStat0[[#This Row],[team-1-win]]+ScenarioStat0[[#This Row],[team-2-win]]</f>
        <v>1</v>
      </c>
    </row>
    <row r="175" spans="1:7" x14ac:dyDescent="0.25">
      <c r="A175" t="s">
        <v>56</v>
      </c>
      <c r="B175" t="s">
        <v>48</v>
      </c>
      <c r="C17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75" t="s">
        <v>33</v>
      </c>
      <c r="E175" t="s">
        <v>227</v>
      </c>
      <c r="F17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75">
        <f>ScenarioStat0[[#This Row],[team-1-win]]+ScenarioStat0[[#This Row],[team-2-win]]</f>
        <v>1</v>
      </c>
    </row>
    <row r="176" spans="1:7" x14ac:dyDescent="0.25">
      <c r="A176" t="s">
        <v>56</v>
      </c>
      <c r="B176" t="s">
        <v>48</v>
      </c>
      <c r="C176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76" t="s">
        <v>43</v>
      </c>
      <c r="E176" t="s">
        <v>45</v>
      </c>
      <c r="F176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76">
        <f>ScenarioStat0[[#This Row],[team-1-win]]+ScenarioStat0[[#This Row],[team-2-win]]</f>
        <v>1</v>
      </c>
    </row>
    <row r="177" spans="1:7" x14ac:dyDescent="0.25">
      <c r="A177" t="s">
        <v>56</v>
      </c>
      <c r="B177" t="s">
        <v>48</v>
      </c>
      <c r="C177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77" t="s">
        <v>43</v>
      </c>
      <c r="E177" t="s">
        <v>63</v>
      </c>
      <c r="F177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77">
        <f>ScenarioStat0[[#This Row],[team-1-win]]+ScenarioStat0[[#This Row],[team-2-win]]</f>
        <v>1</v>
      </c>
    </row>
    <row r="178" spans="1:7" x14ac:dyDescent="0.25">
      <c r="A178" t="s">
        <v>56</v>
      </c>
      <c r="B178" t="s">
        <v>48</v>
      </c>
      <c r="C178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78" t="s">
        <v>43</v>
      </c>
      <c r="E178" t="s">
        <v>38</v>
      </c>
      <c r="F178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78">
        <f>ScenarioStat0[[#This Row],[team-1-win]]+ScenarioStat0[[#This Row],[team-2-win]]</f>
        <v>1</v>
      </c>
    </row>
    <row r="179" spans="1:7" x14ac:dyDescent="0.25">
      <c r="A179" t="s">
        <v>56</v>
      </c>
      <c r="B179" t="s">
        <v>48</v>
      </c>
      <c r="C17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79" t="s">
        <v>43</v>
      </c>
      <c r="E179" t="s">
        <v>227</v>
      </c>
      <c r="F17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79">
        <f>ScenarioStat0[[#This Row],[team-1-win]]+ScenarioStat0[[#This Row],[team-2-win]]</f>
        <v>1</v>
      </c>
    </row>
    <row r="180" spans="1:7" x14ac:dyDescent="0.25">
      <c r="A180" t="s">
        <v>56</v>
      </c>
      <c r="B180" t="s">
        <v>48</v>
      </c>
      <c r="C180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80" t="s">
        <v>45</v>
      </c>
      <c r="E180" t="s">
        <v>63</v>
      </c>
      <c r="F180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80">
        <f>ScenarioStat0[[#This Row],[team-1-win]]+ScenarioStat0[[#This Row],[team-2-win]]</f>
        <v>1</v>
      </c>
    </row>
    <row r="181" spans="1:7" x14ac:dyDescent="0.25">
      <c r="A181" t="s">
        <v>56</v>
      </c>
      <c r="B181" t="s">
        <v>48</v>
      </c>
      <c r="C181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81" t="s">
        <v>45</v>
      </c>
      <c r="E181" t="s">
        <v>38</v>
      </c>
      <c r="F181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81">
        <f>ScenarioStat0[[#This Row],[team-1-win]]+ScenarioStat0[[#This Row],[team-2-win]]</f>
        <v>1</v>
      </c>
    </row>
    <row r="182" spans="1:7" x14ac:dyDescent="0.25">
      <c r="A182" t="s">
        <v>56</v>
      </c>
      <c r="B182" t="s">
        <v>48</v>
      </c>
      <c r="C182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82" t="s">
        <v>45</v>
      </c>
      <c r="E182" t="s">
        <v>227</v>
      </c>
      <c r="F182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82">
        <f>ScenarioStat0[[#This Row],[team-1-win]]+ScenarioStat0[[#This Row],[team-2-win]]</f>
        <v>1</v>
      </c>
    </row>
    <row r="183" spans="1:7" x14ac:dyDescent="0.25">
      <c r="A183" t="s">
        <v>56</v>
      </c>
      <c r="B183" t="s">
        <v>48</v>
      </c>
      <c r="C183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83" t="s">
        <v>63</v>
      </c>
      <c r="E183" t="s">
        <v>38</v>
      </c>
      <c r="F183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83">
        <f>ScenarioStat0[[#This Row],[team-1-win]]+ScenarioStat0[[#This Row],[team-2-win]]</f>
        <v>1</v>
      </c>
    </row>
    <row r="184" spans="1:7" x14ac:dyDescent="0.25">
      <c r="A184" t="s">
        <v>56</v>
      </c>
      <c r="B184" t="s">
        <v>48</v>
      </c>
      <c r="C184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84" t="s">
        <v>63</v>
      </c>
      <c r="E184" t="s">
        <v>227</v>
      </c>
      <c r="F184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84">
        <f>ScenarioStat0[[#This Row],[team-1-win]]+ScenarioStat0[[#This Row],[team-2-win]]</f>
        <v>1</v>
      </c>
    </row>
    <row r="185" spans="1:7" x14ac:dyDescent="0.25">
      <c r="A185" t="s">
        <v>56</v>
      </c>
      <c r="B185" t="s">
        <v>48</v>
      </c>
      <c r="C185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85" t="s">
        <v>38</v>
      </c>
      <c r="E185" t="s">
        <v>227</v>
      </c>
      <c r="F185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85">
        <f>ScenarioStat0[[#This Row],[team-1-win]]+ScenarioStat0[[#This Row],[team-2-win]]</f>
        <v>1</v>
      </c>
    </row>
    <row r="186" spans="1:7" x14ac:dyDescent="0.25">
      <c r="A186" t="s">
        <v>56</v>
      </c>
      <c r="B186" t="s">
        <v>33</v>
      </c>
      <c r="C186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86" t="s">
        <v>48</v>
      </c>
      <c r="E186" t="s">
        <v>43</v>
      </c>
      <c r="F186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86">
        <f>ScenarioStat0[[#This Row],[team-1-win]]+ScenarioStat0[[#This Row],[team-2-win]]</f>
        <v>1</v>
      </c>
    </row>
    <row r="187" spans="1:7" x14ac:dyDescent="0.25">
      <c r="A187" t="s">
        <v>56</v>
      </c>
      <c r="B187" t="s">
        <v>33</v>
      </c>
      <c r="C187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87" t="s">
        <v>48</v>
      </c>
      <c r="E187" t="s">
        <v>45</v>
      </c>
      <c r="F187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87">
        <f>ScenarioStat0[[#This Row],[team-1-win]]+ScenarioStat0[[#This Row],[team-2-win]]</f>
        <v>1</v>
      </c>
    </row>
    <row r="188" spans="1:7" x14ac:dyDescent="0.25">
      <c r="A188" t="s">
        <v>56</v>
      </c>
      <c r="B188" t="s">
        <v>33</v>
      </c>
      <c r="C188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88" t="s">
        <v>48</v>
      </c>
      <c r="E188" t="s">
        <v>63</v>
      </c>
      <c r="F188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88">
        <f>ScenarioStat0[[#This Row],[team-1-win]]+ScenarioStat0[[#This Row],[team-2-win]]</f>
        <v>1</v>
      </c>
    </row>
    <row r="189" spans="1:7" x14ac:dyDescent="0.25">
      <c r="A189" t="s">
        <v>56</v>
      </c>
      <c r="B189" t="s">
        <v>33</v>
      </c>
      <c r="C18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89" t="s">
        <v>48</v>
      </c>
      <c r="E189" t="s">
        <v>38</v>
      </c>
      <c r="F18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89">
        <f>ScenarioStat0[[#This Row],[team-1-win]]+ScenarioStat0[[#This Row],[team-2-win]]</f>
        <v>1</v>
      </c>
    </row>
    <row r="190" spans="1:7" x14ac:dyDescent="0.25">
      <c r="A190" t="s">
        <v>56</v>
      </c>
      <c r="B190" t="s">
        <v>33</v>
      </c>
      <c r="C190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90" t="s">
        <v>48</v>
      </c>
      <c r="E190" t="s">
        <v>227</v>
      </c>
      <c r="F190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90">
        <f>ScenarioStat0[[#This Row],[team-1-win]]+ScenarioStat0[[#This Row],[team-2-win]]</f>
        <v>1</v>
      </c>
    </row>
    <row r="191" spans="1:7" x14ac:dyDescent="0.25">
      <c r="A191" t="s">
        <v>56</v>
      </c>
      <c r="B191" t="s">
        <v>33</v>
      </c>
      <c r="C191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91" t="s">
        <v>43</v>
      </c>
      <c r="E191" t="s">
        <v>45</v>
      </c>
      <c r="F191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91">
        <f>ScenarioStat0[[#This Row],[team-1-win]]+ScenarioStat0[[#This Row],[team-2-win]]</f>
        <v>1</v>
      </c>
    </row>
    <row r="192" spans="1:7" x14ac:dyDescent="0.25">
      <c r="A192" t="s">
        <v>56</v>
      </c>
      <c r="B192" t="s">
        <v>33</v>
      </c>
      <c r="C192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92" t="s">
        <v>43</v>
      </c>
      <c r="E192" t="s">
        <v>63</v>
      </c>
      <c r="F192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92">
        <f>ScenarioStat0[[#This Row],[team-1-win]]+ScenarioStat0[[#This Row],[team-2-win]]</f>
        <v>1</v>
      </c>
    </row>
    <row r="193" spans="1:7" x14ac:dyDescent="0.25">
      <c r="A193" t="s">
        <v>56</v>
      </c>
      <c r="B193" t="s">
        <v>33</v>
      </c>
      <c r="C193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93" t="s">
        <v>43</v>
      </c>
      <c r="E193" t="s">
        <v>38</v>
      </c>
      <c r="F193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93">
        <f>ScenarioStat0[[#This Row],[team-1-win]]+ScenarioStat0[[#This Row],[team-2-win]]</f>
        <v>1</v>
      </c>
    </row>
    <row r="194" spans="1:7" x14ac:dyDescent="0.25">
      <c r="A194" t="s">
        <v>56</v>
      </c>
      <c r="B194" t="s">
        <v>33</v>
      </c>
      <c r="C194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94" t="s">
        <v>43</v>
      </c>
      <c r="E194" t="s">
        <v>227</v>
      </c>
      <c r="F194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94">
        <f>ScenarioStat0[[#This Row],[team-1-win]]+ScenarioStat0[[#This Row],[team-2-win]]</f>
        <v>1</v>
      </c>
    </row>
    <row r="195" spans="1:7" x14ac:dyDescent="0.25">
      <c r="A195" t="s">
        <v>56</v>
      </c>
      <c r="B195" t="s">
        <v>33</v>
      </c>
      <c r="C195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95" t="s">
        <v>45</v>
      </c>
      <c r="E195" t="s">
        <v>63</v>
      </c>
      <c r="F195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95">
        <f>ScenarioStat0[[#This Row],[team-1-win]]+ScenarioStat0[[#This Row],[team-2-win]]</f>
        <v>1</v>
      </c>
    </row>
    <row r="196" spans="1:7" x14ac:dyDescent="0.25">
      <c r="A196" t="s">
        <v>56</v>
      </c>
      <c r="B196" t="s">
        <v>33</v>
      </c>
      <c r="C196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196" t="s">
        <v>45</v>
      </c>
      <c r="E196" t="s">
        <v>38</v>
      </c>
      <c r="F196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196">
        <f>ScenarioStat0[[#This Row],[team-1-win]]+ScenarioStat0[[#This Row],[team-2-win]]</f>
        <v>1</v>
      </c>
    </row>
    <row r="197" spans="1:7" x14ac:dyDescent="0.25">
      <c r="A197" t="s">
        <v>56</v>
      </c>
      <c r="B197" t="s">
        <v>33</v>
      </c>
      <c r="C197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97" t="s">
        <v>45</v>
      </c>
      <c r="E197" t="s">
        <v>227</v>
      </c>
      <c r="F197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97">
        <f>ScenarioStat0[[#This Row],[team-1-win]]+ScenarioStat0[[#This Row],[team-2-win]]</f>
        <v>1</v>
      </c>
    </row>
    <row r="198" spans="1:7" x14ac:dyDescent="0.25">
      <c r="A198" t="s">
        <v>56</v>
      </c>
      <c r="B198" t="s">
        <v>33</v>
      </c>
      <c r="C198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98" t="s">
        <v>63</v>
      </c>
      <c r="E198" t="s">
        <v>38</v>
      </c>
      <c r="F198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98">
        <f>ScenarioStat0[[#This Row],[team-1-win]]+ScenarioStat0[[#This Row],[team-2-win]]</f>
        <v>1</v>
      </c>
    </row>
    <row r="199" spans="1:7" x14ac:dyDescent="0.25">
      <c r="A199" t="s">
        <v>56</v>
      </c>
      <c r="B199" t="s">
        <v>33</v>
      </c>
      <c r="C199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199" t="s">
        <v>63</v>
      </c>
      <c r="E199" t="s">
        <v>227</v>
      </c>
      <c r="F199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199">
        <f>ScenarioStat0[[#This Row],[team-1-win]]+ScenarioStat0[[#This Row],[team-2-win]]</f>
        <v>1</v>
      </c>
    </row>
    <row r="200" spans="1:7" x14ac:dyDescent="0.25">
      <c r="A200" t="s">
        <v>56</v>
      </c>
      <c r="B200" t="s">
        <v>33</v>
      </c>
      <c r="C200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00" t="s">
        <v>38</v>
      </c>
      <c r="E200" t="s">
        <v>227</v>
      </c>
      <c r="F200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00">
        <f>ScenarioStat0[[#This Row],[team-1-win]]+ScenarioStat0[[#This Row],[team-2-win]]</f>
        <v>1</v>
      </c>
    </row>
    <row r="201" spans="1:7" x14ac:dyDescent="0.25">
      <c r="A201" t="s">
        <v>56</v>
      </c>
      <c r="B201" t="s">
        <v>43</v>
      </c>
      <c r="C201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01" t="s">
        <v>48</v>
      </c>
      <c r="E201" t="s">
        <v>33</v>
      </c>
      <c r="F201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01">
        <f>ScenarioStat0[[#This Row],[team-1-win]]+ScenarioStat0[[#This Row],[team-2-win]]</f>
        <v>1</v>
      </c>
    </row>
    <row r="202" spans="1:7" x14ac:dyDescent="0.25">
      <c r="A202" t="s">
        <v>56</v>
      </c>
      <c r="B202" t="s">
        <v>43</v>
      </c>
      <c r="C202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02" t="s">
        <v>48</v>
      </c>
      <c r="E202" t="s">
        <v>45</v>
      </c>
      <c r="F202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02">
        <f>ScenarioStat0[[#This Row],[team-1-win]]+ScenarioStat0[[#This Row],[team-2-win]]</f>
        <v>1</v>
      </c>
    </row>
    <row r="203" spans="1:7" x14ac:dyDescent="0.25">
      <c r="A203" t="s">
        <v>56</v>
      </c>
      <c r="B203" t="s">
        <v>43</v>
      </c>
      <c r="C203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03" t="s">
        <v>48</v>
      </c>
      <c r="E203" t="s">
        <v>63</v>
      </c>
      <c r="F203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03">
        <f>ScenarioStat0[[#This Row],[team-1-win]]+ScenarioStat0[[#This Row],[team-2-win]]</f>
        <v>1</v>
      </c>
    </row>
    <row r="204" spans="1:7" x14ac:dyDescent="0.25">
      <c r="A204" t="s">
        <v>56</v>
      </c>
      <c r="B204" t="s">
        <v>43</v>
      </c>
      <c r="C204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04" t="s">
        <v>48</v>
      </c>
      <c r="E204" t="s">
        <v>38</v>
      </c>
      <c r="F204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04">
        <f>ScenarioStat0[[#This Row],[team-1-win]]+ScenarioStat0[[#This Row],[team-2-win]]</f>
        <v>1</v>
      </c>
    </row>
    <row r="205" spans="1:7" x14ac:dyDescent="0.25">
      <c r="A205" t="s">
        <v>56</v>
      </c>
      <c r="B205" t="s">
        <v>43</v>
      </c>
      <c r="C205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05" t="s">
        <v>48</v>
      </c>
      <c r="E205" t="s">
        <v>227</v>
      </c>
      <c r="F205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05">
        <f>ScenarioStat0[[#This Row],[team-1-win]]+ScenarioStat0[[#This Row],[team-2-win]]</f>
        <v>1</v>
      </c>
    </row>
    <row r="206" spans="1:7" x14ac:dyDescent="0.25">
      <c r="A206" t="s">
        <v>56</v>
      </c>
      <c r="B206" t="s">
        <v>43</v>
      </c>
      <c r="C206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06" t="s">
        <v>33</v>
      </c>
      <c r="E206" t="s">
        <v>45</v>
      </c>
      <c r="F206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06">
        <f>ScenarioStat0[[#This Row],[team-1-win]]+ScenarioStat0[[#This Row],[team-2-win]]</f>
        <v>1</v>
      </c>
    </row>
    <row r="207" spans="1:7" x14ac:dyDescent="0.25">
      <c r="A207" t="s">
        <v>56</v>
      </c>
      <c r="B207" t="s">
        <v>43</v>
      </c>
      <c r="C207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07" t="s">
        <v>33</v>
      </c>
      <c r="E207" t="s">
        <v>63</v>
      </c>
      <c r="F207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07">
        <f>ScenarioStat0[[#This Row],[team-1-win]]+ScenarioStat0[[#This Row],[team-2-win]]</f>
        <v>1</v>
      </c>
    </row>
    <row r="208" spans="1:7" x14ac:dyDescent="0.25">
      <c r="A208" t="s">
        <v>56</v>
      </c>
      <c r="B208" t="s">
        <v>43</v>
      </c>
      <c r="C208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08" t="s">
        <v>33</v>
      </c>
      <c r="E208" t="s">
        <v>38</v>
      </c>
      <c r="F208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08">
        <f>ScenarioStat0[[#This Row],[team-1-win]]+ScenarioStat0[[#This Row],[team-2-win]]</f>
        <v>1</v>
      </c>
    </row>
    <row r="209" spans="1:7" x14ac:dyDescent="0.25">
      <c r="A209" t="s">
        <v>56</v>
      </c>
      <c r="B209" t="s">
        <v>43</v>
      </c>
      <c r="C20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09" t="s">
        <v>33</v>
      </c>
      <c r="E209" t="s">
        <v>227</v>
      </c>
      <c r="F20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09">
        <f>ScenarioStat0[[#This Row],[team-1-win]]+ScenarioStat0[[#This Row],[team-2-win]]</f>
        <v>1</v>
      </c>
    </row>
    <row r="210" spans="1:7" x14ac:dyDescent="0.25">
      <c r="A210" t="s">
        <v>56</v>
      </c>
      <c r="B210" t="s">
        <v>43</v>
      </c>
      <c r="C210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10" t="s">
        <v>45</v>
      </c>
      <c r="E210" t="s">
        <v>63</v>
      </c>
      <c r="F210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10">
        <f>ScenarioStat0[[#This Row],[team-1-win]]+ScenarioStat0[[#This Row],[team-2-win]]</f>
        <v>1</v>
      </c>
    </row>
    <row r="211" spans="1:7" x14ac:dyDescent="0.25">
      <c r="A211" t="s">
        <v>56</v>
      </c>
      <c r="B211" t="s">
        <v>43</v>
      </c>
      <c r="C211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11" t="s">
        <v>45</v>
      </c>
      <c r="E211" t="s">
        <v>38</v>
      </c>
      <c r="F211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11">
        <f>ScenarioStat0[[#This Row],[team-1-win]]+ScenarioStat0[[#This Row],[team-2-win]]</f>
        <v>1</v>
      </c>
    </row>
    <row r="212" spans="1:7" x14ac:dyDescent="0.25">
      <c r="A212" t="s">
        <v>56</v>
      </c>
      <c r="B212" t="s">
        <v>43</v>
      </c>
      <c r="C212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12" t="s">
        <v>45</v>
      </c>
      <c r="E212" t="s">
        <v>227</v>
      </c>
      <c r="F212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12">
        <f>ScenarioStat0[[#This Row],[team-1-win]]+ScenarioStat0[[#This Row],[team-2-win]]</f>
        <v>1</v>
      </c>
    </row>
    <row r="213" spans="1:7" x14ac:dyDescent="0.25">
      <c r="A213" t="s">
        <v>56</v>
      </c>
      <c r="B213" t="s">
        <v>43</v>
      </c>
      <c r="C213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13" t="s">
        <v>63</v>
      </c>
      <c r="E213" t="s">
        <v>38</v>
      </c>
      <c r="F213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13">
        <f>ScenarioStat0[[#This Row],[team-1-win]]+ScenarioStat0[[#This Row],[team-2-win]]</f>
        <v>1</v>
      </c>
    </row>
    <row r="214" spans="1:7" x14ac:dyDescent="0.25">
      <c r="A214" t="s">
        <v>56</v>
      </c>
      <c r="B214" t="s">
        <v>43</v>
      </c>
      <c r="C214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14" t="s">
        <v>63</v>
      </c>
      <c r="E214" t="s">
        <v>227</v>
      </c>
      <c r="F214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14">
        <f>ScenarioStat0[[#This Row],[team-1-win]]+ScenarioStat0[[#This Row],[team-2-win]]</f>
        <v>1</v>
      </c>
    </row>
    <row r="215" spans="1:7" x14ac:dyDescent="0.25">
      <c r="A215" t="s">
        <v>56</v>
      </c>
      <c r="B215" t="s">
        <v>43</v>
      </c>
      <c r="C215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15" t="s">
        <v>38</v>
      </c>
      <c r="E215" t="s">
        <v>227</v>
      </c>
      <c r="F215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15">
        <f>ScenarioStat0[[#This Row],[team-1-win]]+ScenarioStat0[[#This Row],[team-2-win]]</f>
        <v>1</v>
      </c>
    </row>
    <row r="216" spans="1:7" x14ac:dyDescent="0.25">
      <c r="A216" t="s">
        <v>56</v>
      </c>
      <c r="B216" t="s">
        <v>45</v>
      </c>
      <c r="C216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16" t="s">
        <v>48</v>
      </c>
      <c r="E216" t="s">
        <v>33</v>
      </c>
      <c r="F216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16">
        <f>ScenarioStat0[[#This Row],[team-1-win]]+ScenarioStat0[[#This Row],[team-2-win]]</f>
        <v>1</v>
      </c>
    </row>
    <row r="217" spans="1:7" x14ac:dyDescent="0.25">
      <c r="A217" t="s">
        <v>56</v>
      </c>
      <c r="B217" t="s">
        <v>45</v>
      </c>
      <c r="C217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17" t="s">
        <v>48</v>
      </c>
      <c r="E217" t="s">
        <v>43</v>
      </c>
      <c r="F217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17">
        <f>ScenarioStat0[[#This Row],[team-1-win]]+ScenarioStat0[[#This Row],[team-2-win]]</f>
        <v>1</v>
      </c>
    </row>
    <row r="218" spans="1:7" x14ac:dyDescent="0.25">
      <c r="A218" t="s">
        <v>56</v>
      </c>
      <c r="B218" t="s">
        <v>45</v>
      </c>
      <c r="C218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18" t="s">
        <v>48</v>
      </c>
      <c r="E218" t="s">
        <v>63</v>
      </c>
      <c r="F218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18">
        <f>ScenarioStat0[[#This Row],[team-1-win]]+ScenarioStat0[[#This Row],[team-2-win]]</f>
        <v>1</v>
      </c>
    </row>
    <row r="219" spans="1:7" x14ac:dyDescent="0.25">
      <c r="A219" t="s">
        <v>56</v>
      </c>
      <c r="B219" t="s">
        <v>45</v>
      </c>
      <c r="C219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19" t="s">
        <v>48</v>
      </c>
      <c r="E219" t="s">
        <v>38</v>
      </c>
      <c r="F219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19">
        <f>ScenarioStat0[[#This Row],[team-1-win]]+ScenarioStat0[[#This Row],[team-2-win]]</f>
        <v>1</v>
      </c>
    </row>
    <row r="220" spans="1:7" x14ac:dyDescent="0.25">
      <c r="A220" t="s">
        <v>56</v>
      </c>
      <c r="B220" t="s">
        <v>45</v>
      </c>
      <c r="C220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20" t="s">
        <v>48</v>
      </c>
      <c r="E220" t="s">
        <v>227</v>
      </c>
      <c r="F220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20">
        <f>ScenarioStat0[[#This Row],[team-1-win]]+ScenarioStat0[[#This Row],[team-2-win]]</f>
        <v>1</v>
      </c>
    </row>
    <row r="221" spans="1:7" x14ac:dyDescent="0.25">
      <c r="A221" t="s">
        <v>56</v>
      </c>
      <c r="B221" t="s">
        <v>45</v>
      </c>
      <c r="C221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21" t="s">
        <v>33</v>
      </c>
      <c r="E221" t="s">
        <v>43</v>
      </c>
      <c r="F221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21">
        <f>ScenarioStat0[[#This Row],[team-1-win]]+ScenarioStat0[[#This Row],[team-2-win]]</f>
        <v>1</v>
      </c>
    </row>
    <row r="222" spans="1:7" x14ac:dyDescent="0.25">
      <c r="A222" t="s">
        <v>56</v>
      </c>
      <c r="B222" t="s">
        <v>45</v>
      </c>
      <c r="C222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22" t="s">
        <v>33</v>
      </c>
      <c r="E222" t="s">
        <v>63</v>
      </c>
      <c r="F222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22">
        <f>ScenarioStat0[[#This Row],[team-1-win]]+ScenarioStat0[[#This Row],[team-2-win]]</f>
        <v>1</v>
      </c>
    </row>
    <row r="223" spans="1:7" x14ac:dyDescent="0.25">
      <c r="A223" t="s">
        <v>56</v>
      </c>
      <c r="B223" t="s">
        <v>45</v>
      </c>
      <c r="C223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23" t="s">
        <v>33</v>
      </c>
      <c r="E223" t="s">
        <v>38</v>
      </c>
      <c r="F223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23">
        <f>ScenarioStat0[[#This Row],[team-1-win]]+ScenarioStat0[[#This Row],[team-2-win]]</f>
        <v>1</v>
      </c>
    </row>
    <row r="224" spans="1:7" x14ac:dyDescent="0.25">
      <c r="A224" t="s">
        <v>56</v>
      </c>
      <c r="B224" t="s">
        <v>45</v>
      </c>
      <c r="C224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24" t="s">
        <v>33</v>
      </c>
      <c r="E224" t="s">
        <v>227</v>
      </c>
      <c r="F224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24">
        <f>ScenarioStat0[[#This Row],[team-1-win]]+ScenarioStat0[[#This Row],[team-2-win]]</f>
        <v>1</v>
      </c>
    </row>
    <row r="225" spans="1:7" x14ac:dyDescent="0.25">
      <c r="A225" t="s">
        <v>56</v>
      </c>
      <c r="B225" t="s">
        <v>45</v>
      </c>
      <c r="C22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25" t="s">
        <v>43</v>
      </c>
      <c r="E225" t="s">
        <v>63</v>
      </c>
      <c r="F22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25">
        <f>ScenarioStat0[[#This Row],[team-1-win]]+ScenarioStat0[[#This Row],[team-2-win]]</f>
        <v>1</v>
      </c>
    </row>
    <row r="226" spans="1:7" x14ac:dyDescent="0.25">
      <c r="A226" t="s">
        <v>56</v>
      </c>
      <c r="B226" t="s">
        <v>45</v>
      </c>
      <c r="C226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26" t="s">
        <v>43</v>
      </c>
      <c r="E226" t="s">
        <v>38</v>
      </c>
      <c r="F226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26">
        <f>ScenarioStat0[[#This Row],[team-1-win]]+ScenarioStat0[[#This Row],[team-2-win]]</f>
        <v>1</v>
      </c>
    </row>
    <row r="227" spans="1:7" x14ac:dyDescent="0.25">
      <c r="A227" t="s">
        <v>56</v>
      </c>
      <c r="B227" t="s">
        <v>45</v>
      </c>
      <c r="C227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27" t="s">
        <v>43</v>
      </c>
      <c r="E227" t="s">
        <v>227</v>
      </c>
      <c r="F227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27">
        <f>ScenarioStat0[[#This Row],[team-1-win]]+ScenarioStat0[[#This Row],[team-2-win]]</f>
        <v>1</v>
      </c>
    </row>
    <row r="228" spans="1:7" x14ac:dyDescent="0.25">
      <c r="A228" t="s">
        <v>56</v>
      </c>
      <c r="B228" t="s">
        <v>45</v>
      </c>
      <c r="C228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28" t="s">
        <v>63</v>
      </c>
      <c r="E228" t="s">
        <v>38</v>
      </c>
      <c r="F228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28">
        <f>ScenarioStat0[[#This Row],[team-1-win]]+ScenarioStat0[[#This Row],[team-2-win]]</f>
        <v>1</v>
      </c>
    </row>
    <row r="229" spans="1:7" x14ac:dyDescent="0.25">
      <c r="A229" t="s">
        <v>56</v>
      </c>
      <c r="B229" t="s">
        <v>45</v>
      </c>
      <c r="C229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29" t="s">
        <v>63</v>
      </c>
      <c r="E229" t="s">
        <v>227</v>
      </c>
      <c r="F229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29">
        <f>ScenarioStat0[[#This Row],[team-1-win]]+ScenarioStat0[[#This Row],[team-2-win]]</f>
        <v>1</v>
      </c>
    </row>
    <row r="230" spans="1:7" x14ac:dyDescent="0.25">
      <c r="A230" t="s">
        <v>56</v>
      </c>
      <c r="B230" t="s">
        <v>45</v>
      </c>
      <c r="C230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30" t="s">
        <v>38</v>
      </c>
      <c r="E230" t="s">
        <v>227</v>
      </c>
      <c r="F230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30">
        <f>ScenarioStat0[[#This Row],[team-1-win]]+ScenarioStat0[[#This Row],[team-2-win]]</f>
        <v>1</v>
      </c>
    </row>
    <row r="231" spans="1:7" x14ac:dyDescent="0.25">
      <c r="A231" t="s">
        <v>56</v>
      </c>
      <c r="B231" t="s">
        <v>63</v>
      </c>
      <c r="C231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31" t="s">
        <v>48</v>
      </c>
      <c r="E231" t="s">
        <v>33</v>
      </c>
      <c r="F231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31">
        <f>ScenarioStat0[[#This Row],[team-1-win]]+ScenarioStat0[[#This Row],[team-2-win]]</f>
        <v>1</v>
      </c>
    </row>
    <row r="232" spans="1:7" x14ac:dyDescent="0.25">
      <c r="A232" t="s">
        <v>56</v>
      </c>
      <c r="B232" t="s">
        <v>63</v>
      </c>
      <c r="C232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32" t="s">
        <v>48</v>
      </c>
      <c r="E232" t="s">
        <v>43</v>
      </c>
      <c r="F232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32">
        <f>ScenarioStat0[[#This Row],[team-1-win]]+ScenarioStat0[[#This Row],[team-2-win]]</f>
        <v>1</v>
      </c>
    </row>
    <row r="233" spans="1:7" x14ac:dyDescent="0.25">
      <c r="A233" t="s">
        <v>56</v>
      </c>
      <c r="B233" t="s">
        <v>63</v>
      </c>
      <c r="C233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33" t="s">
        <v>48</v>
      </c>
      <c r="E233" t="s">
        <v>45</v>
      </c>
      <c r="F233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33">
        <f>ScenarioStat0[[#This Row],[team-1-win]]+ScenarioStat0[[#This Row],[team-2-win]]</f>
        <v>1</v>
      </c>
    </row>
    <row r="234" spans="1:7" x14ac:dyDescent="0.25">
      <c r="A234" t="s">
        <v>56</v>
      </c>
      <c r="B234" t="s">
        <v>63</v>
      </c>
      <c r="C234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34" t="s">
        <v>48</v>
      </c>
      <c r="E234" t="s">
        <v>38</v>
      </c>
      <c r="F234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34">
        <f>ScenarioStat0[[#This Row],[team-1-win]]+ScenarioStat0[[#This Row],[team-2-win]]</f>
        <v>1</v>
      </c>
    </row>
    <row r="235" spans="1:7" x14ac:dyDescent="0.25">
      <c r="A235" t="s">
        <v>56</v>
      </c>
      <c r="B235" t="s">
        <v>63</v>
      </c>
      <c r="C23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35" t="s">
        <v>48</v>
      </c>
      <c r="E235" t="s">
        <v>227</v>
      </c>
      <c r="F23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35">
        <f>ScenarioStat0[[#This Row],[team-1-win]]+ScenarioStat0[[#This Row],[team-2-win]]</f>
        <v>1</v>
      </c>
    </row>
    <row r="236" spans="1:7" x14ac:dyDescent="0.25">
      <c r="A236" t="s">
        <v>56</v>
      </c>
      <c r="B236" t="s">
        <v>63</v>
      </c>
      <c r="C236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36" t="s">
        <v>33</v>
      </c>
      <c r="E236" t="s">
        <v>43</v>
      </c>
      <c r="F236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36">
        <f>ScenarioStat0[[#This Row],[team-1-win]]+ScenarioStat0[[#This Row],[team-2-win]]</f>
        <v>1</v>
      </c>
    </row>
    <row r="237" spans="1:7" x14ac:dyDescent="0.25">
      <c r="A237" t="s">
        <v>56</v>
      </c>
      <c r="B237" t="s">
        <v>63</v>
      </c>
      <c r="C237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37" t="s">
        <v>33</v>
      </c>
      <c r="E237" t="s">
        <v>45</v>
      </c>
      <c r="F237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37">
        <f>ScenarioStat0[[#This Row],[team-1-win]]+ScenarioStat0[[#This Row],[team-2-win]]</f>
        <v>1</v>
      </c>
    </row>
    <row r="238" spans="1:7" x14ac:dyDescent="0.25">
      <c r="A238" t="s">
        <v>56</v>
      </c>
      <c r="B238" t="s">
        <v>63</v>
      </c>
      <c r="C238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38" t="s">
        <v>33</v>
      </c>
      <c r="E238" t="s">
        <v>38</v>
      </c>
      <c r="F238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38">
        <f>ScenarioStat0[[#This Row],[team-1-win]]+ScenarioStat0[[#This Row],[team-2-win]]</f>
        <v>1</v>
      </c>
    </row>
    <row r="239" spans="1:7" x14ac:dyDescent="0.25">
      <c r="A239" t="s">
        <v>56</v>
      </c>
      <c r="B239" t="s">
        <v>63</v>
      </c>
      <c r="C23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39" t="s">
        <v>33</v>
      </c>
      <c r="E239" t="s">
        <v>227</v>
      </c>
      <c r="F23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39">
        <f>ScenarioStat0[[#This Row],[team-1-win]]+ScenarioStat0[[#This Row],[team-2-win]]</f>
        <v>1</v>
      </c>
    </row>
    <row r="240" spans="1:7" x14ac:dyDescent="0.25">
      <c r="A240" t="s">
        <v>56</v>
      </c>
      <c r="B240" t="s">
        <v>63</v>
      </c>
      <c r="C240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40" t="s">
        <v>43</v>
      </c>
      <c r="E240" t="s">
        <v>45</v>
      </c>
      <c r="F240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40">
        <f>ScenarioStat0[[#This Row],[team-1-win]]+ScenarioStat0[[#This Row],[team-2-win]]</f>
        <v>1</v>
      </c>
    </row>
    <row r="241" spans="1:7" x14ac:dyDescent="0.25">
      <c r="A241" t="s">
        <v>56</v>
      </c>
      <c r="B241" t="s">
        <v>63</v>
      </c>
      <c r="C241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41" t="s">
        <v>43</v>
      </c>
      <c r="E241" t="s">
        <v>38</v>
      </c>
      <c r="F241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41">
        <f>ScenarioStat0[[#This Row],[team-1-win]]+ScenarioStat0[[#This Row],[team-2-win]]</f>
        <v>1</v>
      </c>
    </row>
    <row r="242" spans="1:7" x14ac:dyDescent="0.25">
      <c r="A242" t="s">
        <v>56</v>
      </c>
      <c r="B242" t="s">
        <v>63</v>
      </c>
      <c r="C242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42" t="s">
        <v>43</v>
      </c>
      <c r="E242" t="s">
        <v>227</v>
      </c>
      <c r="F242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42">
        <f>ScenarioStat0[[#This Row],[team-1-win]]+ScenarioStat0[[#This Row],[team-2-win]]</f>
        <v>1</v>
      </c>
    </row>
    <row r="243" spans="1:7" x14ac:dyDescent="0.25">
      <c r="A243" t="s">
        <v>56</v>
      </c>
      <c r="B243" t="s">
        <v>63</v>
      </c>
      <c r="C243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43" t="s">
        <v>45</v>
      </c>
      <c r="E243" t="s">
        <v>38</v>
      </c>
      <c r="F243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43">
        <f>ScenarioStat0[[#This Row],[team-1-win]]+ScenarioStat0[[#This Row],[team-2-win]]</f>
        <v>1</v>
      </c>
    </row>
    <row r="244" spans="1:7" x14ac:dyDescent="0.25">
      <c r="A244" t="s">
        <v>56</v>
      </c>
      <c r="B244" t="s">
        <v>63</v>
      </c>
      <c r="C244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44" t="s">
        <v>45</v>
      </c>
      <c r="E244" t="s">
        <v>227</v>
      </c>
      <c r="F244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44">
        <f>ScenarioStat0[[#This Row],[team-1-win]]+ScenarioStat0[[#This Row],[team-2-win]]</f>
        <v>1</v>
      </c>
    </row>
    <row r="245" spans="1:7" x14ac:dyDescent="0.25">
      <c r="A245" t="s">
        <v>56</v>
      </c>
      <c r="B245" t="s">
        <v>63</v>
      </c>
      <c r="C24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45" t="s">
        <v>38</v>
      </c>
      <c r="E245" t="s">
        <v>227</v>
      </c>
      <c r="F24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45">
        <f>ScenarioStat0[[#This Row],[team-1-win]]+ScenarioStat0[[#This Row],[team-2-win]]</f>
        <v>1</v>
      </c>
    </row>
    <row r="246" spans="1:7" x14ac:dyDescent="0.25">
      <c r="A246" t="s">
        <v>56</v>
      </c>
      <c r="B246" t="s">
        <v>38</v>
      </c>
      <c r="C246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46" t="s">
        <v>48</v>
      </c>
      <c r="E246" t="s">
        <v>33</v>
      </c>
      <c r="F246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46">
        <f>ScenarioStat0[[#This Row],[team-1-win]]+ScenarioStat0[[#This Row],[team-2-win]]</f>
        <v>1</v>
      </c>
    </row>
    <row r="247" spans="1:7" x14ac:dyDescent="0.25">
      <c r="A247" t="s">
        <v>56</v>
      </c>
      <c r="B247" t="s">
        <v>38</v>
      </c>
      <c r="C247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47" t="s">
        <v>48</v>
      </c>
      <c r="E247" t="s">
        <v>43</v>
      </c>
      <c r="F247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47">
        <f>ScenarioStat0[[#This Row],[team-1-win]]+ScenarioStat0[[#This Row],[team-2-win]]</f>
        <v>1</v>
      </c>
    </row>
    <row r="248" spans="1:7" x14ac:dyDescent="0.25">
      <c r="A248" t="s">
        <v>56</v>
      </c>
      <c r="B248" t="s">
        <v>38</v>
      </c>
      <c r="C248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48" t="s">
        <v>48</v>
      </c>
      <c r="E248" t="s">
        <v>45</v>
      </c>
      <c r="F248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48">
        <f>ScenarioStat0[[#This Row],[team-1-win]]+ScenarioStat0[[#This Row],[team-2-win]]</f>
        <v>1</v>
      </c>
    </row>
    <row r="249" spans="1:7" x14ac:dyDescent="0.25">
      <c r="A249" t="s">
        <v>56</v>
      </c>
      <c r="B249" t="s">
        <v>38</v>
      </c>
      <c r="C249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49" t="s">
        <v>48</v>
      </c>
      <c r="E249" t="s">
        <v>63</v>
      </c>
      <c r="F249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49">
        <f>ScenarioStat0[[#This Row],[team-1-win]]+ScenarioStat0[[#This Row],[team-2-win]]</f>
        <v>1</v>
      </c>
    </row>
    <row r="250" spans="1:7" x14ac:dyDescent="0.25">
      <c r="A250" t="s">
        <v>56</v>
      </c>
      <c r="B250" t="s">
        <v>38</v>
      </c>
      <c r="C250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50" t="s">
        <v>48</v>
      </c>
      <c r="E250" t="s">
        <v>227</v>
      </c>
      <c r="F250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50">
        <f>ScenarioStat0[[#This Row],[team-1-win]]+ScenarioStat0[[#This Row],[team-2-win]]</f>
        <v>1</v>
      </c>
    </row>
    <row r="251" spans="1:7" x14ac:dyDescent="0.25">
      <c r="A251" t="s">
        <v>56</v>
      </c>
      <c r="B251" t="s">
        <v>38</v>
      </c>
      <c r="C251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51" t="s">
        <v>33</v>
      </c>
      <c r="E251" t="s">
        <v>43</v>
      </c>
      <c r="F251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51">
        <f>ScenarioStat0[[#This Row],[team-1-win]]+ScenarioStat0[[#This Row],[team-2-win]]</f>
        <v>1</v>
      </c>
    </row>
    <row r="252" spans="1:7" x14ac:dyDescent="0.25">
      <c r="A252" t="s">
        <v>56</v>
      </c>
      <c r="B252" t="s">
        <v>38</v>
      </c>
      <c r="C252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52" t="s">
        <v>33</v>
      </c>
      <c r="E252" t="s">
        <v>45</v>
      </c>
      <c r="F252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52">
        <f>ScenarioStat0[[#This Row],[team-1-win]]+ScenarioStat0[[#This Row],[team-2-win]]</f>
        <v>1</v>
      </c>
    </row>
    <row r="253" spans="1:7" x14ac:dyDescent="0.25">
      <c r="A253" t="s">
        <v>56</v>
      </c>
      <c r="B253" t="s">
        <v>38</v>
      </c>
      <c r="C253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53" t="s">
        <v>33</v>
      </c>
      <c r="E253" t="s">
        <v>63</v>
      </c>
      <c r="F253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53">
        <f>ScenarioStat0[[#This Row],[team-1-win]]+ScenarioStat0[[#This Row],[team-2-win]]</f>
        <v>1</v>
      </c>
    </row>
    <row r="254" spans="1:7" x14ac:dyDescent="0.25">
      <c r="A254" t="s">
        <v>56</v>
      </c>
      <c r="B254" t="s">
        <v>38</v>
      </c>
      <c r="C254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54" t="s">
        <v>33</v>
      </c>
      <c r="E254" t="s">
        <v>227</v>
      </c>
      <c r="F254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54">
        <f>ScenarioStat0[[#This Row],[team-1-win]]+ScenarioStat0[[#This Row],[team-2-win]]</f>
        <v>1</v>
      </c>
    </row>
    <row r="255" spans="1:7" x14ac:dyDescent="0.25">
      <c r="A255" t="s">
        <v>56</v>
      </c>
      <c r="B255" t="s">
        <v>38</v>
      </c>
      <c r="C25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55" t="s">
        <v>43</v>
      </c>
      <c r="E255" t="s">
        <v>45</v>
      </c>
      <c r="F25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55">
        <f>ScenarioStat0[[#This Row],[team-1-win]]+ScenarioStat0[[#This Row],[team-2-win]]</f>
        <v>1</v>
      </c>
    </row>
    <row r="256" spans="1:7" x14ac:dyDescent="0.25">
      <c r="A256" t="s">
        <v>56</v>
      </c>
      <c r="B256" t="s">
        <v>38</v>
      </c>
      <c r="C256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56" t="s">
        <v>43</v>
      </c>
      <c r="E256" t="s">
        <v>63</v>
      </c>
      <c r="F256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56">
        <f>ScenarioStat0[[#This Row],[team-1-win]]+ScenarioStat0[[#This Row],[team-2-win]]</f>
        <v>1</v>
      </c>
    </row>
    <row r="257" spans="1:7" x14ac:dyDescent="0.25">
      <c r="A257" t="s">
        <v>56</v>
      </c>
      <c r="B257" t="s">
        <v>38</v>
      </c>
      <c r="C257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57" t="s">
        <v>43</v>
      </c>
      <c r="E257" t="s">
        <v>227</v>
      </c>
      <c r="F257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57">
        <f>ScenarioStat0[[#This Row],[team-1-win]]+ScenarioStat0[[#This Row],[team-2-win]]</f>
        <v>1</v>
      </c>
    </row>
    <row r="258" spans="1:7" x14ac:dyDescent="0.25">
      <c r="A258" t="s">
        <v>56</v>
      </c>
      <c r="B258" t="s">
        <v>38</v>
      </c>
      <c r="C258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58" t="s">
        <v>45</v>
      </c>
      <c r="E258" t="s">
        <v>63</v>
      </c>
      <c r="F258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58">
        <f>ScenarioStat0[[#This Row],[team-1-win]]+ScenarioStat0[[#This Row],[team-2-win]]</f>
        <v>1</v>
      </c>
    </row>
    <row r="259" spans="1:7" x14ac:dyDescent="0.25">
      <c r="A259" t="s">
        <v>56</v>
      </c>
      <c r="B259" t="s">
        <v>38</v>
      </c>
      <c r="C25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59" t="s">
        <v>45</v>
      </c>
      <c r="E259" t="s">
        <v>227</v>
      </c>
      <c r="F25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59">
        <f>ScenarioStat0[[#This Row],[team-1-win]]+ScenarioStat0[[#This Row],[team-2-win]]</f>
        <v>1</v>
      </c>
    </row>
    <row r="260" spans="1:7" x14ac:dyDescent="0.25">
      <c r="A260" t="s">
        <v>56</v>
      </c>
      <c r="B260" t="s">
        <v>38</v>
      </c>
      <c r="C260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60" t="s">
        <v>63</v>
      </c>
      <c r="E260" t="s">
        <v>227</v>
      </c>
      <c r="F260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60">
        <f>ScenarioStat0[[#This Row],[team-1-win]]+ScenarioStat0[[#This Row],[team-2-win]]</f>
        <v>1</v>
      </c>
    </row>
    <row r="261" spans="1:7" x14ac:dyDescent="0.25">
      <c r="A261" t="s">
        <v>56</v>
      </c>
      <c r="B261" t="s">
        <v>227</v>
      </c>
      <c r="C261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61" t="s">
        <v>48</v>
      </c>
      <c r="E261" t="s">
        <v>33</v>
      </c>
      <c r="F261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61">
        <f>ScenarioStat0[[#This Row],[team-1-win]]+ScenarioStat0[[#This Row],[team-2-win]]</f>
        <v>1</v>
      </c>
    </row>
    <row r="262" spans="1:7" x14ac:dyDescent="0.25">
      <c r="A262" t="s">
        <v>56</v>
      </c>
      <c r="B262" t="s">
        <v>227</v>
      </c>
      <c r="C262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62" t="s">
        <v>48</v>
      </c>
      <c r="E262" t="s">
        <v>43</v>
      </c>
      <c r="F262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62">
        <f>ScenarioStat0[[#This Row],[team-1-win]]+ScenarioStat0[[#This Row],[team-2-win]]</f>
        <v>1</v>
      </c>
    </row>
    <row r="263" spans="1:7" x14ac:dyDescent="0.25">
      <c r="A263" t="s">
        <v>56</v>
      </c>
      <c r="B263" t="s">
        <v>227</v>
      </c>
      <c r="C263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63" t="s">
        <v>48</v>
      </c>
      <c r="E263" t="s">
        <v>45</v>
      </c>
      <c r="F263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63">
        <f>ScenarioStat0[[#This Row],[team-1-win]]+ScenarioStat0[[#This Row],[team-2-win]]</f>
        <v>1</v>
      </c>
    </row>
    <row r="264" spans="1:7" x14ac:dyDescent="0.25">
      <c r="A264" t="s">
        <v>56</v>
      </c>
      <c r="B264" t="s">
        <v>227</v>
      </c>
      <c r="C264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64" t="s">
        <v>48</v>
      </c>
      <c r="E264" t="s">
        <v>63</v>
      </c>
      <c r="F264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64">
        <f>ScenarioStat0[[#This Row],[team-1-win]]+ScenarioStat0[[#This Row],[team-2-win]]</f>
        <v>1</v>
      </c>
    </row>
    <row r="265" spans="1:7" x14ac:dyDescent="0.25">
      <c r="A265" t="s">
        <v>56</v>
      </c>
      <c r="B265" t="s">
        <v>227</v>
      </c>
      <c r="C26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65" t="s">
        <v>48</v>
      </c>
      <c r="E265" t="s">
        <v>38</v>
      </c>
      <c r="F26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65">
        <f>ScenarioStat0[[#This Row],[team-1-win]]+ScenarioStat0[[#This Row],[team-2-win]]</f>
        <v>1</v>
      </c>
    </row>
    <row r="266" spans="1:7" x14ac:dyDescent="0.25">
      <c r="A266" t="s">
        <v>56</v>
      </c>
      <c r="B266" t="s">
        <v>227</v>
      </c>
      <c r="C266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66" t="s">
        <v>33</v>
      </c>
      <c r="E266" t="s">
        <v>43</v>
      </c>
      <c r="F266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66">
        <f>ScenarioStat0[[#This Row],[team-1-win]]+ScenarioStat0[[#This Row],[team-2-win]]</f>
        <v>1</v>
      </c>
    </row>
    <row r="267" spans="1:7" x14ac:dyDescent="0.25">
      <c r="A267" t="s">
        <v>56</v>
      </c>
      <c r="B267" t="s">
        <v>227</v>
      </c>
      <c r="C267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67" t="s">
        <v>33</v>
      </c>
      <c r="E267" t="s">
        <v>45</v>
      </c>
      <c r="F267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67">
        <f>ScenarioStat0[[#This Row],[team-1-win]]+ScenarioStat0[[#This Row],[team-2-win]]</f>
        <v>1</v>
      </c>
    </row>
    <row r="268" spans="1:7" x14ac:dyDescent="0.25">
      <c r="A268" t="s">
        <v>56</v>
      </c>
      <c r="B268" t="s">
        <v>227</v>
      </c>
      <c r="C268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68" t="s">
        <v>33</v>
      </c>
      <c r="E268" t="s">
        <v>63</v>
      </c>
      <c r="F268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68">
        <f>ScenarioStat0[[#This Row],[team-1-win]]+ScenarioStat0[[#This Row],[team-2-win]]</f>
        <v>1</v>
      </c>
    </row>
    <row r="269" spans="1:7" x14ac:dyDescent="0.25">
      <c r="A269" t="s">
        <v>56</v>
      </c>
      <c r="B269" t="s">
        <v>227</v>
      </c>
      <c r="C26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69" t="s">
        <v>33</v>
      </c>
      <c r="E269" t="s">
        <v>38</v>
      </c>
      <c r="F26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69">
        <f>ScenarioStat0[[#This Row],[team-1-win]]+ScenarioStat0[[#This Row],[team-2-win]]</f>
        <v>1</v>
      </c>
    </row>
    <row r="270" spans="1:7" x14ac:dyDescent="0.25">
      <c r="A270" t="s">
        <v>56</v>
      </c>
      <c r="B270" t="s">
        <v>227</v>
      </c>
      <c r="C270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70" t="s">
        <v>43</v>
      </c>
      <c r="E270" t="s">
        <v>45</v>
      </c>
      <c r="F270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70">
        <f>ScenarioStat0[[#This Row],[team-1-win]]+ScenarioStat0[[#This Row],[team-2-win]]</f>
        <v>1</v>
      </c>
    </row>
    <row r="271" spans="1:7" x14ac:dyDescent="0.25">
      <c r="A271" t="s">
        <v>56</v>
      </c>
      <c r="B271" t="s">
        <v>227</v>
      </c>
      <c r="C271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71" t="s">
        <v>43</v>
      </c>
      <c r="E271" t="s">
        <v>63</v>
      </c>
      <c r="F271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71">
        <f>ScenarioStat0[[#This Row],[team-1-win]]+ScenarioStat0[[#This Row],[team-2-win]]</f>
        <v>1</v>
      </c>
    </row>
    <row r="272" spans="1:7" x14ac:dyDescent="0.25">
      <c r="A272" t="s">
        <v>56</v>
      </c>
      <c r="B272" t="s">
        <v>227</v>
      </c>
      <c r="C272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72" t="s">
        <v>43</v>
      </c>
      <c r="E272" t="s">
        <v>38</v>
      </c>
      <c r="F272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72">
        <f>ScenarioStat0[[#This Row],[team-1-win]]+ScenarioStat0[[#This Row],[team-2-win]]</f>
        <v>1</v>
      </c>
    </row>
    <row r="273" spans="1:7" x14ac:dyDescent="0.25">
      <c r="A273" t="s">
        <v>56</v>
      </c>
      <c r="B273" t="s">
        <v>227</v>
      </c>
      <c r="C273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73" t="s">
        <v>45</v>
      </c>
      <c r="E273" t="s">
        <v>63</v>
      </c>
      <c r="F273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73">
        <f>ScenarioStat0[[#This Row],[team-1-win]]+ScenarioStat0[[#This Row],[team-2-win]]</f>
        <v>1</v>
      </c>
    </row>
    <row r="274" spans="1:7" x14ac:dyDescent="0.25">
      <c r="A274" t="s">
        <v>56</v>
      </c>
      <c r="B274" t="s">
        <v>227</v>
      </c>
      <c r="C274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74" t="s">
        <v>45</v>
      </c>
      <c r="E274" t="s">
        <v>38</v>
      </c>
      <c r="F274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74">
        <f>ScenarioStat0[[#This Row],[team-1-win]]+ScenarioStat0[[#This Row],[team-2-win]]</f>
        <v>1</v>
      </c>
    </row>
    <row r="275" spans="1:7" x14ac:dyDescent="0.25">
      <c r="A275" t="s">
        <v>56</v>
      </c>
      <c r="B275" t="s">
        <v>227</v>
      </c>
      <c r="C27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75" t="s">
        <v>63</v>
      </c>
      <c r="E275" t="s">
        <v>38</v>
      </c>
      <c r="F27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75">
        <f>ScenarioStat0[[#This Row],[team-1-win]]+ScenarioStat0[[#This Row],[team-2-win]]</f>
        <v>1</v>
      </c>
    </row>
    <row r="276" spans="1:7" x14ac:dyDescent="0.25">
      <c r="A276" t="s">
        <v>48</v>
      </c>
      <c r="B276" t="s">
        <v>33</v>
      </c>
      <c r="C276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76" t="s">
        <v>43</v>
      </c>
      <c r="E276" t="s">
        <v>45</v>
      </c>
      <c r="F276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76">
        <f>ScenarioStat0[[#This Row],[team-1-win]]+ScenarioStat0[[#This Row],[team-2-win]]</f>
        <v>1</v>
      </c>
    </row>
    <row r="277" spans="1:7" x14ac:dyDescent="0.25">
      <c r="A277" t="s">
        <v>48</v>
      </c>
      <c r="B277" t="s">
        <v>33</v>
      </c>
      <c r="C277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77" t="s">
        <v>43</v>
      </c>
      <c r="E277" t="s">
        <v>63</v>
      </c>
      <c r="F277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77">
        <f>ScenarioStat0[[#This Row],[team-1-win]]+ScenarioStat0[[#This Row],[team-2-win]]</f>
        <v>1</v>
      </c>
    </row>
    <row r="278" spans="1:7" x14ac:dyDescent="0.25">
      <c r="A278" t="s">
        <v>48</v>
      </c>
      <c r="B278" t="s">
        <v>33</v>
      </c>
      <c r="C278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78" t="s">
        <v>43</v>
      </c>
      <c r="E278" t="s">
        <v>38</v>
      </c>
      <c r="F278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78">
        <f>ScenarioStat0[[#This Row],[team-1-win]]+ScenarioStat0[[#This Row],[team-2-win]]</f>
        <v>1</v>
      </c>
    </row>
    <row r="279" spans="1:7" x14ac:dyDescent="0.25">
      <c r="A279" t="s">
        <v>48</v>
      </c>
      <c r="B279" t="s">
        <v>33</v>
      </c>
      <c r="C27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79" t="s">
        <v>43</v>
      </c>
      <c r="E279" t="s">
        <v>227</v>
      </c>
      <c r="F27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79">
        <f>ScenarioStat0[[#This Row],[team-1-win]]+ScenarioStat0[[#This Row],[team-2-win]]</f>
        <v>1</v>
      </c>
    </row>
    <row r="280" spans="1:7" x14ac:dyDescent="0.25">
      <c r="A280" t="s">
        <v>48</v>
      </c>
      <c r="B280" t="s">
        <v>33</v>
      </c>
      <c r="C280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80" t="s">
        <v>45</v>
      </c>
      <c r="E280" t="s">
        <v>63</v>
      </c>
      <c r="F280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80">
        <f>ScenarioStat0[[#This Row],[team-1-win]]+ScenarioStat0[[#This Row],[team-2-win]]</f>
        <v>1</v>
      </c>
    </row>
    <row r="281" spans="1:7" x14ac:dyDescent="0.25">
      <c r="A281" t="s">
        <v>48</v>
      </c>
      <c r="B281" t="s">
        <v>33</v>
      </c>
      <c r="C281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81" t="s">
        <v>45</v>
      </c>
      <c r="E281" t="s">
        <v>38</v>
      </c>
      <c r="F281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81">
        <f>ScenarioStat0[[#This Row],[team-1-win]]+ScenarioStat0[[#This Row],[team-2-win]]</f>
        <v>1</v>
      </c>
    </row>
    <row r="282" spans="1:7" x14ac:dyDescent="0.25">
      <c r="A282" t="s">
        <v>48</v>
      </c>
      <c r="B282" t="s">
        <v>33</v>
      </c>
      <c r="C282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82" t="s">
        <v>45</v>
      </c>
      <c r="E282" t="s">
        <v>227</v>
      </c>
      <c r="F282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82">
        <f>ScenarioStat0[[#This Row],[team-1-win]]+ScenarioStat0[[#This Row],[team-2-win]]</f>
        <v>1</v>
      </c>
    </row>
    <row r="283" spans="1:7" x14ac:dyDescent="0.25">
      <c r="A283" t="s">
        <v>48</v>
      </c>
      <c r="B283" t="s">
        <v>33</v>
      </c>
      <c r="C283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83" t="s">
        <v>63</v>
      </c>
      <c r="E283" t="s">
        <v>38</v>
      </c>
      <c r="F283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83">
        <f>ScenarioStat0[[#This Row],[team-1-win]]+ScenarioStat0[[#This Row],[team-2-win]]</f>
        <v>1</v>
      </c>
    </row>
    <row r="284" spans="1:7" x14ac:dyDescent="0.25">
      <c r="A284" t="s">
        <v>48</v>
      </c>
      <c r="B284" t="s">
        <v>33</v>
      </c>
      <c r="C284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84" t="s">
        <v>63</v>
      </c>
      <c r="E284" t="s">
        <v>227</v>
      </c>
      <c r="F284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84">
        <f>ScenarioStat0[[#This Row],[team-1-win]]+ScenarioStat0[[#This Row],[team-2-win]]</f>
        <v>1</v>
      </c>
    </row>
    <row r="285" spans="1:7" x14ac:dyDescent="0.25">
      <c r="A285" t="s">
        <v>48</v>
      </c>
      <c r="B285" t="s">
        <v>33</v>
      </c>
      <c r="C28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85" t="s">
        <v>38</v>
      </c>
      <c r="E285" t="s">
        <v>227</v>
      </c>
      <c r="F28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85">
        <f>ScenarioStat0[[#This Row],[team-1-win]]+ScenarioStat0[[#This Row],[team-2-win]]</f>
        <v>1</v>
      </c>
    </row>
    <row r="286" spans="1:7" x14ac:dyDescent="0.25">
      <c r="A286" t="s">
        <v>48</v>
      </c>
      <c r="B286" t="s">
        <v>43</v>
      </c>
      <c r="C286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86" t="s">
        <v>33</v>
      </c>
      <c r="E286" t="s">
        <v>45</v>
      </c>
      <c r="F286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86">
        <f>ScenarioStat0[[#This Row],[team-1-win]]+ScenarioStat0[[#This Row],[team-2-win]]</f>
        <v>1</v>
      </c>
    </row>
    <row r="287" spans="1:7" x14ac:dyDescent="0.25">
      <c r="A287" t="s">
        <v>48</v>
      </c>
      <c r="B287" t="s">
        <v>43</v>
      </c>
      <c r="C287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87" t="s">
        <v>33</v>
      </c>
      <c r="E287" t="s">
        <v>63</v>
      </c>
      <c r="F287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87">
        <f>ScenarioStat0[[#This Row],[team-1-win]]+ScenarioStat0[[#This Row],[team-2-win]]</f>
        <v>1</v>
      </c>
    </row>
    <row r="288" spans="1:7" x14ac:dyDescent="0.25">
      <c r="A288" t="s">
        <v>48</v>
      </c>
      <c r="B288" t="s">
        <v>43</v>
      </c>
      <c r="C288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88" t="s">
        <v>33</v>
      </c>
      <c r="E288" t="s">
        <v>38</v>
      </c>
      <c r="F288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88">
        <f>ScenarioStat0[[#This Row],[team-1-win]]+ScenarioStat0[[#This Row],[team-2-win]]</f>
        <v>1</v>
      </c>
    </row>
    <row r="289" spans="1:7" x14ac:dyDescent="0.25">
      <c r="A289" t="s">
        <v>48</v>
      </c>
      <c r="B289" t="s">
        <v>43</v>
      </c>
      <c r="C28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89" t="s">
        <v>33</v>
      </c>
      <c r="E289" t="s">
        <v>227</v>
      </c>
      <c r="F28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89">
        <f>ScenarioStat0[[#This Row],[team-1-win]]+ScenarioStat0[[#This Row],[team-2-win]]</f>
        <v>1</v>
      </c>
    </row>
    <row r="290" spans="1:7" x14ac:dyDescent="0.25">
      <c r="A290" t="s">
        <v>48</v>
      </c>
      <c r="B290" t="s">
        <v>43</v>
      </c>
      <c r="C290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90" t="s">
        <v>45</v>
      </c>
      <c r="E290" t="s">
        <v>63</v>
      </c>
      <c r="F290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90">
        <f>ScenarioStat0[[#This Row],[team-1-win]]+ScenarioStat0[[#This Row],[team-2-win]]</f>
        <v>1</v>
      </c>
    </row>
    <row r="291" spans="1:7" x14ac:dyDescent="0.25">
      <c r="A291" t="s">
        <v>48</v>
      </c>
      <c r="B291" t="s">
        <v>43</v>
      </c>
      <c r="C291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91" t="s">
        <v>45</v>
      </c>
      <c r="E291" t="s">
        <v>38</v>
      </c>
      <c r="F291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91">
        <f>ScenarioStat0[[#This Row],[team-1-win]]+ScenarioStat0[[#This Row],[team-2-win]]</f>
        <v>1</v>
      </c>
    </row>
    <row r="292" spans="1:7" x14ac:dyDescent="0.25">
      <c r="A292" t="s">
        <v>48</v>
      </c>
      <c r="B292" t="s">
        <v>43</v>
      </c>
      <c r="C292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92" t="s">
        <v>45</v>
      </c>
      <c r="E292" t="s">
        <v>227</v>
      </c>
      <c r="F292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92">
        <f>ScenarioStat0[[#This Row],[team-1-win]]+ScenarioStat0[[#This Row],[team-2-win]]</f>
        <v>1</v>
      </c>
    </row>
    <row r="293" spans="1:7" x14ac:dyDescent="0.25">
      <c r="A293" t="s">
        <v>48</v>
      </c>
      <c r="B293" t="s">
        <v>43</v>
      </c>
      <c r="C293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93" t="s">
        <v>63</v>
      </c>
      <c r="E293" t="s">
        <v>38</v>
      </c>
      <c r="F293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93">
        <f>ScenarioStat0[[#This Row],[team-1-win]]+ScenarioStat0[[#This Row],[team-2-win]]</f>
        <v>1</v>
      </c>
    </row>
    <row r="294" spans="1:7" x14ac:dyDescent="0.25">
      <c r="A294" t="s">
        <v>48</v>
      </c>
      <c r="B294" t="s">
        <v>43</v>
      </c>
      <c r="C294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94" t="s">
        <v>63</v>
      </c>
      <c r="E294" t="s">
        <v>227</v>
      </c>
      <c r="F294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94">
        <f>ScenarioStat0[[#This Row],[team-1-win]]+ScenarioStat0[[#This Row],[team-2-win]]</f>
        <v>1</v>
      </c>
    </row>
    <row r="295" spans="1:7" x14ac:dyDescent="0.25">
      <c r="A295" t="s">
        <v>48</v>
      </c>
      <c r="B295" t="s">
        <v>43</v>
      </c>
      <c r="C29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95" t="s">
        <v>38</v>
      </c>
      <c r="E295" t="s">
        <v>227</v>
      </c>
      <c r="F29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95">
        <f>ScenarioStat0[[#This Row],[team-1-win]]+ScenarioStat0[[#This Row],[team-2-win]]</f>
        <v>1</v>
      </c>
    </row>
    <row r="296" spans="1:7" x14ac:dyDescent="0.25">
      <c r="A296" t="s">
        <v>48</v>
      </c>
      <c r="B296" t="s">
        <v>45</v>
      </c>
      <c r="C296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96" t="s">
        <v>33</v>
      </c>
      <c r="E296" t="s">
        <v>43</v>
      </c>
      <c r="F296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96">
        <f>ScenarioStat0[[#This Row],[team-1-win]]+ScenarioStat0[[#This Row],[team-2-win]]</f>
        <v>1</v>
      </c>
    </row>
    <row r="297" spans="1:7" x14ac:dyDescent="0.25">
      <c r="A297" t="s">
        <v>48</v>
      </c>
      <c r="B297" t="s">
        <v>45</v>
      </c>
      <c r="C297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97" t="s">
        <v>33</v>
      </c>
      <c r="E297" t="s">
        <v>63</v>
      </c>
      <c r="F297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97">
        <f>ScenarioStat0[[#This Row],[team-1-win]]+ScenarioStat0[[#This Row],[team-2-win]]</f>
        <v>1</v>
      </c>
    </row>
    <row r="298" spans="1:7" x14ac:dyDescent="0.25">
      <c r="A298" t="s">
        <v>48</v>
      </c>
      <c r="B298" t="s">
        <v>45</v>
      </c>
      <c r="C298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298" t="s">
        <v>33</v>
      </c>
      <c r="E298" t="s">
        <v>38</v>
      </c>
      <c r="F298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298">
        <f>ScenarioStat0[[#This Row],[team-1-win]]+ScenarioStat0[[#This Row],[team-2-win]]</f>
        <v>1</v>
      </c>
    </row>
    <row r="299" spans="1:7" x14ac:dyDescent="0.25">
      <c r="A299" t="s">
        <v>48</v>
      </c>
      <c r="B299" t="s">
        <v>45</v>
      </c>
      <c r="C29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299" t="s">
        <v>33</v>
      </c>
      <c r="E299" t="s">
        <v>227</v>
      </c>
      <c r="F29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299">
        <f>ScenarioStat0[[#This Row],[team-1-win]]+ScenarioStat0[[#This Row],[team-2-win]]</f>
        <v>1</v>
      </c>
    </row>
    <row r="300" spans="1:7" x14ac:dyDescent="0.25">
      <c r="A300" t="s">
        <v>48</v>
      </c>
      <c r="B300" t="s">
        <v>45</v>
      </c>
      <c r="C300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00" t="s">
        <v>43</v>
      </c>
      <c r="E300" t="s">
        <v>63</v>
      </c>
      <c r="F300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00">
        <f>ScenarioStat0[[#This Row],[team-1-win]]+ScenarioStat0[[#This Row],[team-2-win]]</f>
        <v>1</v>
      </c>
    </row>
    <row r="301" spans="1:7" x14ac:dyDescent="0.25">
      <c r="A301" t="s">
        <v>48</v>
      </c>
      <c r="B301" t="s">
        <v>45</v>
      </c>
      <c r="C301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01" t="s">
        <v>43</v>
      </c>
      <c r="E301" t="s">
        <v>38</v>
      </c>
      <c r="F301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01">
        <f>ScenarioStat0[[#This Row],[team-1-win]]+ScenarioStat0[[#This Row],[team-2-win]]</f>
        <v>1</v>
      </c>
    </row>
    <row r="302" spans="1:7" x14ac:dyDescent="0.25">
      <c r="A302" t="s">
        <v>48</v>
      </c>
      <c r="B302" t="s">
        <v>45</v>
      </c>
      <c r="C302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02" t="s">
        <v>43</v>
      </c>
      <c r="E302" t="s">
        <v>227</v>
      </c>
      <c r="F302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02">
        <f>ScenarioStat0[[#This Row],[team-1-win]]+ScenarioStat0[[#This Row],[team-2-win]]</f>
        <v>1</v>
      </c>
    </row>
    <row r="303" spans="1:7" x14ac:dyDescent="0.25">
      <c r="A303" t="s">
        <v>48</v>
      </c>
      <c r="B303" t="s">
        <v>45</v>
      </c>
      <c r="C303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03" t="s">
        <v>63</v>
      </c>
      <c r="E303" t="s">
        <v>38</v>
      </c>
      <c r="F303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03">
        <f>ScenarioStat0[[#This Row],[team-1-win]]+ScenarioStat0[[#This Row],[team-2-win]]</f>
        <v>1</v>
      </c>
    </row>
    <row r="304" spans="1:7" x14ac:dyDescent="0.25">
      <c r="A304" t="s">
        <v>48</v>
      </c>
      <c r="B304" t="s">
        <v>45</v>
      </c>
      <c r="C304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04" t="s">
        <v>63</v>
      </c>
      <c r="E304" t="s">
        <v>227</v>
      </c>
      <c r="F304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04">
        <f>ScenarioStat0[[#This Row],[team-1-win]]+ScenarioStat0[[#This Row],[team-2-win]]</f>
        <v>1</v>
      </c>
    </row>
    <row r="305" spans="1:7" x14ac:dyDescent="0.25">
      <c r="A305" t="s">
        <v>48</v>
      </c>
      <c r="B305" t="s">
        <v>45</v>
      </c>
      <c r="C30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05" t="s">
        <v>38</v>
      </c>
      <c r="E305" t="s">
        <v>227</v>
      </c>
      <c r="F30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05">
        <f>ScenarioStat0[[#This Row],[team-1-win]]+ScenarioStat0[[#This Row],[team-2-win]]</f>
        <v>1</v>
      </c>
    </row>
    <row r="306" spans="1:7" x14ac:dyDescent="0.25">
      <c r="A306" t="s">
        <v>48</v>
      </c>
      <c r="B306" t="s">
        <v>63</v>
      </c>
      <c r="C306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06" t="s">
        <v>33</v>
      </c>
      <c r="E306" t="s">
        <v>43</v>
      </c>
      <c r="F306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06">
        <f>ScenarioStat0[[#This Row],[team-1-win]]+ScenarioStat0[[#This Row],[team-2-win]]</f>
        <v>1</v>
      </c>
    </row>
    <row r="307" spans="1:7" x14ac:dyDescent="0.25">
      <c r="A307" t="s">
        <v>48</v>
      </c>
      <c r="B307" t="s">
        <v>63</v>
      </c>
      <c r="C307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07" t="s">
        <v>33</v>
      </c>
      <c r="E307" t="s">
        <v>45</v>
      </c>
      <c r="F307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07">
        <f>ScenarioStat0[[#This Row],[team-1-win]]+ScenarioStat0[[#This Row],[team-2-win]]</f>
        <v>1</v>
      </c>
    </row>
    <row r="308" spans="1:7" x14ac:dyDescent="0.25">
      <c r="A308" t="s">
        <v>48</v>
      </c>
      <c r="B308" t="s">
        <v>63</v>
      </c>
      <c r="C308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08" t="s">
        <v>33</v>
      </c>
      <c r="E308" t="s">
        <v>38</v>
      </c>
      <c r="F308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08">
        <f>ScenarioStat0[[#This Row],[team-1-win]]+ScenarioStat0[[#This Row],[team-2-win]]</f>
        <v>1</v>
      </c>
    </row>
    <row r="309" spans="1:7" x14ac:dyDescent="0.25">
      <c r="A309" t="s">
        <v>48</v>
      </c>
      <c r="B309" t="s">
        <v>63</v>
      </c>
      <c r="C30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09" t="s">
        <v>33</v>
      </c>
      <c r="E309" t="s">
        <v>227</v>
      </c>
      <c r="F30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09">
        <f>ScenarioStat0[[#This Row],[team-1-win]]+ScenarioStat0[[#This Row],[team-2-win]]</f>
        <v>1</v>
      </c>
    </row>
    <row r="310" spans="1:7" x14ac:dyDescent="0.25">
      <c r="A310" t="s">
        <v>48</v>
      </c>
      <c r="B310" t="s">
        <v>63</v>
      </c>
      <c r="C310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10" t="s">
        <v>43</v>
      </c>
      <c r="E310" t="s">
        <v>45</v>
      </c>
      <c r="F310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10">
        <f>ScenarioStat0[[#This Row],[team-1-win]]+ScenarioStat0[[#This Row],[team-2-win]]</f>
        <v>1</v>
      </c>
    </row>
    <row r="311" spans="1:7" x14ac:dyDescent="0.25">
      <c r="A311" t="s">
        <v>48</v>
      </c>
      <c r="B311" t="s">
        <v>63</v>
      </c>
      <c r="C311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11" t="s">
        <v>43</v>
      </c>
      <c r="E311" t="s">
        <v>38</v>
      </c>
      <c r="F311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11">
        <f>ScenarioStat0[[#This Row],[team-1-win]]+ScenarioStat0[[#This Row],[team-2-win]]</f>
        <v>1</v>
      </c>
    </row>
    <row r="312" spans="1:7" x14ac:dyDescent="0.25">
      <c r="A312" t="s">
        <v>48</v>
      </c>
      <c r="B312" t="s">
        <v>63</v>
      </c>
      <c r="C312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12" t="s">
        <v>43</v>
      </c>
      <c r="E312" t="s">
        <v>227</v>
      </c>
      <c r="F312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12">
        <f>ScenarioStat0[[#This Row],[team-1-win]]+ScenarioStat0[[#This Row],[team-2-win]]</f>
        <v>1</v>
      </c>
    </row>
    <row r="313" spans="1:7" x14ac:dyDescent="0.25">
      <c r="A313" t="s">
        <v>48</v>
      </c>
      <c r="B313" t="s">
        <v>63</v>
      </c>
      <c r="C313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13" t="s">
        <v>45</v>
      </c>
      <c r="E313" t="s">
        <v>38</v>
      </c>
      <c r="F313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13">
        <f>ScenarioStat0[[#This Row],[team-1-win]]+ScenarioStat0[[#This Row],[team-2-win]]</f>
        <v>1</v>
      </c>
    </row>
    <row r="314" spans="1:7" x14ac:dyDescent="0.25">
      <c r="A314" t="s">
        <v>48</v>
      </c>
      <c r="B314" t="s">
        <v>63</v>
      </c>
      <c r="C314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14" t="s">
        <v>45</v>
      </c>
      <c r="E314" t="s">
        <v>227</v>
      </c>
      <c r="F314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14">
        <f>ScenarioStat0[[#This Row],[team-1-win]]+ScenarioStat0[[#This Row],[team-2-win]]</f>
        <v>1</v>
      </c>
    </row>
    <row r="315" spans="1:7" x14ac:dyDescent="0.25">
      <c r="A315" t="s">
        <v>48</v>
      </c>
      <c r="B315" t="s">
        <v>63</v>
      </c>
      <c r="C315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15" t="s">
        <v>38</v>
      </c>
      <c r="E315" t="s">
        <v>227</v>
      </c>
      <c r="F315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15">
        <f>ScenarioStat0[[#This Row],[team-1-win]]+ScenarioStat0[[#This Row],[team-2-win]]</f>
        <v>1</v>
      </c>
    </row>
    <row r="316" spans="1:7" x14ac:dyDescent="0.25">
      <c r="A316" t="s">
        <v>48</v>
      </c>
      <c r="B316" t="s">
        <v>38</v>
      </c>
      <c r="C316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16" t="s">
        <v>33</v>
      </c>
      <c r="E316" t="s">
        <v>43</v>
      </c>
      <c r="F316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16">
        <f>ScenarioStat0[[#This Row],[team-1-win]]+ScenarioStat0[[#This Row],[team-2-win]]</f>
        <v>1</v>
      </c>
    </row>
    <row r="317" spans="1:7" x14ac:dyDescent="0.25">
      <c r="A317" t="s">
        <v>48</v>
      </c>
      <c r="B317" t="s">
        <v>38</v>
      </c>
      <c r="C317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17" t="s">
        <v>33</v>
      </c>
      <c r="E317" t="s">
        <v>45</v>
      </c>
      <c r="F317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17">
        <f>ScenarioStat0[[#This Row],[team-1-win]]+ScenarioStat0[[#This Row],[team-2-win]]</f>
        <v>1</v>
      </c>
    </row>
    <row r="318" spans="1:7" x14ac:dyDescent="0.25">
      <c r="A318" t="s">
        <v>48</v>
      </c>
      <c r="B318" t="s">
        <v>38</v>
      </c>
      <c r="C318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18" t="s">
        <v>33</v>
      </c>
      <c r="E318" t="s">
        <v>63</v>
      </c>
      <c r="F318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18">
        <f>ScenarioStat0[[#This Row],[team-1-win]]+ScenarioStat0[[#This Row],[team-2-win]]</f>
        <v>1</v>
      </c>
    </row>
    <row r="319" spans="1:7" x14ac:dyDescent="0.25">
      <c r="A319" t="s">
        <v>48</v>
      </c>
      <c r="B319" t="s">
        <v>38</v>
      </c>
      <c r="C31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19" t="s">
        <v>33</v>
      </c>
      <c r="E319" t="s">
        <v>227</v>
      </c>
      <c r="F31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19">
        <f>ScenarioStat0[[#This Row],[team-1-win]]+ScenarioStat0[[#This Row],[team-2-win]]</f>
        <v>1</v>
      </c>
    </row>
    <row r="320" spans="1:7" x14ac:dyDescent="0.25">
      <c r="A320" t="s">
        <v>48</v>
      </c>
      <c r="B320" t="s">
        <v>38</v>
      </c>
      <c r="C320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20" t="s">
        <v>43</v>
      </c>
      <c r="E320" t="s">
        <v>45</v>
      </c>
      <c r="F320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20">
        <f>ScenarioStat0[[#This Row],[team-1-win]]+ScenarioStat0[[#This Row],[team-2-win]]</f>
        <v>1</v>
      </c>
    </row>
    <row r="321" spans="1:7" x14ac:dyDescent="0.25">
      <c r="A321" t="s">
        <v>48</v>
      </c>
      <c r="B321" t="s">
        <v>38</v>
      </c>
      <c r="C321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21" t="s">
        <v>43</v>
      </c>
      <c r="E321" t="s">
        <v>63</v>
      </c>
      <c r="F321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21">
        <f>ScenarioStat0[[#This Row],[team-1-win]]+ScenarioStat0[[#This Row],[team-2-win]]</f>
        <v>1</v>
      </c>
    </row>
    <row r="322" spans="1:7" x14ac:dyDescent="0.25">
      <c r="A322" t="s">
        <v>48</v>
      </c>
      <c r="B322" t="s">
        <v>38</v>
      </c>
      <c r="C322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22" t="s">
        <v>43</v>
      </c>
      <c r="E322" t="s">
        <v>227</v>
      </c>
      <c r="F322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22">
        <f>ScenarioStat0[[#This Row],[team-1-win]]+ScenarioStat0[[#This Row],[team-2-win]]</f>
        <v>1</v>
      </c>
    </row>
    <row r="323" spans="1:7" x14ac:dyDescent="0.25">
      <c r="A323" t="s">
        <v>48</v>
      </c>
      <c r="B323" t="s">
        <v>38</v>
      </c>
      <c r="C323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23" t="s">
        <v>45</v>
      </c>
      <c r="E323" t="s">
        <v>63</v>
      </c>
      <c r="F323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23">
        <f>ScenarioStat0[[#This Row],[team-1-win]]+ScenarioStat0[[#This Row],[team-2-win]]</f>
        <v>1</v>
      </c>
    </row>
    <row r="324" spans="1:7" x14ac:dyDescent="0.25">
      <c r="A324" t="s">
        <v>48</v>
      </c>
      <c r="B324" t="s">
        <v>38</v>
      </c>
      <c r="C324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24" t="s">
        <v>45</v>
      </c>
      <c r="E324" t="s">
        <v>227</v>
      </c>
      <c r="F324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24">
        <f>ScenarioStat0[[#This Row],[team-1-win]]+ScenarioStat0[[#This Row],[team-2-win]]</f>
        <v>1</v>
      </c>
    </row>
    <row r="325" spans="1:7" x14ac:dyDescent="0.25">
      <c r="A325" t="s">
        <v>48</v>
      </c>
      <c r="B325" t="s">
        <v>38</v>
      </c>
      <c r="C325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25" t="s">
        <v>63</v>
      </c>
      <c r="E325" t="s">
        <v>227</v>
      </c>
      <c r="F325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25">
        <f>ScenarioStat0[[#This Row],[team-1-win]]+ScenarioStat0[[#This Row],[team-2-win]]</f>
        <v>1</v>
      </c>
    </row>
    <row r="326" spans="1:7" x14ac:dyDescent="0.25">
      <c r="A326" t="s">
        <v>48</v>
      </c>
      <c r="B326" t="s">
        <v>227</v>
      </c>
      <c r="C326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26" t="s">
        <v>33</v>
      </c>
      <c r="E326" t="s">
        <v>43</v>
      </c>
      <c r="F326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26">
        <f>ScenarioStat0[[#This Row],[team-1-win]]+ScenarioStat0[[#This Row],[team-2-win]]</f>
        <v>1</v>
      </c>
    </row>
    <row r="327" spans="1:7" x14ac:dyDescent="0.25">
      <c r="A327" t="s">
        <v>48</v>
      </c>
      <c r="B327" t="s">
        <v>227</v>
      </c>
      <c r="C327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27" t="s">
        <v>33</v>
      </c>
      <c r="E327" t="s">
        <v>45</v>
      </c>
      <c r="F327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27">
        <f>ScenarioStat0[[#This Row],[team-1-win]]+ScenarioStat0[[#This Row],[team-2-win]]</f>
        <v>1</v>
      </c>
    </row>
    <row r="328" spans="1:7" x14ac:dyDescent="0.25">
      <c r="A328" t="s">
        <v>48</v>
      </c>
      <c r="B328" t="s">
        <v>227</v>
      </c>
      <c r="C328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28" t="s">
        <v>33</v>
      </c>
      <c r="E328" t="s">
        <v>63</v>
      </c>
      <c r="F328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28">
        <f>ScenarioStat0[[#This Row],[team-1-win]]+ScenarioStat0[[#This Row],[team-2-win]]</f>
        <v>1</v>
      </c>
    </row>
    <row r="329" spans="1:7" x14ac:dyDescent="0.25">
      <c r="A329" t="s">
        <v>48</v>
      </c>
      <c r="B329" t="s">
        <v>227</v>
      </c>
      <c r="C32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29" t="s">
        <v>33</v>
      </c>
      <c r="E329" t="s">
        <v>38</v>
      </c>
      <c r="F32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29">
        <f>ScenarioStat0[[#This Row],[team-1-win]]+ScenarioStat0[[#This Row],[team-2-win]]</f>
        <v>1</v>
      </c>
    </row>
    <row r="330" spans="1:7" x14ac:dyDescent="0.25">
      <c r="A330" t="s">
        <v>48</v>
      </c>
      <c r="B330" t="s">
        <v>227</v>
      </c>
      <c r="C330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30" t="s">
        <v>43</v>
      </c>
      <c r="E330" t="s">
        <v>45</v>
      </c>
      <c r="F330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30">
        <f>ScenarioStat0[[#This Row],[team-1-win]]+ScenarioStat0[[#This Row],[team-2-win]]</f>
        <v>1</v>
      </c>
    </row>
    <row r="331" spans="1:7" x14ac:dyDescent="0.25">
      <c r="A331" t="s">
        <v>48</v>
      </c>
      <c r="B331" t="s">
        <v>227</v>
      </c>
      <c r="C331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31" t="s">
        <v>43</v>
      </c>
      <c r="E331" t="s">
        <v>63</v>
      </c>
      <c r="F331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31">
        <f>ScenarioStat0[[#This Row],[team-1-win]]+ScenarioStat0[[#This Row],[team-2-win]]</f>
        <v>1</v>
      </c>
    </row>
    <row r="332" spans="1:7" x14ac:dyDescent="0.25">
      <c r="A332" t="s">
        <v>48</v>
      </c>
      <c r="B332" t="s">
        <v>227</v>
      </c>
      <c r="C332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32" t="s">
        <v>43</v>
      </c>
      <c r="E332" t="s">
        <v>38</v>
      </c>
      <c r="F332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32">
        <f>ScenarioStat0[[#This Row],[team-1-win]]+ScenarioStat0[[#This Row],[team-2-win]]</f>
        <v>1</v>
      </c>
    </row>
    <row r="333" spans="1:7" x14ac:dyDescent="0.25">
      <c r="A333" t="s">
        <v>48</v>
      </c>
      <c r="B333" t="s">
        <v>227</v>
      </c>
      <c r="C333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33" t="s">
        <v>45</v>
      </c>
      <c r="E333" t="s">
        <v>63</v>
      </c>
      <c r="F333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33">
        <f>ScenarioStat0[[#This Row],[team-1-win]]+ScenarioStat0[[#This Row],[team-2-win]]</f>
        <v>1</v>
      </c>
    </row>
    <row r="334" spans="1:7" x14ac:dyDescent="0.25">
      <c r="A334" t="s">
        <v>48</v>
      </c>
      <c r="B334" t="s">
        <v>227</v>
      </c>
      <c r="C334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34" t="s">
        <v>45</v>
      </c>
      <c r="E334" t="s">
        <v>38</v>
      </c>
      <c r="F334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34">
        <f>ScenarioStat0[[#This Row],[team-1-win]]+ScenarioStat0[[#This Row],[team-2-win]]</f>
        <v>1</v>
      </c>
    </row>
    <row r="335" spans="1:7" x14ac:dyDescent="0.25">
      <c r="A335" t="s">
        <v>48</v>
      </c>
      <c r="B335" t="s">
        <v>227</v>
      </c>
      <c r="C33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35" t="s">
        <v>63</v>
      </c>
      <c r="E335" t="s">
        <v>38</v>
      </c>
      <c r="F33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35">
        <f>ScenarioStat0[[#This Row],[team-1-win]]+ScenarioStat0[[#This Row],[team-2-win]]</f>
        <v>1</v>
      </c>
    </row>
    <row r="336" spans="1:7" x14ac:dyDescent="0.25">
      <c r="A336" t="s">
        <v>33</v>
      </c>
      <c r="B336" t="s">
        <v>43</v>
      </c>
      <c r="C336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36" t="s">
        <v>45</v>
      </c>
      <c r="E336" t="s">
        <v>63</v>
      </c>
      <c r="F336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36">
        <f>ScenarioStat0[[#This Row],[team-1-win]]+ScenarioStat0[[#This Row],[team-2-win]]</f>
        <v>1</v>
      </c>
    </row>
    <row r="337" spans="1:7" x14ac:dyDescent="0.25">
      <c r="A337" t="s">
        <v>33</v>
      </c>
      <c r="B337" t="s">
        <v>43</v>
      </c>
      <c r="C337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37" t="s">
        <v>45</v>
      </c>
      <c r="E337" t="s">
        <v>38</v>
      </c>
      <c r="F337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37">
        <f>ScenarioStat0[[#This Row],[team-1-win]]+ScenarioStat0[[#This Row],[team-2-win]]</f>
        <v>1</v>
      </c>
    </row>
    <row r="338" spans="1:7" x14ac:dyDescent="0.25">
      <c r="A338" t="s">
        <v>33</v>
      </c>
      <c r="B338" t="s">
        <v>43</v>
      </c>
      <c r="C338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38" t="s">
        <v>45</v>
      </c>
      <c r="E338" t="s">
        <v>227</v>
      </c>
      <c r="F338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38">
        <f>ScenarioStat0[[#This Row],[team-1-win]]+ScenarioStat0[[#This Row],[team-2-win]]</f>
        <v>1</v>
      </c>
    </row>
    <row r="339" spans="1:7" x14ac:dyDescent="0.25">
      <c r="A339" t="s">
        <v>33</v>
      </c>
      <c r="B339" t="s">
        <v>43</v>
      </c>
      <c r="C33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39" t="s">
        <v>63</v>
      </c>
      <c r="E339" t="s">
        <v>38</v>
      </c>
      <c r="F33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39">
        <f>ScenarioStat0[[#This Row],[team-1-win]]+ScenarioStat0[[#This Row],[team-2-win]]</f>
        <v>1</v>
      </c>
    </row>
    <row r="340" spans="1:7" x14ac:dyDescent="0.25">
      <c r="A340" t="s">
        <v>33</v>
      </c>
      <c r="B340" t="s">
        <v>43</v>
      </c>
      <c r="C340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40" t="s">
        <v>63</v>
      </c>
      <c r="E340" t="s">
        <v>227</v>
      </c>
      <c r="F340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40">
        <f>ScenarioStat0[[#This Row],[team-1-win]]+ScenarioStat0[[#This Row],[team-2-win]]</f>
        <v>1</v>
      </c>
    </row>
    <row r="341" spans="1:7" x14ac:dyDescent="0.25">
      <c r="A341" t="s">
        <v>33</v>
      </c>
      <c r="B341" t="s">
        <v>43</v>
      </c>
      <c r="C341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41" t="s">
        <v>38</v>
      </c>
      <c r="E341" t="s">
        <v>227</v>
      </c>
      <c r="F341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41">
        <f>ScenarioStat0[[#This Row],[team-1-win]]+ScenarioStat0[[#This Row],[team-2-win]]</f>
        <v>1</v>
      </c>
    </row>
    <row r="342" spans="1:7" x14ac:dyDescent="0.25">
      <c r="A342" t="s">
        <v>33</v>
      </c>
      <c r="B342" t="s">
        <v>45</v>
      </c>
      <c r="C342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42" t="s">
        <v>43</v>
      </c>
      <c r="E342" t="s">
        <v>63</v>
      </c>
      <c r="F342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42">
        <f>ScenarioStat0[[#This Row],[team-1-win]]+ScenarioStat0[[#This Row],[team-2-win]]</f>
        <v>1</v>
      </c>
    </row>
    <row r="343" spans="1:7" x14ac:dyDescent="0.25">
      <c r="A343" t="s">
        <v>33</v>
      </c>
      <c r="B343" t="s">
        <v>45</v>
      </c>
      <c r="C343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43" t="s">
        <v>43</v>
      </c>
      <c r="E343" t="s">
        <v>38</v>
      </c>
      <c r="F343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43">
        <f>ScenarioStat0[[#This Row],[team-1-win]]+ScenarioStat0[[#This Row],[team-2-win]]</f>
        <v>1</v>
      </c>
    </row>
    <row r="344" spans="1:7" x14ac:dyDescent="0.25">
      <c r="A344" t="s">
        <v>33</v>
      </c>
      <c r="B344" t="s">
        <v>45</v>
      </c>
      <c r="C344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44" t="s">
        <v>43</v>
      </c>
      <c r="E344" t="s">
        <v>227</v>
      </c>
      <c r="F344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44">
        <f>ScenarioStat0[[#This Row],[team-1-win]]+ScenarioStat0[[#This Row],[team-2-win]]</f>
        <v>1</v>
      </c>
    </row>
    <row r="345" spans="1:7" x14ac:dyDescent="0.25">
      <c r="A345" t="s">
        <v>33</v>
      </c>
      <c r="B345" t="s">
        <v>45</v>
      </c>
      <c r="C34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45" t="s">
        <v>63</v>
      </c>
      <c r="E345" t="s">
        <v>38</v>
      </c>
      <c r="F34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45">
        <f>ScenarioStat0[[#This Row],[team-1-win]]+ScenarioStat0[[#This Row],[team-2-win]]</f>
        <v>1</v>
      </c>
    </row>
    <row r="346" spans="1:7" x14ac:dyDescent="0.25">
      <c r="A346" t="s">
        <v>33</v>
      </c>
      <c r="B346" t="s">
        <v>45</v>
      </c>
      <c r="C346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46" t="s">
        <v>63</v>
      </c>
      <c r="E346" t="s">
        <v>227</v>
      </c>
      <c r="F346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46">
        <f>ScenarioStat0[[#This Row],[team-1-win]]+ScenarioStat0[[#This Row],[team-2-win]]</f>
        <v>1</v>
      </c>
    </row>
    <row r="347" spans="1:7" x14ac:dyDescent="0.25">
      <c r="A347" t="s">
        <v>33</v>
      </c>
      <c r="B347" t="s">
        <v>45</v>
      </c>
      <c r="C347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47" t="s">
        <v>38</v>
      </c>
      <c r="E347" t="s">
        <v>227</v>
      </c>
      <c r="F347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47">
        <f>ScenarioStat0[[#This Row],[team-1-win]]+ScenarioStat0[[#This Row],[team-2-win]]</f>
        <v>1</v>
      </c>
    </row>
    <row r="348" spans="1:7" x14ac:dyDescent="0.25">
      <c r="A348" t="s">
        <v>33</v>
      </c>
      <c r="B348" t="s">
        <v>63</v>
      </c>
      <c r="C348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48" t="s">
        <v>43</v>
      </c>
      <c r="E348" t="s">
        <v>45</v>
      </c>
      <c r="F348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48">
        <f>ScenarioStat0[[#This Row],[team-1-win]]+ScenarioStat0[[#This Row],[team-2-win]]</f>
        <v>1</v>
      </c>
    </row>
    <row r="349" spans="1:7" x14ac:dyDescent="0.25">
      <c r="A349" t="s">
        <v>33</v>
      </c>
      <c r="B349" t="s">
        <v>63</v>
      </c>
      <c r="C34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49" t="s">
        <v>43</v>
      </c>
      <c r="E349" t="s">
        <v>38</v>
      </c>
      <c r="F34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49">
        <f>ScenarioStat0[[#This Row],[team-1-win]]+ScenarioStat0[[#This Row],[team-2-win]]</f>
        <v>1</v>
      </c>
    </row>
    <row r="350" spans="1:7" x14ac:dyDescent="0.25">
      <c r="A350" t="s">
        <v>33</v>
      </c>
      <c r="B350" t="s">
        <v>63</v>
      </c>
      <c r="C350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50" t="s">
        <v>43</v>
      </c>
      <c r="E350" t="s">
        <v>227</v>
      </c>
      <c r="F350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50">
        <f>ScenarioStat0[[#This Row],[team-1-win]]+ScenarioStat0[[#This Row],[team-2-win]]</f>
        <v>1</v>
      </c>
    </row>
    <row r="351" spans="1:7" x14ac:dyDescent="0.25">
      <c r="A351" t="s">
        <v>33</v>
      </c>
      <c r="B351" t="s">
        <v>63</v>
      </c>
      <c r="C351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51" t="s">
        <v>45</v>
      </c>
      <c r="E351" t="s">
        <v>38</v>
      </c>
      <c r="F351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51">
        <f>ScenarioStat0[[#This Row],[team-1-win]]+ScenarioStat0[[#This Row],[team-2-win]]</f>
        <v>1</v>
      </c>
    </row>
    <row r="352" spans="1:7" x14ac:dyDescent="0.25">
      <c r="A352" t="s">
        <v>33</v>
      </c>
      <c r="B352" t="s">
        <v>63</v>
      </c>
      <c r="C352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52" t="s">
        <v>45</v>
      </c>
      <c r="E352" t="s">
        <v>227</v>
      </c>
      <c r="F352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52">
        <f>ScenarioStat0[[#This Row],[team-1-win]]+ScenarioStat0[[#This Row],[team-2-win]]</f>
        <v>1</v>
      </c>
    </row>
    <row r="353" spans="1:7" x14ac:dyDescent="0.25">
      <c r="A353" t="s">
        <v>33</v>
      </c>
      <c r="B353" t="s">
        <v>63</v>
      </c>
      <c r="C353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53" t="s">
        <v>38</v>
      </c>
      <c r="E353" t="s">
        <v>227</v>
      </c>
      <c r="F353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53">
        <f>ScenarioStat0[[#This Row],[team-1-win]]+ScenarioStat0[[#This Row],[team-2-win]]</f>
        <v>1</v>
      </c>
    </row>
    <row r="354" spans="1:7" x14ac:dyDescent="0.25">
      <c r="A354" t="s">
        <v>33</v>
      </c>
      <c r="B354" t="s">
        <v>38</v>
      </c>
      <c r="C354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54" t="s">
        <v>43</v>
      </c>
      <c r="E354" t="s">
        <v>45</v>
      </c>
      <c r="F354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54">
        <f>ScenarioStat0[[#This Row],[team-1-win]]+ScenarioStat0[[#This Row],[team-2-win]]</f>
        <v>1</v>
      </c>
    </row>
    <row r="355" spans="1:7" x14ac:dyDescent="0.25">
      <c r="A355" t="s">
        <v>33</v>
      </c>
      <c r="B355" t="s">
        <v>38</v>
      </c>
      <c r="C355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55" t="s">
        <v>43</v>
      </c>
      <c r="E355" t="s">
        <v>63</v>
      </c>
      <c r="F355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55">
        <f>ScenarioStat0[[#This Row],[team-1-win]]+ScenarioStat0[[#This Row],[team-2-win]]</f>
        <v>1</v>
      </c>
    </row>
    <row r="356" spans="1:7" x14ac:dyDescent="0.25">
      <c r="A356" t="s">
        <v>33</v>
      </c>
      <c r="B356" t="s">
        <v>38</v>
      </c>
      <c r="C356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56" t="s">
        <v>43</v>
      </c>
      <c r="E356" t="s">
        <v>227</v>
      </c>
      <c r="F356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56">
        <f>ScenarioStat0[[#This Row],[team-1-win]]+ScenarioStat0[[#This Row],[team-2-win]]</f>
        <v>1</v>
      </c>
    </row>
    <row r="357" spans="1:7" x14ac:dyDescent="0.25">
      <c r="A357" t="s">
        <v>33</v>
      </c>
      <c r="B357" t="s">
        <v>38</v>
      </c>
      <c r="C357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57" t="s">
        <v>45</v>
      </c>
      <c r="E357" t="s">
        <v>63</v>
      </c>
      <c r="F357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57">
        <f>ScenarioStat0[[#This Row],[team-1-win]]+ScenarioStat0[[#This Row],[team-2-win]]</f>
        <v>1</v>
      </c>
    </row>
    <row r="358" spans="1:7" x14ac:dyDescent="0.25">
      <c r="A358" t="s">
        <v>33</v>
      </c>
      <c r="B358" t="s">
        <v>38</v>
      </c>
      <c r="C358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58" t="s">
        <v>45</v>
      </c>
      <c r="E358" t="s">
        <v>227</v>
      </c>
      <c r="F358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58">
        <f>ScenarioStat0[[#This Row],[team-1-win]]+ScenarioStat0[[#This Row],[team-2-win]]</f>
        <v>1</v>
      </c>
    </row>
    <row r="359" spans="1:7" x14ac:dyDescent="0.25">
      <c r="A359" t="s">
        <v>33</v>
      </c>
      <c r="B359" t="s">
        <v>38</v>
      </c>
      <c r="C359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59" t="s">
        <v>63</v>
      </c>
      <c r="E359" t="s">
        <v>227</v>
      </c>
      <c r="F359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59">
        <f>ScenarioStat0[[#This Row],[team-1-win]]+ScenarioStat0[[#This Row],[team-2-win]]</f>
        <v>1</v>
      </c>
    </row>
    <row r="360" spans="1:7" x14ac:dyDescent="0.25">
      <c r="A360" t="s">
        <v>33</v>
      </c>
      <c r="B360" t="s">
        <v>227</v>
      </c>
      <c r="C360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60" t="s">
        <v>43</v>
      </c>
      <c r="E360" t="s">
        <v>45</v>
      </c>
      <c r="F360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60">
        <f>ScenarioStat0[[#This Row],[team-1-win]]+ScenarioStat0[[#This Row],[team-2-win]]</f>
        <v>1</v>
      </c>
    </row>
    <row r="361" spans="1:7" x14ac:dyDescent="0.25">
      <c r="A361" t="s">
        <v>33</v>
      </c>
      <c r="B361" t="s">
        <v>227</v>
      </c>
      <c r="C361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61" t="s">
        <v>43</v>
      </c>
      <c r="E361" t="s">
        <v>63</v>
      </c>
      <c r="F361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61">
        <f>ScenarioStat0[[#This Row],[team-1-win]]+ScenarioStat0[[#This Row],[team-2-win]]</f>
        <v>1</v>
      </c>
    </row>
    <row r="362" spans="1:7" x14ac:dyDescent="0.25">
      <c r="A362" t="s">
        <v>33</v>
      </c>
      <c r="B362" t="s">
        <v>227</v>
      </c>
      <c r="C362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62" t="s">
        <v>43</v>
      </c>
      <c r="E362" t="s">
        <v>38</v>
      </c>
      <c r="F362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62">
        <f>ScenarioStat0[[#This Row],[team-1-win]]+ScenarioStat0[[#This Row],[team-2-win]]</f>
        <v>1</v>
      </c>
    </row>
    <row r="363" spans="1:7" x14ac:dyDescent="0.25">
      <c r="A363" t="s">
        <v>33</v>
      </c>
      <c r="B363" t="s">
        <v>227</v>
      </c>
      <c r="C363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63" t="s">
        <v>45</v>
      </c>
      <c r="E363" t="s">
        <v>63</v>
      </c>
      <c r="F363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63">
        <f>ScenarioStat0[[#This Row],[team-1-win]]+ScenarioStat0[[#This Row],[team-2-win]]</f>
        <v>1</v>
      </c>
    </row>
    <row r="364" spans="1:7" x14ac:dyDescent="0.25">
      <c r="A364" t="s">
        <v>33</v>
      </c>
      <c r="B364" t="s">
        <v>227</v>
      </c>
      <c r="C364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64" t="s">
        <v>45</v>
      </c>
      <c r="E364" t="s">
        <v>38</v>
      </c>
      <c r="F364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64">
        <f>ScenarioStat0[[#This Row],[team-1-win]]+ScenarioStat0[[#This Row],[team-2-win]]</f>
        <v>1</v>
      </c>
    </row>
    <row r="365" spans="1:7" x14ac:dyDescent="0.25">
      <c r="A365" t="s">
        <v>33</v>
      </c>
      <c r="B365" t="s">
        <v>227</v>
      </c>
      <c r="C36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65" t="s">
        <v>63</v>
      </c>
      <c r="E365" t="s">
        <v>38</v>
      </c>
      <c r="F36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65">
        <f>ScenarioStat0[[#This Row],[team-1-win]]+ScenarioStat0[[#This Row],[team-2-win]]</f>
        <v>1</v>
      </c>
    </row>
    <row r="366" spans="1:7" x14ac:dyDescent="0.25">
      <c r="A366" t="s">
        <v>43</v>
      </c>
      <c r="B366" t="s">
        <v>45</v>
      </c>
      <c r="C366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66" t="s">
        <v>63</v>
      </c>
      <c r="E366" t="s">
        <v>38</v>
      </c>
      <c r="F366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66">
        <f>ScenarioStat0[[#This Row],[team-1-win]]+ScenarioStat0[[#This Row],[team-2-win]]</f>
        <v>1</v>
      </c>
    </row>
    <row r="367" spans="1:7" x14ac:dyDescent="0.25">
      <c r="A367" t="s">
        <v>43</v>
      </c>
      <c r="B367" t="s">
        <v>45</v>
      </c>
      <c r="C367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67" t="s">
        <v>63</v>
      </c>
      <c r="E367" t="s">
        <v>227</v>
      </c>
      <c r="F367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67">
        <f>ScenarioStat0[[#This Row],[team-1-win]]+ScenarioStat0[[#This Row],[team-2-win]]</f>
        <v>1</v>
      </c>
    </row>
    <row r="368" spans="1:7" x14ac:dyDescent="0.25">
      <c r="A368" t="s">
        <v>43</v>
      </c>
      <c r="B368" t="s">
        <v>45</v>
      </c>
      <c r="C368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68" t="s">
        <v>38</v>
      </c>
      <c r="E368" t="s">
        <v>227</v>
      </c>
      <c r="F368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68">
        <f>ScenarioStat0[[#This Row],[team-1-win]]+ScenarioStat0[[#This Row],[team-2-win]]</f>
        <v>1</v>
      </c>
    </row>
    <row r="369" spans="1:7" x14ac:dyDescent="0.25">
      <c r="A369" t="s">
        <v>43</v>
      </c>
      <c r="B369" t="s">
        <v>63</v>
      </c>
      <c r="C369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69" t="s">
        <v>45</v>
      </c>
      <c r="E369" t="s">
        <v>38</v>
      </c>
      <c r="F369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69">
        <f>ScenarioStat0[[#This Row],[team-1-win]]+ScenarioStat0[[#This Row],[team-2-win]]</f>
        <v>1</v>
      </c>
    </row>
    <row r="370" spans="1:7" x14ac:dyDescent="0.25">
      <c r="A370" t="s">
        <v>43</v>
      </c>
      <c r="B370" t="s">
        <v>63</v>
      </c>
      <c r="C370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70" t="s">
        <v>45</v>
      </c>
      <c r="E370" t="s">
        <v>227</v>
      </c>
      <c r="F370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70">
        <f>ScenarioStat0[[#This Row],[team-1-win]]+ScenarioStat0[[#This Row],[team-2-win]]</f>
        <v>1</v>
      </c>
    </row>
    <row r="371" spans="1:7" x14ac:dyDescent="0.25">
      <c r="A371" t="s">
        <v>43</v>
      </c>
      <c r="B371" t="s">
        <v>63</v>
      </c>
      <c r="C371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71" t="s">
        <v>38</v>
      </c>
      <c r="E371" t="s">
        <v>227</v>
      </c>
      <c r="F371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71">
        <f>ScenarioStat0[[#This Row],[team-1-win]]+ScenarioStat0[[#This Row],[team-2-win]]</f>
        <v>1</v>
      </c>
    </row>
    <row r="372" spans="1:7" x14ac:dyDescent="0.25">
      <c r="A372" t="s">
        <v>43</v>
      </c>
      <c r="B372" t="s">
        <v>38</v>
      </c>
      <c r="C372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72" t="s">
        <v>45</v>
      </c>
      <c r="E372" t="s">
        <v>63</v>
      </c>
      <c r="F372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72">
        <f>ScenarioStat0[[#This Row],[team-1-win]]+ScenarioStat0[[#This Row],[team-2-win]]</f>
        <v>1</v>
      </c>
    </row>
    <row r="373" spans="1:7" x14ac:dyDescent="0.25">
      <c r="A373" t="s">
        <v>43</v>
      </c>
      <c r="B373" t="s">
        <v>38</v>
      </c>
      <c r="C373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73" t="s">
        <v>45</v>
      </c>
      <c r="E373" t="s">
        <v>227</v>
      </c>
      <c r="F373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73">
        <f>ScenarioStat0[[#This Row],[team-1-win]]+ScenarioStat0[[#This Row],[team-2-win]]</f>
        <v>1</v>
      </c>
    </row>
    <row r="374" spans="1:7" x14ac:dyDescent="0.25">
      <c r="A374" t="s">
        <v>43</v>
      </c>
      <c r="B374" t="s">
        <v>38</v>
      </c>
      <c r="C374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74" t="s">
        <v>63</v>
      </c>
      <c r="E374" t="s">
        <v>227</v>
      </c>
      <c r="F374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74">
        <f>ScenarioStat0[[#This Row],[team-1-win]]+ScenarioStat0[[#This Row],[team-2-win]]</f>
        <v>1</v>
      </c>
    </row>
    <row r="375" spans="1:7" x14ac:dyDescent="0.25">
      <c r="A375" t="s">
        <v>43</v>
      </c>
      <c r="B375" t="s">
        <v>227</v>
      </c>
      <c r="C375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75" t="s">
        <v>45</v>
      </c>
      <c r="E375" t="s">
        <v>63</v>
      </c>
      <c r="F375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75">
        <f>ScenarioStat0[[#This Row],[team-1-win]]+ScenarioStat0[[#This Row],[team-2-win]]</f>
        <v>1</v>
      </c>
    </row>
    <row r="376" spans="1:7" x14ac:dyDescent="0.25">
      <c r="A376" t="s">
        <v>43</v>
      </c>
      <c r="B376" t="s">
        <v>227</v>
      </c>
      <c r="C376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76" t="s">
        <v>45</v>
      </c>
      <c r="E376" t="s">
        <v>38</v>
      </c>
      <c r="F376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76">
        <f>ScenarioStat0[[#This Row],[team-1-win]]+ScenarioStat0[[#This Row],[team-2-win]]</f>
        <v>1</v>
      </c>
    </row>
    <row r="377" spans="1:7" x14ac:dyDescent="0.25">
      <c r="A377" t="s">
        <v>43</v>
      </c>
      <c r="B377" t="s">
        <v>227</v>
      </c>
      <c r="C377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77" t="s">
        <v>63</v>
      </c>
      <c r="E377" t="s">
        <v>38</v>
      </c>
      <c r="F377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77">
        <f>ScenarioStat0[[#This Row],[team-1-win]]+ScenarioStat0[[#This Row],[team-2-win]]</f>
        <v>1</v>
      </c>
    </row>
    <row r="378" spans="1:7" x14ac:dyDescent="0.25">
      <c r="A378" t="s">
        <v>45</v>
      </c>
      <c r="B378" t="s">
        <v>63</v>
      </c>
      <c r="C378">
        <f>COUNTIFS(Scenario0[winner1],ScenarioStat0[[#This Row],[hero-1]],Scenario0[winner2],ScenarioStat0[[#This Row],[hero-2]],Scenario0[loser1],ScenarioStat0[[#This Row],[hero-3]],Scenario0[loser2],ScenarioStat0[[#This Row],[hero-4]])</f>
        <v>0</v>
      </c>
      <c r="D378" t="s">
        <v>38</v>
      </c>
      <c r="E378" t="s">
        <v>227</v>
      </c>
      <c r="F378">
        <f>COUNTIFS(Scenario0[winner1],ScenarioStat0[[#This Row],[hero-3]],Scenario0[winner2],ScenarioStat0[[#This Row],[hero-4]],Scenario0[loser1],ScenarioStat0[[#This Row],[hero-1]],Scenario0[loser2],ScenarioStat0[[#This Row],[hero-2]])</f>
        <v>1</v>
      </c>
      <c r="G378">
        <f>ScenarioStat0[[#This Row],[team-1-win]]+ScenarioStat0[[#This Row],[team-2-win]]</f>
        <v>1</v>
      </c>
    </row>
    <row r="379" spans="1:7" x14ac:dyDescent="0.25">
      <c r="A379" t="s">
        <v>45</v>
      </c>
      <c r="B379" t="s">
        <v>38</v>
      </c>
      <c r="C379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79" t="s">
        <v>63</v>
      </c>
      <c r="E379" t="s">
        <v>227</v>
      </c>
      <c r="F379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79">
        <f>ScenarioStat0[[#This Row],[team-1-win]]+ScenarioStat0[[#This Row],[team-2-win]]</f>
        <v>1</v>
      </c>
    </row>
    <row r="380" spans="1:7" x14ac:dyDescent="0.25">
      <c r="A380" t="s">
        <v>45</v>
      </c>
      <c r="B380" t="s">
        <v>227</v>
      </c>
      <c r="C380">
        <f>COUNTIFS(Scenario0[winner1],ScenarioStat0[[#This Row],[hero-1]],Scenario0[winner2],ScenarioStat0[[#This Row],[hero-2]],Scenario0[loser1],ScenarioStat0[[#This Row],[hero-3]],Scenario0[loser2],ScenarioStat0[[#This Row],[hero-4]])</f>
        <v>1</v>
      </c>
      <c r="D380" t="s">
        <v>63</v>
      </c>
      <c r="E380" t="s">
        <v>38</v>
      </c>
      <c r="F380">
        <f>COUNTIFS(Scenario0[winner1],ScenarioStat0[[#This Row],[hero-3]],Scenario0[winner2],ScenarioStat0[[#This Row],[hero-4]],Scenario0[loser1],ScenarioStat0[[#This Row],[hero-1]],Scenario0[loser2],ScenarioStat0[[#This Row],[hero-2]])</f>
        <v>0</v>
      </c>
      <c r="G380">
        <f>ScenarioStat0[[#This Row],[team-1-win]]+ScenarioStat0[[#This Row],[team-2-win]]</f>
        <v>1</v>
      </c>
    </row>
  </sheetData>
  <mergeCells count="2">
    <mergeCell ref="A1:G1"/>
    <mergeCell ref="I1:M1"/>
  </mergeCells>
  <phoneticPr fontId="3" type="noConversion"/>
  <conditionalFormatting sqref="M3:M37">
    <cfRule type="colorScale" priority="286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02A4-1B7E-462F-A7A0-BC39936C76A9}">
  <dimension ref="A1:AV379"/>
  <sheetViews>
    <sheetView workbookViewId="0">
      <selection activeCell="AJ379" sqref="A2:AJ379"/>
    </sheetView>
  </sheetViews>
  <sheetFormatPr defaultRowHeight="15" x14ac:dyDescent="0.25"/>
  <cols>
    <col min="1" max="1" width="38" bestFit="1" customWidth="1"/>
    <col min="2" max="2" width="8.28515625" bestFit="1" customWidth="1"/>
    <col min="3" max="3" width="11.42578125" bestFit="1" customWidth="1"/>
    <col min="4" max="4" width="13" hidden="1" customWidth="1"/>
    <col min="5" max="5" width="12.7109375" hidden="1" customWidth="1"/>
    <col min="6" max="6" width="12.42578125" hidden="1" customWidth="1"/>
    <col min="7" max="7" width="17.140625" hidden="1" customWidth="1"/>
    <col min="8" max="10" width="16.5703125" hidden="1" customWidth="1"/>
    <col min="11" max="11" width="11.42578125" bestFit="1" customWidth="1"/>
    <col min="12" max="12" width="14" hidden="1" customWidth="1"/>
    <col min="13" max="13" width="13.7109375" hidden="1" customWidth="1"/>
    <col min="14" max="14" width="13.28515625" hidden="1" customWidth="1"/>
    <col min="15" max="15" width="18" hidden="1" customWidth="1"/>
    <col min="16" max="16" width="18.28515625" hidden="1" customWidth="1"/>
    <col min="17" max="18" width="18" hidden="1" customWidth="1"/>
    <col min="19" max="19" width="11.42578125" bestFit="1" customWidth="1"/>
    <col min="20" max="20" width="14" hidden="1" customWidth="1"/>
    <col min="21" max="21" width="13.7109375" hidden="1" customWidth="1"/>
    <col min="22" max="22" width="13.28515625" hidden="1" customWidth="1"/>
    <col min="23" max="23" width="18.42578125" hidden="1" customWidth="1"/>
    <col min="24" max="24" width="18.7109375" hidden="1" customWidth="1"/>
    <col min="25" max="25" width="18" hidden="1" customWidth="1"/>
    <col min="26" max="26" width="18.42578125" hidden="1" customWidth="1"/>
    <col min="27" max="27" width="11.42578125" bestFit="1" customWidth="1"/>
    <col min="28" max="28" width="12.140625" hidden="1" customWidth="1"/>
    <col min="29" max="29" width="11.85546875" hidden="1" customWidth="1"/>
    <col min="30" max="30" width="11.42578125" hidden="1" customWidth="1"/>
    <col min="31" max="31" width="16.140625" hidden="1" customWidth="1"/>
    <col min="32" max="32" width="18.85546875" hidden="1" customWidth="1"/>
    <col min="33" max="34" width="16.140625" hidden="1" customWidth="1"/>
    <col min="35" max="35" width="9.85546875" bestFit="1" customWidth="1"/>
    <col min="36" max="36" width="7.85546875" bestFit="1" customWidth="1"/>
    <col min="37" max="38" width="16.140625" customWidth="1"/>
    <col min="39" max="39" width="19.42578125" customWidth="1"/>
    <col min="40" max="40" width="16.140625" customWidth="1"/>
    <col min="41" max="41" width="11.42578125" bestFit="1" customWidth="1"/>
    <col min="42" max="42" width="12.140625" customWidth="1"/>
    <col min="43" max="43" width="11.85546875" hidden="1" customWidth="1"/>
    <col min="44" max="44" width="11.42578125" hidden="1" customWidth="1"/>
    <col min="45" max="45" width="16.140625" hidden="1" customWidth="1"/>
    <col min="46" max="46" width="19.140625" hidden="1" customWidth="1"/>
    <col min="47" max="47" width="16.140625" hidden="1" customWidth="1"/>
    <col min="48" max="48" width="19.85546875" hidden="1" customWidth="1"/>
    <col min="49" max="49" width="9.85546875" bestFit="1" customWidth="1"/>
    <col min="50" max="50" width="7.85546875" bestFit="1" customWidth="1"/>
    <col min="51" max="51" width="12.7109375" bestFit="1" customWidth="1"/>
    <col min="52" max="52" width="9" bestFit="1" customWidth="1"/>
  </cols>
  <sheetData>
    <row r="1" spans="1:36" x14ac:dyDescent="0.25">
      <c r="A1" t="s">
        <v>0</v>
      </c>
      <c r="B1" t="s">
        <v>173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119</v>
      </c>
      <c r="AG1" t="s">
        <v>30</v>
      </c>
      <c r="AH1" t="s">
        <v>31</v>
      </c>
      <c r="AI1" t="s">
        <v>64</v>
      </c>
      <c r="AJ1" t="s">
        <v>32</v>
      </c>
    </row>
    <row r="2" spans="1:36" x14ac:dyDescent="0.25">
      <c r="A2" t="s">
        <v>972</v>
      </c>
      <c r="B2">
        <v>0</v>
      </c>
      <c r="C2" t="s">
        <v>48</v>
      </c>
      <c r="D2">
        <v>3</v>
      </c>
      <c r="F2">
        <v>2</v>
      </c>
      <c r="G2" t="s">
        <v>49</v>
      </c>
      <c r="H2" t="s">
        <v>84</v>
      </c>
      <c r="I2" t="s">
        <v>127</v>
      </c>
      <c r="K2" t="s">
        <v>33</v>
      </c>
      <c r="L2">
        <v>1</v>
      </c>
      <c r="N2">
        <v>2</v>
      </c>
      <c r="O2" t="s">
        <v>34</v>
      </c>
      <c r="S2" t="s">
        <v>53</v>
      </c>
      <c r="T2">
        <v>2</v>
      </c>
      <c r="U2">
        <v>1</v>
      </c>
      <c r="V2">
        <v>1</v>
      </c>
      <c r="W2" t="s">
        <v>111</v>
      </c>
      <c r="X2" t="s">
        <v>83</v>
      </c>
      <c r="AA2" t="s">
        <v>56</v>
      </c>
      <c r="AB2">
        <v>3</v>
      </c>
      <c r="AD2">
        <v>1</v>
      </c>
      <c r="AE2" t="s">
        <v>68</v>
      </c>
      <c r="AI2">
        <v>10</v>
      </c>
      <c r="AJ2">
        <v>25</v>
      </c>
    </row>
    <row r="3" spans="1:36" x14ac:dyDescent="0.25">
      <c r="A3" t="s">
        <v>624</v>
      </c>
      <c r="B3">
        <v>1</v>
      </c>
      <c r="C3" t="s">
        <v>48</v>
      </c>
      <c r="D3">
        <v>2</v>
      </c>
      <c r="F3">
        <v>1</v>
      </c>
      <c r="G3" t="s">
        <v>49</v>
      </c>
      <c r="K3" t="s">
        <v>43</v>
      </c>
      <c r="L3">
        <v>1</v>
      </c>
      <c r="N3">
        <v>1</v>
      </c>
      <c r="O3" t="s">
        <v>73</v>
      </c>
      <c r="P3" t="s">
        <v>99</v>
      </c>
      <c r="Q3" t="s">
        <v>100</v>
      </c>
      <c r="R3" t="s">
        <v>101</v>
      </c>
      <c r="S3" t="s">
        <v>53</v>
      </c>
      <c r="T3">
        <v>2</v>
      </c>
      <c r="U3">
        <v>3</v>
      </c>
      <c r="V3">
        <v>1</v>
      </c>
      <c r="W3" t="s">
        <v>111</v>
      </c>
      <c r="AA3" t="s">
        <v>56</v>
      </c>
      <c r="AB3">
        <v>3</v>
      </c>
      <c r="AD3">
        <v>2</v>
      </c>
      <c r="AE3" t="s">
        <v>68</v>
      </c>
      <c r="AI3">
        <v>10</v>
      </c>
      <c r="AJ3">
        <v>27</v>
      </c>
    </row>
    <row r="4" spans="1:36" x14ac:dyDescent="0.25">
      <c r="A4" t="s">
        <v>625</v>
      </c>
      <c r="B4">
        <v>2</v>
      </c>
      <c r="C4" t="s">
        <v>48</v>
      </c>
      <c r="D4">
        <v>3</v>
      </c>
      <c r="F4">
        <v>3</v>
      </c>
      <c r="G4" t="s">
        <v>49</v>
      </c>
      <c r="H4" t="s">
        <v>84</v>
      </c>
      <c r="K4" t="s">
        <v>45</v>
      </c>
      <c r="L4">
        <v>2</v>
      </c>
      <c r="N4">
        <v>1</v>
      </c>
      <c r="O4" t="s">
        <v>47</v>
      </c>
      <c r="S4" t="s">
        <v>53</v>
      </c>
      <c r="T4">
        <v>3</v>
      </c>
      <c r="U4">
        <v>1</v>
      </c>
      <c r="V4">
        <v>1</v>
      </c>
      <c r="W4" t="s">
        <v>111</v>
      </c>
      <c r="X4" t="s">
        <v>83</v>
      </c>
      <c r="Y4" t="s">
        <v>105</v>
      </c>
      <c r="AA4" t="s">
        <v>56</v>
      </c>
      <c r="AB4">
        <v>3</v>
      </c>
      <c r="AD4">
        <v>2</v>
      </c>
      <c r="AE4" t="s">
        <v>68</v>
      </c>
      <c r="AI4">
        <v>13</v>
      </c>
      <c r="AJ4">
        <v>34</v>
      </c>
    </row>
    <row r="5" spans="1:36" x14ac:dyDescent="0.25">
      <c r="A5" t="s">
        <v>973</v>
      </c>
      <c r="B5">
        <v>3</v>
      </c>
      <c r="C5" t="s">
        <v>48</v>
      </c>
      <c r="D5">
        <v>3</v>
      </c>
      <c r="F5">
        <v>2</v>
      </c>
      <c r="G5" t="s">
        <v>49</v>
      </c>
      <c r="H5" t="s">
        <v>84</v>
      </c>
      <c r="I5" t="s">
        <v>127</v>
      </c>
      <c r="K5" t="s">
        <v>63</v>
      </c>
      <c r="L5">
        <v>2</v>
      </c>
      <c r="N5">
        <v>1</v>
      </c>
      <c r="O5" t="s">
        <v>72</v>
      </c>
      <c r="P5" t="s">
        <v>146</v>
      </c>
      <c r="Q5" t="s">
        <v>147</v>
      </c>
      <c r="S5" t="s">
        <v>53</v>
      </c>
      <c r="T5">
        <v>3</v>
      </c>
      <c r="U5">
        <v>1</v>
      </c>
      <c r="V5">
        <v>2</v>
      </c>
      <c r="W5" t="s">
        <v>111</v>
      </c>
      <c r="AA5" t="s">
        <v>56</v>
      </c>
      <c r="AB5">
        <v>3</v>
      </c>
      <c r="AD5">
        <v>1</v>
      </c>
      <c r="AE5" t="s">
        <v>57</v>
      </c>
      <c r="AF5" t="s">
        <v>69</v>
      </c>
      <c r="AI5">
        <v>14</v>
      </c>
      <c r="AJ5">
        <v>42</v>
      </c>
    </row>
    <row r="6" spans="1:36" x14ac:dyDescent="0.25">
      <c r="A6" t="s">
        <v>626</v>
      </c>
      <c r="B6">
        <v>4</v>
      </c>
      <c r="C6" t="s">
        <v>53</v>
      </c>
      <c r="D6">
        <v>1</v>
      </c>
      <c r="E6">
        <v>1</v>
      </c>
      <c r="F6">
        <v>1</v>
      </c>
      <c r="G6" t="s">
        <v>111</v>
      </c>
      <c r="K6" t="s">
        <v>56</v>
      </c>
      <c r="L6">
        <v>2</v>
      </c>
      <c r="N6">
        <v>1</v>
      </c>
      <c r="O6" t="s">
        <v>57</v>
      </c>
      <c r="P6" t="s">
        <v>122</v>
      </c>
      <c r="S6" t="s">
        <v>48</v>
      </c>
      <c r="T6">
        <v>2</v>
      </c>
      <c r="V6">
        <v>1</v>
      </c>
      <c r="W6" t="s">
        <v>49</v>
      </c>
      <c r="AA6" t="s">
        <v>38</v>
      </c>
      <c r="AB6">
        <v>2</v>
      </c>
      <c r="AC6">
        <v>1</v>
      </c>
      <c r="AD6">
        <v>2</v>
      </c>
      <c r="AE6" t="s">
        <v>152</v>
      </c>
      <c r="AI6">
        <v>5</v>
      </c>
      <c r="AJ6">
        <v>18</v>
      </c>
    </row>
    <row r="7" spans="1:36" x14ac:dyDescent="0.25">
      <c r="A7" t="s">
        <v>974</v>
      </c>
      <c r="B7">
        <v>5</v>
      </c>
      <c r="C7" t="s">
        <v>53</v>
      </c>
      <c r="D7">
        <v>3</v>
      </c>
      <c r="E7">
        <v>1</v>
      </c>
      <c r="F7">
        <v>1</v>
      </c>
      <c r="G7" t="s">
        <v>111</v>
      </c>
      <c r="H7" t="s">
        <v>83</v>
      </c>
      <c r="K7" t="s">
        <v>56</v>
      </c>
      <c r="L7">
        <v>3</v>
      </c>
      <c r="N7">
        <v>1</v>
      </c>
      <c r="O7" t="s">
        <v>57</v>
      </c>
      <c r="S7" t="s">
        <v>48</v>
      </c>
      <c r="T7">
        <v>3</v>
      </c>
      <c r="V7">
        <v>1</v>
      </c>
      <c r="W7" t="s">
        <v>49</v>
      </c>
      <c r="AA7" t="s">
        <v>227</v>
      </c>
      <c r="AB7">
        <v>2</v>
      </c>
      <c r="AC7">
        <v>1</v>
      </c>
      <c r="AD7">
        <v>3</v>
      </c>
      <c r="AE7" t="s">
        <v>228</v>
      </c>
      <c r="AF7" t="s">
        <v>231</v>
      </c>
      <c r="AI7">
        <v>11</v>
      </c>
      <c r="AJ7">
        <v>25</v>
      </c>
    </row>
    <row r="8" spans="1:36" x14ac:dyDescent="0.25">
      <c r="A8" t="s">
        <v>627</v>
      </c>
      <c r="B8">
        <v>6</v>
      </c>
      <c r="C8" t="s">
        <v>33</v>
      </c>
      <c r="D8">
        <v>1</v>
      </c>
      <c r="F8">
        <v>3</v>
      </c>
      <c r="G8" t="s">
        <v>34</v>
      </c>
      <c r="H8" t="s">
        <v>130</v>
      </c>
      <c r="K8" t="s">
        <v>43</v>
      </c>
      <c r="L8">
        <v>3</v>
      </c>
      <c r="N8">
        <v>1</v>
      </c>
      <c r="O8" t="s">
        <v>135</v>
      </c>
      <c r="P8" t="s">
        <v>99</v>
      </c>
      <c r="Q8" t="s">
        <v>137</v>
      </c>
      <c r="S8" t="s">
        <v>53</v>
      </c>
      <c r="T8">
        <v>1</v>
      </c>
      <c r="U8">
        <v>3</v>
      </c>
      <c r="V8">
        <v>3</v>
      </c>
      <c r="W8" t="s">
        <v>111</v>
      </c>
      <c r="AA8" t="s">
        <v>56</v>
      </c>
      <c r="AB8">
        <v>2</v>
      </c>
      <c r="AD8">
        <v>1</v>
      </c>
      <c r="AE8" t="s">
        <v>68</v>
      </c>
      <c r="AI8">
        <v>12</v>
      </c>
      <c r="AJ8">
        <v>33</v>
      </c>
    </row>
    <row r="9" spans="1:36" x14ac:dyDescent="0.25">
      <c r="A9" t="s">
        <v>975</v>
      </c>
      <c r="B9">
        <v>7</v>
      </c>
      <c r="C9" t="s">
        <v>33</v>
      </c>
      <c r="D9">
        <v>2</v>
      </c>
      <c r="F9">
        <v>2</v>
      </c>
      <c r="G9" t="s">
        <v>34</v>
      </c>
      <c r="H9" t="s">
        <v>35</v>
      </c>
      <c r="K9" t="s">
        <v>45</v>
      </c>
      <c r="L9">
        <v>3</v>
      </c>
      <c r="N9">
        <v>1</v>
      </c>
      <c r="O9" t="s">
        <v>47</v>
      </c>
      <c r="S9" t="s">
        <v>53</v>
      </c>
      <c r="T9">
        <v>2</v>
      </c>
      <c r="U9">
        <v>3</v>
      </c>
      <c r="V9">
        <v>3</v>
      </c>
      <c r="W9" t="s">
        <v>111</v>
      </c>
      <c r="AA9" t="s">
        <v>56</v>
      </c>
      <c r="AB9">
        <v>1</v>
      </c>
      <c r="AD9">
        <v>1</v>
      </c>
      <c r="AE9" t="s">
        <v>68</v>
      </c>
      <c r="AI9">
        <v>11</v>
      </c>
      <c r="AJ9">
        <v>26</v>
      </c>
    </row>
    <row r="10" spans="1:36" x14ac:dyDescent="0.25">
      <c r="A10" t="s">
        <v>628</v>
      </c>
      <c r="B10">
        <v>8</v>
      </c>
      <c r="C10" t="s">
        <v>33</v>
      </c>
      <c r="D10">
        <v>1</v>
      </c>
      <c r="F10">
        <v>2</v>
      </c>
      <c r="G10" t="s">
        <v>34</v>
      </c>
      <c r="K10" t="s">
        <v>63</v>
      </c>
      <c r="L10">
        <v>2</v>
      </c>
      <c r="N10">
        <v>1</v>
      </c>
      <c r="O10" t="s">
        <v>103</v>
      </c>
      <c r="P10" t="s">
        <v>91</v>
      </c>
      <c r="Q10" t="s">
        <v>147</v>
      </c>
      <c r="S10" t="s">
        <v>53</v>
      </c>
      <c r="T10">
        <v>1</v>
      </c>
      <c r="U10">
        <v>3</v>
      </c>
      <c r="V10">
        <v>1</v>
      </c>
      <c r="W10" t="s">
        <v>111</v>
      </c>
      <c r="X10" t="s">
        <v>83</v>
      </c>
      <c r="Y10" t="s">
        <v>105</v>
      </c>
      <c r="AA10" t="s">
        <v>56</v>
      </c>
      <c r="AB10">
        <v>3</v>
      </c>
      <c r="AD10">
        <v>1</v>
      </c>
      <c r="AE10" t="s">
        <v>68</v>
      </c>
      <c r="AF10" t="s">
        <v>122</v>
      </c>
      <c r="AI10">
        <v>11</v>
      </c>
      <c r="AJ10">
        <v>39</v>
      </c>
    </row>
    <row r="11" spans="1:36" x14ac:dyDescent="0.25">
      <c r="A11" t="s">
        <v>976</v>
      </c>
      <c r="B11">
        <v>9</v>
      </c>
      <c r="C11" t="s">
        <v>53</v>
      </c>
      <c r="D11">
        <v>1</v>
      </c>
      <c r="E11">
        <v>1</v>
      </c>
      <c r="F11">
        <v>1</v>
      </c>
      <c r="G11" t="s">
        <v>111</v>
      </c>
      <c r="H11" t="s">
        <v>113</v>
      </c>
      <c r="K11" t="s">
        <v>56</v>
      </c>
      <c r="L11">
        <v>3</v>
      </c>
      <c r="N11">
        <v>1</v>
      </c>
      <c r="O11" t="s">
        <v>68</v>
      </c>
      <c r="P11" t="s">
        <v>121</v>
      </c>
      <c r="S11" t="s">
        <v>33</v>
      </c>
      <c r="T11">
        <v>1</v>
      </c>
      <c r="V11">
        <v>3</v>
      </c>
      <c r="W11" t="s">
        <v>34</v>
      </c>
      <c r="AA11" t="s">
        <v>38</v>
      </c>
      <c r="AB11">
        <v>2</v>
      </c>
      <c r="AC11">
        <v>1</v>
      </c>
      <c r="AD11">
        <v>1</v>
      </c>
      <c r="AE11" t="s">
        <v>152</v>
      </c>
      <c r="AF11" t="s">
        <v>70</v>
      </c>
      <c r="AI11">
        <v>8</v>
      </c>
      <c r="AJ11">
        <v>30</v>
      </c>
    </row>
    <row r="12" spans="1:36" x14ac:dyDescent="0.25">
      <c r="A12" t="s">
        <v>977</v>
      </c>
      <c r="B12">
        <v>10</v>
      </c>
      <c r="C12" t="s">
        <v>33</v>
      </c>
      <c r="D12">
        <v>1</v>
      </c>
      <c r="F12">
        <v>3</v>
      </c>
      <c r="G12" t="s">
        <v>46</v>
      </c>
      <c r="H12" t="s">
        <v>66</v>
      </c>
      <c r="I12" t="s">
        <v>131</v>
      </c>
      <c r="K12" t="s">
        <v>227</v>
      </c>
      <c r="L12">
        <v>2</v>
      </c>
      <c r="M12">
        <v>1</v>
      </c>
      <c r="N12">
        <v>1</v>
      </c>
      <c r="O12" t="s">
        <v>228</v>
      </c>
      <c r="S12" t="s">
        <v>53</v>
      </c>
      <c r="T12">
        <v>1</v>
      </c>
      <c r="U12">
        <v>1</v>
      </c>
      <c r="V12">
        <v>2</v>
      </c>
      <c r="W12" t="s">
        <v>111</v>
      </c>
      <c r="AA12" t="s">
        <v>56</v>
      </c>
      <c r="AB12">
        <v>3</v>
      </c>
      <c r="AD12">
        <v>1</v>
      </c>
      <c r="AE12" t="s">
        <v>57</v>
      </c>
      <c r="AF12" t="s">
        <v>69</v>
      </c>
      <c r="AG12" t="s">
        <v>87</v>
      </c>
      <c r="AI12">
        <v>10</v>
      </c>
      <c r="AJ12">
        <v>29</v>
      </c>
    </row>
    <row r="13" spans="1:36" x14ac:dyDescent="0.25">
      <c r="A13" t="s">
        <v>629</v>
      </c>
      <c r="B13">
        <v>11</v>
      </c>
      <c r="C13" t="s">
        <v>43</v>
      </c>
      <c r="D13">
        <v>1</v>
      </c>
      <c r="F13">
        <v>1</v>
      </c>
      <c r="G13" t="s">
        <v>73</v>
      </c>
      <c r="H13" t="s">
        <v>99</v>
      </c>
      <c r="I13" t="s">
        <v>75</v>
      </c>
      <c r="J13" t="s">
        <v>101</v>
      </c>
      <c r="K13" t="s">
        <v>45</v>
      </c>
      <c r="L13">
        <v>3</v>
      </c>
      <c r="N13">
        <v>1</v>
      </c>
      <c r="O13" t="s">
        <v>47</v>
      </c>
      <c r="S13" t="s">
        <v>53</v>
      </c>
      <c r="T13">
        <v>1</v>
      </c>
      <c r="U13">
        <v>1</v>
      </c>
      <c r="V13">
        <v>1</v>
      </c>
      <c r="W13" t="s">
        <v>111</v>
      </c>
      <c r="X13" t="s">
        <v>83</v>
      </c>
      <c r="Y13" t="s">
        <v>105</v>
      </c>
      <c r="AA13" t="s">
        <v>56</v>
      </c>
      <c r="AB13">
        <v>1</v>
      </c>
      <c r="AD13">
        <v>1</v>
      </c>
      <c r="AE13" t="s">
        <v>68</v>
      </c>
      <c r="AI13">
        <v>7</v>
      </c>
      <c r="AJ13">
        <v>25</v>
      </c>
    </row>
    <row r="14" spans="1:36" x14ac:dyDescent="0.25">
      <c r="A14" t="s">
        <v>978</v>
      </c>
      <c r="B14">
        <v>12</v>
      </c>
      <c r="C14" t="s">
        <v>43</v>
      </c>
      <c r="D14">
        <v>2</v>
      </c>
      <c r="F14">
        <v>1</v>
      </c>
      <c r="G14" t="s">
        <v>73</v>
      </c>
      <c r="H14" t="s">
        <v>99</v>
      </c>
      <c r="I14" t="s">
        <v>100</v>
      </c>
      <c r="J14" t="s">
        <v>139</v>
      </c>
      <c r="K14" t="s">
        <v>63</v>
      </c>
      <c r="L14">
        <v>1</v>
      </c>
      <c r="N14">
        <v>1</v>
      </c>
      <c r="O14" t="s">
        <v>103</v>
      </c>
      <c r="P14" t="s">
        <v>95</v>
      </c>
      <c r="Q14" t="s">
        <v>104</v>
      </c>
      <c r="S14" t="s">
        <v>53</v>
      </c>
      <c r="T14">
        <v>1</v>
      </c>
      <c r="U14">
        <v>1</v>
      </c>
      <c r="V14">
        <v>2</v>
      </c>
      <c r="W14" t="s">
        <v>111</v>
      </c>
      <c r="X14" t="s">
        <v>83</v>
      </c>
      <c r="Y14" t="s">
        <v>105</v>
      </c>
      <c r="AA14" t="s">
        <v>56</v>
      </c>
      <c r="AB14">
        <v>2</v>
      </c>
      <c r="AD14">
        <v>1</v>
      </c>
      <c r="AE14" t="s">
        <v>68</v>
      </c>
      <c r="AI14">
        <v>10</v>
      </c>
      <c r="AJ14">
        <v>31</v>
      </c>
    </row>
    <row r="15" spans="1:36" x14ac:dyDescent="0.25">
      <c r="A15" t="s">
        <v>979</v>
      </c>
      <c r="B15">
        <v>13</v>
      </c>
      <c r="C15" t="s">
        <v>53</v>
      </c>
      <c r="D15">
        <v>1</v>
      </c>
      <c r="E15">
        <v>1</v>
      </c>
      <c r="F15">
        <v>1</v>
      </c>
      <c r="G15" t="s">
        <v>111</v>
      </c>
      <c r="K15" t="s">
        <v>56</v>
      </c>
      <c r="L15">
        <v>3</v>
      </c>
      <c r="N15">
        <v>3</v>
      </c>
      <c r="O15" t="s">
        <v>68</v>
      </c>
      <c r="P15" t="s">
        <v>122</v>
      </c>
      <c r="Q15" t="s">
        <v>85</v>
      </c>
      <c r="S15" t="s">
        <v>43</v>
      </c>
      <c r="T15">
        <v>2</v>
      </c>
      <c r="V15">
        <v>1</v>
      </c>
      <c r="W15" t="s">
        <v>73</v>
      </c>
      <c r="X15" t="s">
        <v>74</v>
      </c>
      <c r="Y15" t="s">
        <v>75</v>
      </c>
      <c r="AA15" t="s">
        <v>38</v>
      </c>
      <c r="AB15">
        <v>3</v>
      </c>
      <c r="AC15">
        <v>1</v>
      </c>
      <c r="AD15">
        <v>3</v>
      </c>
      <c r="AE15" t="s">
        <v>152</v>
      </c>
      <c r="AF15" t="s">
        <v>96</v>
      </c>
      <c r="AI15">
        <v>14</v>
      </c>
      <c r="AJ15">
        <v>35</v>
      </c>
    </row>
    <row r="16" spans="1:36" x14ac:dyDescent="0.25">
      <c r="A16" t="s">
        <v>980</v>
      </c>
      <c r="B16">
        <v>14</v>
      </c>
      <c r="C16" t="s">
        <v>43</v>
      </c>
      <c r="D16">
        <v>1</v>
      </c>
      <c r="F16">
        <v>1</v>
      </c>
      <c r="G16" t="s">
        <v>73</v>
      </c>
      <c r="H16" t="s">
        <v>99</v>
      </c>
      <c r="I16" t="s">
        <v>75</v>
      </c>
      <c r="J16" t="s">
        <v>101</v>
      </c>
      <c r="K16" t="s">
        <v>227</v>
      </c>
      <c r="L16">
        <v>2</v>
      </c>
      <c r="M16">
        <v>1</v>
      </c>
      <c r="N16">
        <v>1</v>
      </c>
      <c r="O16" t="s">
        <v>228</v>
      </c>
      <c r="P16" t="s">
        <v>231</v>
      </c>
      <c r="S16" t="s">
        <v>53</v>
      </c>
      <c r="T16">
        <v>2</v>
      </c>
      <c r="U16">
        <v>3</v>
      </c>
      <c r="V16">
        <v>1</v>
      </c>
      <c r="W16" t="s">
        <v>111</v>
      </c>
      <c r="AA16" t="s">
        <v>56</v>
      </c>
      <c r="AB16">
        <v>2</v>
      </c>
      <c r="AD16">
        <v>1</v>
      </c>
      <c r="AE16" t="s">
        <v>57</v>
      </c>
      <c r="AF16" t="s">
        <v>122</v>
      </c>
      <c r="AG16" t="s">
        <v>85</v>
      </c>
      <c r="AI16">
        <v>11</v>
      </c>
      <c r="AJ16">
        <v>33</v>
      </c>
    </row>
    <row r="17" spans="1:36" x14ac:dyDescent="0.25">
      <c r="A17" t="s">
        <v>630</v>
      </c>
      <c r="B17">
        <v>15</v>
      </c>
      <c r="C17" t="s">
        <v>45</v>
      </c>
      <c r="D17">
        <v>3</v>
      </c>
      <c r="F17">
        <v>2</v>
      </c>
      <c r="G17" t="s">
        <v>86</v>
      </c>
      <c r="K17" t="s">
        <v>63</v>
      </c>
      <c r="L17">
        <v>1</v>
      </c>
      <c r="N17">
        <v>1</v>
      </c>
      <c r="O17" t="s">
        <v>103</v>
      </c>
      <c r="P17" t="s">
        <v>95</v>
      </c>
      <c r="S17" t="s">
        <v>53</v>
      </c>
      <c r="T17">
        <v>1</v>
      </c>
      <c r="U17">
        <v>1</v>
      </c>
      <c r="V17">
        <v>1</v>
      </c>
      <c r="W17" t="s">
        <v>111</v>
      </c>
      <c r="X17" t="s">
        <v>113</v>
      </c>
      <c r="AA17" t="s">
        <v>56</v>
      </c>
      <c r="AB17">
        <v>3</v>
      </c>
      <c r="AD17">
        <v>1</v>
      </c>
      <c r="AE17" t="s">
        <v>57</v>
      </c>
      <c r="AF17" t="s">
        <v>122</v>
      </c>
      <c r="AG17" t="s">
        <v>87</v>
      </c>
      <c r="AH17" t="s">
        <v>124</v>
      </c>
      <c r="AI17">
        <v>11</v>
      </c>
      <c r="AJ17">
        <v>27</v>
      </c>
    </row>
    <row r="18" spans="1:36" x14ac:dyDescent="0.25">
      <c r="A18" t="s">
        <v>631</v>
      </c>
      <c r="B18">
        <v>16</v>
      </c>
      <c r="C18" t="s">
        <v>45</v>
      </c>
      <c r="D18">
        <v>3</v>
      </c>
      <c r="F18">
        <v>1</v>
      </c>
      <c r="G18" t="s">
        <v>86</v>
      </c>
      <c r="H18" t="s">
        <v>76</v>
      </c>
      <c r="K18" t="s">
        <v>38</v>
      </c>
      <c r="L18">
        <v>1</v>
      </c>
      <c r="M18">
        <v>2</v>
      </c>
      <c r="N18">
        <v>1</v>
      </c>
      <c r="O18" t="s">
        <v>152</v>
      </c>
      <c r="P18" t="s">
        <v>70</v>
      </c>
      <c r="S18" t="s">
        <v>53</v>
      </c>
      <c r="T18">
        <v>1</v>
      </c>
      <c r="U18">
        <v>1</v>
      </c>
      <c r="V18">
        <v>1</v>
      </c>
      <c r="W18" t="s">
        <v>111</v>
      </c>
      <c r="AA18" t="s">
        <v>56</v>
      </c>
      <c r="AB18">
        <v>1</v>
      </c>
      <c r="AD18">
        <v>3</v>
      </c>
      <c r="AE18" t="s">
        <v>68</v>
      </c>
      <c r="AF18" t="s">
        <v>121</v>
      </c>
      <c r="AG18" t="s">
        <v>123</v>
      </c>
      <c r="AI18">
        <v>9</v>
      </c>
      <c r="AJ18">
        <v>29</v>
      </c>
    </row>
    <row r="19" spans="1:36" x14ac:dyDescent="0.25">
      <c r="A19" t="s">
        <v>981</v>
      </c>
      <c r="B19">
        <v>17</v>
      </c>
      <c r="C19" t="s">
        <v>53</v>
      </c>
      <c r="D19">
        <v>1</v>
      </c>
      <c r="E19">
        <v>1</v>
      </c>
      <c r="F19">
        <v>1</v>
      </c>
      <c r="G19" t="s">
        <v>54</v>
      </c>
      <c r="K19" t="s">
        <v>56</v>
      </c>
      <c r="L19">
        <v>2</v>
      </c>
      <c r="N19">
        <v>1</v>
      </c>
      <c r="O19" t="s">
        <v>57</v>
      </c>
      <c r="P19" t="s">
        <v>121</v>
      </c>
      <c r="Q19" t="s">
        <v>85</v>
      </c>
      <c r="S19" t="s">
        <v>45</v>
      </c>
      <c r="T19">
        <v>3</v>
      </c>
      <c r="V19">
        <v>1</v>
      </c>
      <c r="W19" t="s">
        <v>47</v>
      </c>
      <c r="AA19" t="s">
        <v>227</v>
      </c>
      <c r="AB19">
        <v>2</v>
      </c>
      <c r="AC19">
        <v>1</v>
      </c>
      <c r="AD19">
        <v>1</v>
      </c>
      <c r="AE19" t="s">
        <v>228</v>
      </c>
      <c r="AI19">
        <v>6</v>
      </c>
      <c r="AJ19">
        <v>26</v>
      </c>
    </row>
    <row r="20" spans="1:36" x14ac:dyDescent="0.25">
      <c r="A20" t="s">
        <v>632</v>
      </c>
      <c r="B20">
        <v>18</v>
      </c>
      <c r="C20" t="s">
        <v>53</v>
      </c>
      <c r="D20">
        <v>2</v>
      </c>
      <c r="E20">
        <v>1</v>
      </c>
      <c r="F20">
        <v>1</v>
      </c>
      <c r="G20" t="s">
        <v>111</v>
      </c>
      <c r="K20" t="s">
        <v>56</v>
      </c>
      <c r="L20">
        <v>2</v>
      </c>
      <c r="N20">
        <v>1</v>
      </c>
      <c r="O20" t="s">
        <v>57</v>
      </c>
      <c r="P20" t="s">
        <v>122</v>
      </c>
      <c r="S20" t="s">
        <v>63</v>
      </c>
      <c r="T20">
        <v>2</v>
      </c>
      <c r="V20">
        <v>1</v>
      </c>
      <c r="W20" t="s">
        <v>103</v>
      </c>
      <c r="X20" t="s">
        <v>95</v>
      </c>
      <c r="AA20" t="s">
        <v>38</v>
      </c>
      <c r="AB20">
        <v>2</v>
      </c>
      <c r="AC20">
        <v>1</v>
      </c>
      <c r="AD20">
        <v>1</v>
      </c>
      <c r="AE20" t="s">
        <v>152</v>
      </c>
      <c r="AI20">
        <v>6</v>
      </c>
      <c r="AJ20">
        <v>19</v>
      </c>
    </row>
    <row r="21" spans="1:36" x14ac:dyDescent="0.25">
      <c r="A21" t="s">
        <v>982</v>
      </c>
      <c r="B21">
        <v>19</v>
      </c>
      <c r="C21" t="s">
        <v>53</v>
      </c>
      <c r="D21">
        <v>3</v>
      </c>
      <c r="E21">
        <v>1</v>
      </c>
      <c r="F21">
        <v>1</v>
      </c>
      <c r="G21" t="s">
        <v>54</v>
      </c>
      <c r="K21" t="s">
        <v>56</v>
      </c>
      <c r="L21">
        <v>3</v>
      </c>
      <c r="N21">
        <v>1</v>
      </c>
      <c r="O21" t="s">
        <v>57</v>
      </c>
      <c r="P21" t="s">
        <v>122</v>
      </c>
      <c r="Q21" t="s">
        <v>85</v>
      </c>
      <c r="S21" t="s">
        <v>63</v>
      </c>
      <c r="T21">
        <v>3</v>
      </c>
      <c r="V21">
        <v>1</v>
      </c>
      <c r="W21" t="s">
        <v>103</v>
      </c>
      <c r="X21" t="s">
        <v>91</v>
      </c>
      <c r="Y21" t="s">
        <v>147</v>
      </c>
      <c r="AA21" t="s">
        <v>227</v>
      </c>
      <c r="AB21">
        <v>3</v>
      </c>
      <c r="AC21">
        <v>1</v>
      </c>
      <c r="AD21">
        <v>1</v>
      </c>
      <c r="AE21" t="s">
        <v>228</v>
      </c>
      <c r="AF21" t="s">
        <v>231</v>
      </c>
      <c r="AI21">
        <v>13</v>
      </c>
      <c r="AJ21">
        <v>40</v>
      </c>
    </row>
    <row r="22" spans="1:36" x14ac:dyDescent="0.25">
      <c r="A22" t="s">
        <v>983</v>
      </c>
      <c r="B22">
        <v>20</v>
      </c>
      <c r="C22" t="s">
        <v>38</v>
      </c>
      <c r="D22">
        <v>1</v>
      </c>
      <c r="E22">
        <v>1</v>
      </c>
      <c r="F22">
        <v>1</v>
      </c>
      <c r="G22" t="s">
        <v>152</v>
      </c>
      <c r="H22" t="s">
        <v>70</v>
      </c>
      <c r="I22" t="s">
        <v>41</v>
      </c>
      <c r="J22" t="s">
        <v>155</v>
      </c>
      <c r="K22" t="s">
        <v>227</v>
      </c>
      <c r="L22">
        <v>2</v>
      </c>
      <c r="M22">
        <v>1</v>
      </c>
      <c r="N22">
        <v>2</v>
      </c>
      <c r="O22" t="s">
        <v>228</v>
      </c>
      <c r="P22" t="s">
        <v>231</v>
      </c>
      <c r="Q22" t="s">
        <v>234</v>
      </c>
      <c r="R22" t="s">
        <v>237</v>
      </c>
      <c r="S22" t="s">
        <v>53</v>
      </c>
      <c r="T22">
        <v>2</v>
      </c>
      <c r="U22">
        <v>1</v>
      </c>
      <c r="V22">
        <v>1</v>
      </c>
      <c r="W22" t="s">
        <v>54</v>
      </c>
      <c r="X22" t="s">
        <v>83</v>
      </c>
      <c r="AA22" t="s">
        <v>56</v>
      </c>
      <c r="AB22">
        <v>2</v>
      </c>
      <c r="AD22">
        <v>1</v>
      </c>
      <c r="AE22" t="s">
        <v>57</v>
      </c>
      <c r="AI22">
        <v>11</v>
      </c>
      <c r="AJ22">
        <v>33</v>
      </c>
    </row>
    <row r="23" spans="1:36" x14ac:dyDescent="0.25">
      <c r="A23" t="s">
        <v>633</v>
      </c>
      <c r="B23">
        <v>21</v>
      </c>
      <c r="C23" t="s">
        <v>53</v>
      </c>
      <c r="D23">
        <v>2</v>
      </c>
      <c r="E23">
        <v>1</v>
      </c>
      <c r="F23">
        <v>2</v>
      </c>
      <c r="G23" t="s">
        <v>111</v>
      </c>
      <c r="H23" t="s">
        <v>83</v>
      </c>
      <c r="K23" t="s">
        <v>48</v>
      </c>
      <c r="L23">
        <v>3</v>
      </c>
      <c r="N23">
        <v>2</v>
      </c>
      <c r="O23" t="s">
        <v>89</v>
      </c>
      <c r="S23" t="s">
        <v>56</v>
      </c>
      <c r="T23">
        <v>3</v>
      </c>
      <c r="V23">
        <v>1</v>
      </c>
      <c r="W23" t="s">
        <v>57</v>
      </c>
      <c r="AA23" t="s">
        <v>33</v>
      </c>
      <c r="AB23">
        <v>3</v>
      </c>
      <c r="AD23">
        <v>3</v>
      </c>
      <c r="AE23" t="s">
        <v>46</v>
      </c>
      <c r="AI23">
        <v>12</v>
      </c>
      <c r="AJ23">
        <v>32</v>
      </c>
    </row>
    <row r="24" spans="1:36" x14ac:dyDescent="0.25">
      <c r="A24" t="s">
        <v>634</v>
      </c>
      <c r="B24">
        <v>22</v>
      </c>
      <c r="C24" t="s">
        <v>56</v>
      </c>
      <c r="D24">
        <v>1</v>
      </c>
      <c r="F24">
        <v>1</v>
      </c>
      <c r="G24" t="s">
        <v>57</v>
      </c>
      <c r="H24" t="s">
        <v>122</v>
      </c>
      <c r="K24" t="s">
        <v>43</v>
      </c>
      <c r="L24">
        <v>3</v>
      </c>
      <c r="N24">
        <v>1</v>
      </c>
      <c r="O24" t="s">
        <v>73</v>
      </c>
      <c r="P24" t="s">
        <v>74</v>
      </c>
      <c r="Q24" t="s">
        <v>100</v>
      </c>
      <c r="S24" t="s">
        <v>53</v>
      </c>
      <c r="T24">
        <v>2</v>
      </c>
      <c r="U24">
        <v>1</v>
      </c>
      <c r="V24">
        <v>2</v>
      </c>
      <c r="W24" t="s">
        <v>111</v>
      </c>
      <c r="X24" t="s">
        <v>83</v>
      </c>
      <c r="AA24" t="s">
        <v>48</v>
      </c>
      <c r="AB24">
        <v>3</v>
      </c>
      <c r="AD24">
        <v>2</v>
      </c>
      <c r="AE24" t="s">
        <v>89</v>
      </c>
      <c r="AI24">
        <v>11</v>
      </c>
      <c r="AJ24">
        <v>31</v>
      </c>
    </row>
    <row r="25" spans="1:36" x14ac:dyDescent="0.25">
      <c r="A25" t="s">
        <v>984</v>
      </c>
      <c r="B25">
        <v>23</v>
      </c>
      <c r="C25" t="s">
        <v>56</v>
      </c>
      <c r="D25">
        <v>2</v>
      </c>
      <c r="F25">
        <v>1</v>
      </c>
      <c r="G25" t="s">
        <v>57</v>
      </c>
      <c r="K25" t="s">
        <v>45</v>
      </c>
      <c r="L25">
        <v>3</v>
      </c>
      <c r="N25">
        <v>1</v>
      </c>
      <c r="O25" t="s">
        <v>86</v>
      </c>
      <c r="S25" t="s">
        <v>53</v>
      </c>
      <c r="T25">
        <v>2</v>
      </c>
      <c r="U25">
        <v>3</v>
      </c>
      <c r="V25">
        <v>1</v>
      </c>
      <c r="W25" t="s">
        <v>54</v>
      </c>
      <c r="AA25" t="s">
        <v>48</v>
      </c>
      <c r="AB25">
        <v>2</v>
      </c>
      <c r="AD25">
        <v>1</v>
      </c>
      <c r="AE25" t="s">
        <v>89</v>
      </c>
      <c r="AI25">
        <v>7</v>
      </c>
      <c r="AJ25">
        <v>22</v>
      </c>
    </row>
    <row r="26" spans="1:36" x14ac:dyDescent="0.25">
      <c r="A26" t="s">
        <v>635</v>
      </c>
      <c r="B26">
        <v>24</v>
      </c>
      <c r="C26" t="s">
        <v>56</v>
      </c>
      <c r="D26">
        <v>3</v>
      </c>
      <c r="F26">
        <v>1</v>
      </c>
      <c r="G26" t="s">
        <v>57</v>
      </c>
      <c r="K26" t="s">
        <v>63</v>
      </c>
      <c r="L26">
        <v>2</v>
      </c>
      <c r="N26">
        <v>1</v>
      </c>
      <c r="O26" t="s">
        <v>103</v>
      </c>
      <c r="P26" t="s">
        <v>91</v>
      </c>
      <c r="Q26" t="s">
        <v>147</v>
      </c>
      <c r="R26" t="s">
        <v>149</v>
      </c>
      <c r="S26" t="s">
        <v>53</v>
      </c>
      <c r="T26">
        <v>3</v>
      </c>
      <c r="U26">
        <v>1</v>
      </c>
      <c r="V26">
        <v>1</v>
      </c>
      <c r="W26" t="s">
        <v>54</v>
      </c>
      <c r="AA26" t="s">
        <v>48</v>
      </c>
      <c r="AB26">
        <v>3</v>
      </c>
      <c r="AD26">
        <v>2</v>
      </c>
      <c r="AE26" t="s">
        <v>49</v>
      </c>
      <c r="AF26" t="s">
        <v>71</v>
      </c>
      <c r="AG26" t="s">
        <v>51</v>
      </c>
      <c r="AH26" t="s">
        <v>52</v>
      </c>
      <c r="AI26">
        <v>14</v>
      </c>
      <c r="AJ26">
        <v>34</v>
      </c>
    </row>
    <row r="27" spans="1:36" x14ac:dyDescent="0.25">
      <c r="A27" t="s">
        <v>636</v>
      </c>
      <c r="B27">
        <v>25</v>
      </c>
      <c r="C27" t="s">
        <v>56</v>
      </c>
      <c r="D27">
        <v>2</v>
      </c>
      <c r="F27">
        <v>1</v>
      </c>
      <c r="G27" t="s">
        <v>57</v>
      </c>
      <c r="K27" t="s">
        <v>38</v>
      </c>
      <c r="L27">
        <v>1</v>
      </c>
      <c r="M27">
        <v>1</v>
      </c>
      <c r="N27">
        <v>2</v>
      </c>
      <c r="O27" t="s">
        <v>152</v>
      </c>
      <c r="P27" t="s">
        <v>70</v>
      </c>
      <c r="Q27" t="s">
        <v>153</v>
      </c>
      <c r="R27" t="s">
        <v>42</v>
      </c>
      <c r="S27" t="s">
        <v>53</v>
      </c>
      <c r="T27">
        <v>2</v>
      </c>
      <c r="U27">
        <v>1</v>
      </c>
      <c r="V27">
        <v>1</v>
      </c>
      <c r="W27" t="s">
        <v>111</v>
      </c>
      <c r="X27" t="s">
        <v>83</v>
      </c>
      <c r="AA27" t="s">
        <v>48</v>
      </c>
      <c r="AB27">
        <v>3</v>
      </c>
      <c r="AD27">
        <v>1</v>
      </c>
      <c r="AE27" t="s">
        <v>49</v>
      </c>
      <c r="AI27">
        <v>9</v>
      </c>
      <c r="AJ27">
        <v>30</v>
      </c>
    </row>
    <row r="28" spans="1:36" x14ac:dyDescent="0.25">
      <c r="A28" t="s">
        <v>985</v>
      </c>
      <c r="B28">
        <v>26</v>
      </c>
      <c r="C28" t="s">
        <v>53</v>
      </c>
      <c r="D28">
        <v>2</v>
      </c>
      <c r="E28">
        <v>1</v>
      </c>
      <c r="F28">
        <v>1</v>
      </c>
      <c r="G28" t="s">
        <v>54</v>
      </c>
      <c r="H28" t="s">
        <v>55</v>
      </c>
      <c r="I28" t="s">
        <v>105</v>
      </c>
      <c r="K28" t="s">
        <v>48</v>
      </c>
      <c r="L28">
        <v>1</v>
      </c>
      <c r="N28">
        <v>1</v>
      </c>
      <c r="O28" t="s">
        <v>89</v>
      </c>
      <c r="P28" t="s">
        <v>50</v>
      </c>
      <c r="Q28" t="s">
        <v>51</v>
      </c>
      <c r="R28" t="s">
        <v>129</v>
      </c>
      <c r="S28" t="s">
        <v>56</v>
      </c>
      <c r="T28">
        <v>3</v>
      </c>
      <c r="V28">
        <v>3</v>
      </c>
      <c r="W28" t="s">
        <v>57</v>
      </c>
      <c r="X28" t="s">
        <v>121</v>
      </c>
      <c r="Y28" t="s">
        <v>85</v>
      </c>
      <c r="AA28" t="s">
        <v>227</v>
      </c>
      <c r="AB28">
        <v>1</v>
      </c>
      <c r="AC28">
        <v>1</v>
      </c>
      <c r="AD28">
        <v>1</v>
      </c>
      <c r="AE28" t="s">
        <v>228</v>
      </c>
      <c r="AF28" t="s">
        <v>233</v>
      </c>
      <c r="AG28" t="s">
        <v>236</v>
      </c>
      <c r="AI28">
        <v>14</v>
      </c>
      <c r="AJ28">
        <v>38</v>
      </c>
    </row>
    <row r="29" spans="1:36" x14ac:dyDescent="0.25">
      <c r="A29" t="s">
        <v>637</v>
      </c>
      <c r="B29">
        <v>27</v>
      </c>
      <c r="C29" t="s">
        <v>33</v>
      </c>
      <c r="D29">
        <v>1</v>
      </c>
      <c r="F29">
        <v>2</v>
      </c>
      <c r="G29" t="s">
        <v>34</v>
      </c>
      <c r="H29" t="s">
        <v>66</v>
      </c>
      <c r="K29" t="s">
        <v>43</v>
      </c>
      <c r="L29">
        <v>1</v>
      </c>
      <c r="N29">
        <v>1</v>
      </c>
      <c r="O29" t="s">
        <v>73</v>
      </c>
      <c r="P29" t="s">
        <v>99</v>
      </c>
      <c r="Q29" t="s">
        <v>137</v>
      </c>
      <c r="R29" t="s">
        <v>101</v>
      </c>
      <c r="S29" t="s">
        <v>53</v>
      </c>
      <c r="T29">
        <v>2</v>
      </c>
      <c r="U29">
        <v>1</v>
      </c>
      <c r="V29">
        <v>1</v>
      </c>
      <c r="W29" t="s">
        <v>111</v>
      </c>
      <c r="X29" t="s">
        <v>83</v>
      </c>
      <c r="AA29" t="s">
        <v>48</v>
      </c>
      <c r="AB29">
        <v>3</v>
      </c>
      <c r="AD29">
        <v>1</v>
      </c>
      <c r="AE29" t="s">
        <v>89</v>
      </c>
      <c r="AI29">
        <v>9</v>
      </c>
      <c r="AJ29">
        <v>23</v>
      </c>
    </row>
    <row r="30" spans="1:36" x14ac:dyDescent="0.25">
      <c r="A30" t="s">
        <v>986</v>
      </c>
      <c r="B30">
        <v>28</v>
      </c>
      <c r="C30" t="s">
        <v>33</v>
      </c>
      <c r="D30">
        <v>2</v>
      </c>
      <c r="F30">
        <v>3</v>
      </c>
      <c r="G30" t="s">
        <v>46</v>
      </c>
      <c r="K30" t="s">
        <v>45</v>
      </c>
      <c r="L30">
        <v>3</v>
      </c>
      <c r="N30">
        <v>1</v>
      </c>
      <c r="O30" t="s">
        <v>47</v>
      </c>
      <c r="P30" t="s">
        <v>76</v>
      </c>
      <c r="Q30" t="s">
        <v>93</v>
      </c>
      <c r="S30" t="s">
        <v>53</v>
      </c>
      <c r="T30">
        <v>2</v>
      </c>
      <c r="U30">
        <v>3</v>
      </c>
      <c r="V30">
        <v>2</v>
      </c>
      <c r="W30" t="s">
        <v>111</v>
      </c>
      <c r="AA30" t="s">
        <v>48</v>
      </c>
      <c r="AB30">
        <v>1</v>
      </c>
      <c r="AD30">
        <v>1</v>
      </c>
      <c r="AE30" t="s">
        <v>89</v>
      </c>
      <c r="AF30" t="s">
        <v>50</v>
      </c>
      <c r="AI30">
        <v>12</v>
      </c>
      <c r="AJ30">
        <v>29</v>
      </c>
    </row>
    <row r="31" spans="1:36" x14ac:dyDescent="0.25">
      <c r="A31" t="s">
        <v>987</v>
      </c>
      <c r="B31">
        <v>29</v>
      </c>
      <c r="C31" t="s">
        <v>33</v>
      </c>
      <c r="D31">
        <v>1</v>
      </c>
      <c r="F31">
        <v>2</v>
      </c>
      <c r="G31" t="s">
        <v>34</v>
      </c>
      <c r="K31" t="s">
        <v>63</v>
      </c>
      <c r="L31">
        <v>2</v>
      </c>
      <c r="N31">
        <v>1</v>
      </c>
      <c r="O31" t="s">
        <v>103</v>
      </c>
      <c r="P31" t="s">
        <v>91</v>
      </c>
      <c r="Q31" t="s">
        <v>147</v>
      </c>
      <c r="S31" t="s">
        <v>53</v>
      </c>
      <c r="T31">
        <v>2</v>
      </c>
      <c r="U31">
        <v>3</v>
      </c>
      <c r="V31">
        <v>2</v>
      </c>
      <c r="W31" t="s">
        <v>111</v>
      </c>
      <c r="AA31" t="s">
        <v>48</v>
      </c>
      <c r="AB31">
        <v>3</v>
      </c>
      <c r="AD31">
        <v>1</v>
      </c>
      <c r="AE31" t="s">
        <v>89</v>
      </c>
      <c r="AI31">
        <v>10</v>
      </c>
      <c r="AJ31">
        <v>38</v>
      </c>
    </row>
    <row r="32" spans="1:36" x14ac:dyDescent="0.25">
      <c r="A32" t="s">
        <v>988</v>
      </c>
      <c r="B32">
        <v>30</v>
      </c>
      <c r="C32" t="s">
        <v>33</v>
      </c>
      <c r="D32">
        <v>3</v>
      </c>
      <c r="F32">
        <v>3</v>
      </c>
      <c r="G32" t="s">
        <v>46</v>
      </c>
      <c r="H32" t="s">
        <v>35</v>
      </c>
      <c r="I32" t="s">
        <v>131</v>
      </c>
      <c r="K32" t="s">
        <v>38</v>
      </c>
      <c r="L32">
        <v>1</v>
      </c>
      <c r="M32">
        <v>1</v>
      </c>
      <c r="N32">
        <v>1</v>
      </c>
      <c r="O32" t="s">
        <v>152</v>
      </c>
      <c r="S32" t="s">
        <v>53</v>
      </c>
      <c r="T32">
        <v>1</v>
      </c>
      <c r="U32">
        <v>1</v>
      </c>
      <c r="V32">
        <v>1</v>
      </c>
      <c r="W32" t="s">
        <v>111</v>
      </c>
      <c r="AA32" t="s">
        <v>48</v>
      </c>
      <c r="AB32">
        <v>3</v>
      </c>
      <c r="AD32">
        <v>3</v>
      </c>
      <c r="AE32" t="s">
        <v>89</v>
      </c>
      <c r="AF32" t="s">
        <v>84</v>
      </c>
      <c r="AI32">
        <v>11</v>
      </c>
      <c r="AJ32">
        <v>28</v>
      </c>
    </row>
    <row r="33" spans="1:36" x14ac:dyDescent="0.25">
      <c r="A33" t="s">
        <v>989</v>
      </c>
      <c r="B33">
        <v>31</v>
      </c>
      <c r="C33" t="s">
        <v>53</v>
      </c>
      <c r="D33">
        <v>1</v>
      </c>
      <c r="E33">
        <v>1</v>
      </c>
      <c r="F33">
        <v>1</v>
      </c>
      <c r="G33" t="s">
        <v>54</v>
      </c>
      <c r="H33" t="s">
        <v>113</v>
      </c>
      <c r="K33" t="s">
        <v>48</v>
      </c>
      <c r="L33">
        <v>3</v>
      </c>
      <c r="N33">
        <v>2</v>
      </c>
      <c r="O33" t="s">
        <v>89</v>
      </c>
      <c r="S33" t="s">
        <v>33</v>
      </c>
      <c r="T33">
        <v>2</v>
      </c>
      <c r="V33">
        <v>3</v>
      </c>
      <c r="W33" t="s">
        <v>34</v>
      </c>
      <c r="AA33" t="s">
        <v>227</v>
      </c>
      <c r="AB33">
        <v>2</v>
      </c>
      <c r="AC33">
        <v>1</v>
      </c>
      <c r="AD33">
        <v>1</v>
      </c>
      <c r="AE33" t="s">
        <v>228</v>
      </c>
      <c r="AI33">
        <v>8</v>
      </c>
      <c r="AJ33">
        <v>25</v>
      </c>
    </row>
    <row r="34" spans="1:36" x14ac:dyDescent="0.25">
      <c r="A34" t="s">
        <v>638</v>
      </c>
      <c r="B34">
        <v>32</v>
      </c>
      <c r="C34" t="s">
        <v>53</v>
      </c>
      <c r="D34">
        <v>1</v>
      </c>
      <c r="E34">
        <v>1</v>
      </c>
      <c r="F34">
        <v>1</v>
      </c>
      <c r="G34" t="s">
        <v>111</v>
      </c>
      <c r="H34" t="s">
        <v>83</v>
      </c>
      <c r="I34" t="s">
        <v>105</v>
      </c>
      <c r="K34" t="s">
        <v>48</v>
      </c>
      <c r="L34">
        <v>3</v>
      </c>
      <c r="N34">
        <v>3</v>
      </c>
      <c r="O34" t="s">
        <v>89</v>
      </c>
      <c r="P34" t="s">
        <v>84</v>
      </c>
      <c r="Q34" t="s">
        <v>90</v>
      </c>
      <c r="S34" t="s">
        <v>43</v>
      </c>
      <c r="T34">
        <v>3</v>
      </c>
      <c r="V34">
        <v>2</v>
      </c>
      <c r="W34" t="s">
        <v>73</v>
      </c>
      <c r="X34" t="s">
        <v>99</v>
      </c>
      <c r="Y34" t="s">
        <v>100</v>
      </c>
      <c r="Z34" t="s">
        <v>101</v>
      </c>
      <c r="AA34" t="s">
        <v>45</v>
      </c>
      <c r="AB34">
        <v>2</v>
      </c>
      <c r="AD34">
        <v>1</v>
      </c>
      <c r="AE34" t="s">
        <v>47</v>
      </c>
      <c r="AI34">
        <v>15</v>
      </c>
      <c r="AJ34">
        <v>49</v>
      </c>
    </row>
    <row r="35" spans="1:36" x14ac:dyDescent="0.25">
      <c r="A35" t="s">
        <v>639</v>
      </c>
      <c r="B35">
        <v>33</v>
      </c>
      <c r="C35" t="s">
        <v>43</v>
      </c>
      <c r="D35">
        <v>3</v>
      </c>
      <c r="F35">
        <v>3</v>
      </c>
      <c r="G35" t="s">
        <v>73</v>
      </c>
      <c r="H35" t="s">
        <v>74</v>
      </c>
      <c r="I35" t="s">
        <v>100</v>
      </c>
      <c r="J35" t="s">
        <v>138</v>
      </c>
      <c r="K35" t="s">
        <v>63</v>
      </c>
      <c r="L35">
        <v>1</v>
      </c>
      <c r="N35">
        <v>1</v>
      </c>
      <c r="O35" t="s">
        <v>103</v>
      </c>
      <c r="S35" t="s">
        <v>53</v>
      </c>
      <c r="T35">
        <v>3</v>
      </c>
      <c r="U35">
        <v>1</v>
      </c>
      <c r="V35">
        <v>2</v>
      </c>
      <c r="W35" t="s">
        <v>54</v>
      </c>
      <c r="X35" t="s">
        <v>55</v>
      </c>
      <c r="AA35" t="s">
        <v>48</v>
      </c>
      <c r="AB35">
        <v>3</v>
      </c>
      <c r="AD35">
        <v>3</v>
      </c>
      <c r="AE35" t="s">
        <v>89</v>
      </c>
      <c r="AF35" t="s">
        <v>71</v>
      </c>
      <c r="AG35" t="s">
        <v>127</v>
      </c>
      <c r="AI35">
        <v>18</v>
      </c>
      <c r="AJ35">
        <v>63</v>
      </c>
    </row>
    <row r="36" spans="1:36" x14ac:dyDescent="0.25">
      <c r="A36" t="s">
        <v>990</v>
      </c>
      <c r="B36">
        <v>34</v>
      </c>
      <c r="C36" t="s">
        <v>43</v>
      </c>
      <c r="D36">
        <v>2</v>
      </c>
      <c r="F36">
        <v>2</v>
      </c>
      <c r="G36" t="s">
        <v>73</v>
      </c>
      <c r="H36" t="s">
        <v>74</v>
      </c>
      <c r="I36" t="s">
        <v>75</v>
      </c>
      <c r="K36" t="s">
        <v>38</v>
      </c>
      <c r="L36">
        <v>3</v>
      </c>
      <c r="M36">
        <v>1</v>
      </c>
      <c r="N36">
        <v>1</v>
      </c>
      <c r="O36" t="s">
        <v>152</v>
      </c>
      <c r="P36" t="s">
        <v>96</v>
      </c>
      <c r="S36" t="s">
        <v>53</v>
      </c>
      <c r="T36">
        <v>2</v>
      </c>
      <c r="U36">
        <v>1</v>
      </c>
      <c r="V36">
        <v>1</v>
      </c>
      <c r="W36" t="s">
        <v>111</v>
      </c>
      <c r="X36" t="s">
        <v>83</v>
      </c>
      <c r="Y36" t="s">
        <v>97</v>
      </c>
      <c r="AA36" t="s">
        <v>48</v>
      </c>
      <c r="AB36">
        <v>3</v>
      </c>
      <c r="AD36">
        <v>1</v>
      </c>
      <c r="AE36" t="s">
        <v>89</v>
      </c>
      <c r="AI36">
        <v>12</v>
      </c>
      <c r="AJ36">
        <v>31</v>
      </c>
    </row>
    <row r="37" spans="1:36" x14ac:dyDescent="0.25">
      <c r="A37" t="s">
        <v>640</v>
      </c>
      <c r="B37">
        <v>35</v>
      </c>
      <c r="C37" t="s">
        <v>53</v>
      </c>
      <c r="D37">
        <v>2</v>
      </c>
      <c r="E37">
        <v>1</v>
      </c>
      <c r="F37">
        <v>1</v>
      </c>
      <c r="G37" t="s">
        <v>112</v>
      </c>
      <c r="H37" t="s">
        <v>55</v>
      </c>
      <c r="K37" t="s">
        <v>48</v>
      </c>
      <c r="L37">
        <v>3</v>
      </c>
      <c r="N37">
        <v>2</v>
      </c>
      <c r="O37" t="s">
        <v>89</v>
      </c>
      <c r="P37" t="s">
        <v>84</v>
      </c>
      <c r="S37" t="s">
        <v>43</v>
      </c>
      <c r="T37">
        <v>3</v>
      </c>
      <c r="V37">
        <v>1</v>
      </c>
      <c r="W37" t="s">
        <v>73</v>
      </c>
      <c r="X37" t="s">
        <v>99</v>
      </c>
      <c r="Y37" t="s">
        <v>100</v>
      </c>
      <c r="Z37" t="s">
        <v>101</v>
      </c>
      <c r="AA37" t="s">
        <v>227</v>
      </c>
      <c r="AB37">
        <v>2</v>
      </c>
      <c r="AC37">
        <v>1</v>
      </c>
      <c r="AD37">
        <v>1</v>
      </c>
      <c r="AE37" t="s">
        <v>228</v>
      </c>
      <c r="AI37">
        <v>12</v>
      </c>
      <c r="AJ37">
        <v>37</v>
      </c>
    </row>
    <row r="38" spans="1:36" x14ac:dyDescent="0.25">
      <c r="A38" t="s">
        <v>991</v>
      </c>
      <c r="B38">
        <v>36</v>
      </c>
      <c r="C38" t="s">
        <v>53</v>
      </c>
      <c r="D38">
        <v>3</v>
      </c>
      <c r="E38">
        <v>3</v>
      </c>
      <c r="F38">
        <v>3</v>
      </c>
      <c r="G38" t="s">
        <v>111</v>
      </c>
      <c r="H38" t="s">
        <v>83</v>
      </c>
      <c r="I38" t="s">
        <v>97</v>
      </c>
      <c r="K38" t="s">
        <v>48</v>
      </c>
      <c r="L38">
        <v>2</v>
      </c>
      <c r="N38">
        <v>1</v>
      </c>
      <c r="O38" t="s">
        <v>49</v>
      </c>
      <c r="S38" t="s">
        <v>45</v>
      </c>
      <c r="T38">
        <v>3</v>
      </c>
      <c r="V38">
        <v>1</v>
      </c>
      <c r="W38" t="s">
        <v>86</v>
      </c>
      <c r="AA38" t="s">
        <v>63</v>
      </c>
      <c r="AB38">
        <v>3</v>
      </c>
      <c r="AD38">
        <v>2</v>
      </c>
      <c r="AE38" t="s">
        <v>72</v>
      </c>
      <c r="AF38" t="s">
        <v>95</v>
      </c>
      <c r="AG38" t="s">
        <v>147</v>
      </c>
      <c r="AH38" t="s">
        <v>149</v>
      </c>
      <c r="AI38">
        <v>17</v>
      </c>
      <c r="AJ38">
        <v>41</v>
      </c>
    </row>
    <row r="39" spans="1:36" x14ac:dyDescent="0.25">
      <c r="A39" t="s">
        <v>641</v>
      </c>
      <c r="B39">
        <v>37</v>
      </c>
      <c r="C39" t="s">
        <v>53</v>
      </c>
      <c r="D39">
        <v>1</v>
      </c>
      <c r="E39">
        <v>1</v>
      </c>
      <c r="F39">
        <v>1</v>
      </c>
      <c r="G39" t="s">
        <v>111</v>
      </c>
      <c r="H39" t="s">
        <v>113</v>
      </c>
      <c r="K39" t="s">
        <v>48</v>
      </c>
      <c r="L39">
        <v>3</v>
      </c>
      <c r="N39">
        <v>2</v>
      </c>
      <c r="O39" t="s">
        <v>89</v>
      </c>
      <c r="P39" t="s">
        <v>84</v>
      </c>
      <c r="Q39" t="s">
        <v>127</v>
      </c>
      <c r="R39" t="s">
        <v>128</v>
      </c>
      <c r="S39" t="s">
        <v>45</v>
      </c>
      <c r="T39">
        <v>3</v>
      </c>
      <c r="V39">
        <v>1</v>
      </c>
      <c r="W39" t="s">
        <v>47</v>
      </c>
      <c r="AA39" t="s">
        <v>38</v>
      </c>
      <c r="AB39">
        <v>3</v>
      </c>
      <c r="AC39">
        <v>1</v>
      </c>
      <c r="AD39">
        <v>2</v>
      </c>
      <c r="AE39" t="s">
        <v>152</v>
      </c>
      <c r="AF39" t="s">
        <v>40</v>
      </c>
      <c r="AG39" t="s">
        <v>41</v>
      </c>
      <c r="AI39">
        <v>14</v>
      </c>
      <c r="AJ39">
        <v>39</v>
      </c>
    </row>
    <row r="40" spans="1:36" x14ac:dyDescent="0.25">
      <c r="A40" t="s">
        <v>642</v>
      </c>
      <c r="B40">
        <v>38</v>
      </c>
      <c r="C40" t="s">
        <v>53</v>
      </c>
      <c r="D40">
        <v>3</v>
      </c>
      <c r="E40">
        <v>1</v>
      </c>
      <c r="F40">
        <v>1</v>
      </c>
      <c r="G40" t="s">
        <v>54</v>
      </c>
      <c r="H40" t="s">
        <v>83</v>
      </c>
      <c r="I40" t="s">
        <v>114</v>
      </c>
      <c r="J40" t="s">
        <v>98</v>
      </c>
      <c r="K40" t="s">
        <v>48</v>
      </c>
      <c r="L40">
        <v>1</v>
      </c>
      <c r="N40">
        <v>1</v>
      </c>
      <c r="O40" t="s">
        <v>89</v>
      </c>
      <c r="P40" t="s">
        <v>71</v>
      </c>
      <c r="Q40" t="s">
        <v>51</v>
      </c>
      <c r="S40" t="s">
        <v>45</v>
      </c>
      <c r="T40">
        <v>3</v>
      </c>
      <c r="V40">
        <v>1</v>
      </c>
      <c r="W40" t="s">
        <v>86</v>
      </c>
      <c r="AA40" t="s">
        <v>227</v>
      </c>
      <c r="AB40">
        <v>3</v>
      </c>
      <c r="AC40">
        <v>1</v>
      </c>
      <c r="AD40">
        <v>2</v>
      </c>
      <c r="AE40" t="s">
        <v>228</v>
      </c>
      <c r="AI40">
        <v>12</v>
      </c>
      <c r="AJ40">
        <v>36</v>
      </c>
    </row>
    <row r="41" spans="1:36" x14ac:dyDescent="0.25">
      <c r="A41" t="s">
        <v>992</v>
      </c>
      <c r="B41">
        <v>39</v>
      </c>
      <c r="C41" t="s">
        <v>53</v>
      </c>
      <c r="D41">
        <v>3</v>
      </c>
      <c r="E41">
        <v>1</v>
      </c>
      <c r="F41">
        <v>2</v>
      </c>
      <c r="G41" t="s">
        <v>54</v>
      </c>
      <c r="H41" t="s">
        <v>83</v>
      </c>
      <c r="K41" t="s">
        <v>48</v>
      </c>
      <c r="L41">
        <v>3</v>
      </c>
      <c r="N41">
        <v>2</v>
      </c>
      <c r="O41" t="s">
        <v>49</v>
      </c>
      <c r="P41" t="s">
        <v>71</v>
      </c>
      <c r="S41" t="s">
        <v>63</v>
      </c>
      <c r="T41">
        <v>3</v>
      </c>
      <c r="V41">
        <v>1</v>
      </c>
      <c r="W41" t="s">
        <v>103</v>
      </c>
      <c r="X41" t="s">
        <v>91</v>
      </c>
      <c r="Y41" t="s">
        <v>147</v>
      </c>
      <c r="Z41" t="s">
        <v>149</v>
      </c>
      <c r="AA41" t="s">
        <v>38</v>
      </c>
      <c r="AB41">
        <v>2</v>
      </c>
      <c r="AC41">
        <v>1</v>
      </c>
      <c r="AD41">
        <v>1</v>
      </c>
      <c r="AE41" t="s">
        <v>152</v>
      </c>
      <c r="AF41" t="s">
        <v>40</v>
      </c>
      <c r="AI41">
        <v>15</v>
      </c>
      <c r="AJ41">
        <v>40</v>
      </c>
    </row>
    <row r="42" spans="1:36" x14ac:dyDescent="0.25">
      <c r="A42" t="s">
        <v>643</v>
      </c>
      <c r="B42">
        <v>40</v>
      </c>
      <c r="C42" t="s">
        <v>53</v>
      </c>
      <c r="D42">
        <v>2</v>
      </c>
      <c r="E42">
        <v>1</v>
      </c>
      <c r="F42">
        <v>1</v>
      </c>
      <c r="G42" t="s">
        <v>111</v>
      </c>
      <c r="H42" t="s">
        <v>83</v>
      </c>
      <c r="I42" t="s">
        <v>114</v>
      </c>
      <c r="K42" t="s">
        <v>48</v>
      </c>
      <c r="L42">
        <v>3</v>
      </c>
      <c r="N42">
        <v>1</v>
      </c>
      <c r="O42" t="s">
        <v>89</v>
      </c>
      <c r="P42" t="s">
        <v>71</v>
      </c>
      <c r="S42" t="s">
        <v>63</v>
      </c>
      <c r="T42">
        <v>2</v>
      </c>
      <c r="V42">
        <v>1</v>
      </c>
      <c r="W42" t="s">
        <v>103</v>
      </c>
      <c r="X42" t="s">
        <v>91</v>
      </c>
      <c r="Y42" t="s">
        <v>147</v>
      </c>
      <c r="AA42" t="s">
        <v>227</v>
      </c>
      <c r="AB42">
        <v>2</v>
      </c>
      <c r="AC42">
        <v>1</v>
      </c>
      <c r="AD42">
        <v>1</v>
      </c>
      <c r="AE42" t="s">
        <v>228</v>
      </c>
      <c r="AF42" t="s">
        <v>231</v>
      </c>
      <c r="AI42">
        <v>11</v>
      </c>
      <c r="AJ42">
        <v>32</v>
      </c>
    </row>
    <row r="43" spans="1:36" x14ac:dyDescent="0.25">
      <c r="A43" t="s">
        <v>644</v>
      </c>
      <c r="B43">
        <v>41</v>
      </c>
      <c r="C43" t="s">
        <v>38</v>
      </c>
      <c r="D43">
        <v>3</v>
      </c>
      <c r="E43">
        <v>2</v>
      </c>
      <c r="F43">
        <v>3</v>
      </c>
      <c r="G43" t="s">
        <v>152</v>
      </c>
      <c r="H43" t="s">
        <v>96</v>
      </c>
      <c r="K43" t="s">
        <v>227</v>
      </c>
      <c r="L43">
        <v>1</v>
      </c>
      <c r="M43">
        <v>1</v>
      </c>
      <c r="N43">
        <v>1</v>
      </c>
      <c r="O43" t="s">
        <v>228</v>
      </c>
      <c r="P43" t="s">
        <v>231</v>
      </c>
      <c r="S43" t="s">
        <v>53</v>
      </c>
      <c r="T43">
        <v>3</v>
      </c>
      <c r="U43">
        <v>1</v>
      </c>
      <c r="V43">
        <v>1</v>
      </c>
      <c r="W43" t="s">
        <v>54</v>
      </c>
      <c r="X43" t="s">
        <v>83</v>
      </c>
      <c r="Y43" t="s">
        <v>97</v>
      </c>
      <c r="AA43" t="s">
        <v>48</v>
      </c>
      <c r="AB43">
        <v>2</v>
      </c>
      <c r="AD43">
        <v>1</v>
      </c>
      <c r="AE43" t="s">
        <v>89</v>
      </c>
      <c r="AF43" t="s">
        <v>50</v>
      </c>
      <c r="AI43">
        <v>13</v>
      </c>
      <c r="AJ43">
        <v>36</v>
      </c>
    </row>
    <row r="44" spans="1:36" x14ac:dyDescent="0.25">
      <c r="A44" t="s">
        <v>993</v>
      </c>
      <c r="B44">
        <v>42</v>
      </c>
      <c r="C44" t="s">
        <v>56</v>
      </c>
      <c r="D44">
        <v>1</v>
      </c>
      <c r="F44">
        <v>1</v>
      </c>
      <c r="G44" t="s">
        <v>57</v>
      </c>
      <c r="H44" t="s">
        <v>122</v>
      </c>
      <c r="K44" t="s">
        <v>48</v>
      </c>
      <c r="L44">
        <v>3</v>
      </c>
      <c r="N44">
        <v>2</v>
      </c>
      <c r="O44" t="s">
        <v>89</v>
      </c>
      <c r="P44" t="s">
        <v>84</v>
      </c>
      <c r="Q44" t="s">
        <v>127</v>
      </c>
      <c r="S44" t="s">
        <v>53</v>
      </c>
      <c r="T44">
        <v>3</v>
      </c>
      <c r="U44">
        <v>1</v>
      </c>
      <c r="V44">
        <v>1</v>
      </c>
      <c r="W44" t="s">
        <v>111</v>
      </c>
      <c r="X44" t="s">
        <v>83</v>
      </c>
      <c r="Y44" t="s">
        <v>105</v>
      </c>
      <c r="AA44" t="s">
        <v>33</v>
      </c>
      <c r="AB44">
        <v>1</v>
      </c>
      <c r="AD44">
        <v>2</v>
      </c>
      <c r="AE44" t="s">
        <v>46</v>
      </c>
      <c r="AI44">
        <v>11</v>
      </c>
      <c r="AJ44">
        <v>31</v>
      </c>
    </row>
    <row r="45" spans="1:36" x14ac:dyDescent="0.25">
      <c r="A45" t="s">
        <v>645</v>
      </c>
      <c r="B45">
        <v>43</v>
      </c>
      <c r="C45" t="s">
        <v>53</v>
      </c>
      <c r="D45">
        <v>2</v>
      </c>
      <c r="E45">
        <v>1</v>
      </c>
      <c r="F45">
        <v>1</v>
      </c>
      <c r="G45" t="s">
        <v>111</v>
      </c>
      <c r="K45" t="s">
        <v>33</v>
      </c>
      <c r="L45">
        <v>2</v>
      </c>
      <c r="N45">
        <v>2</v>
      </c>
      <c r="O45" t="s">
        <v>34</v>
      </c>
      <c r="P45" t="s">
        <v>35</v>
      </c>
      <c r="Q45" t="s">
        <v>132</v>
      </c>
      <c r="R45" t="s">
        <v>37</v>
      </c>
      <c r="S45" t="s">
        <v>56</v>
      </c>
      <c r="T45">
        <v>3</v>
      </c>
      <c r="V45">
        <v>1</v>
      </c>
      <c r="W45" t="s">
        <v>68</v>
      </c>
      <c r="AA45" t="s">
        <v>43</v>
      </c>
      <c r="AB45">
        <v>1</v>
      </c>
      <c r="AD45">
        <v>1</v>
      </c>
      <c r="AE45" t="s">
        <v>73</v>
      </c>
      <c r="AF45" t="s">
        <v>136</v>
      </c>
      <c r="AG45" t="s">
        <v>75</v>
      </c>
      <c r="AH45" t="s">
        <v>101</v>
      </c>
      <c r="AI45">
        <v>11</v>
      </c>
      <c r="AJ45">
        <v>27</v>
      </c>
    </row>
    <row r="46" spans="1:36" x14ac:dyDescent="0.25">
      <c r="A46" t="s">
        <v>994</v>
      </c>
      <c r="B46">
        <v>44</v>
      </c>
      <c r="C46" t="s">
        <v>53</v>
      </c>
      <c r="D46">
        <v>2</v>
      </c>
      <c r="E46">
        <v>3</v>
      </c>
      <c r="F46">
        <v>1</v>
      </c>
      <c r="G46" t="s">
        <v>111</v>
      </c>
      <c r="K46" t="s">
        <v>33</v>
      </c>
      <c r="L46">
        <v>1</v>
      </c>
      <c r="N46">
        <v>2</v>
      </c>
      <c r="O46" t="s">
        <v>34</v>
      </c>
      <c r="S46" t="s">
        <v>56</v>
      </c>
      <c r="T46">
        <v>3</v>
      </c>
      <c r="V46">
        <v>1</v>
      </c>
      <c r="W46" t="s">
        <v>57</v>
      </c>
      <c r="AA46" t="s">
        <v>45</v>
      </c>
      <c r="AB46">
        <v>3</v>
      </c>
      <c r="AD46">
        <v>2</v>
      </c>
      <c r="AE46" t="s">
        <v>140</v>
      </c>
      <c r="AI46">
        <v>9</v>
      </c>
      <c r="AJ46">
        <v>27</v>
      </c>
    </row>
    <row r="47" spans="1:36" x14ac:dyDescent="0.25">
      <c r="A47" t="s">
        <v>646</v>
      </c>
      <c r="B47">
        <v>45</v>
      </c>
      <c r="C47" t="s">
        <v>56</v>
      </c>
      <c r="D47">
        <v>2</v>
      </c>
      <c r="F47">
        <v>1</v>
      </c>
      <c r="G47" t="s">
        <v>57</v>
      </c>
      <c r="K47" t="s">
        <v>63</v>
      </c>
      <c r="L47">
        <v>2</v>
      </c>
      <c r="N47">
        <v>1</v>
      </c>
      <c r="O47" t="s">
        <v>72</v>
      </c>
      <c r="P47" t="s">
        <v>91</v>
      </c>
      <c r="S47" t="s">
        <v>53</v>
      </c>
      <c r="T47">
        <v>2</v>
      </c>
      <c r="U47">
        <v>2</v>
      </c>
      <c r="V47">
        <v>1</v>
      </c>
      <c r="W47" t="s">
        <v>111</v>
      </c>
      <c r="AA47" t="s">
        <v>33</v>
      </c>
      <c r="AB47">
        <v>1</v>
      </c>
      <c r="AD47">
        <v>2</v>
      </c>
      <c r="AE47" t="s">
        <v>46</v>
      </c>
      <c r="AI47">
        <v>6</v>
      </c>
      <c r="AJ47">
        <v>19</v>
      </c>
    </row>
    <row r="48" spans="1:36" x14ac:dyDescent="0.25">
      <c r="A48" t="s">
        <v>995</v>
      </c>
      <c r="B48">
        <v>46</v>
      </c>
      <c r="C48" t="s">
        <v>53</v>
      </c>
      <c r="D48">
        <v>3</v>
      </c>
      <c r="E48">
        <v>1</v>
      </c>
      <c r="F48">
        <v>1</v>
      </c>
      <c r="G48" t="s">
        <v>111</v>
      </c>
      <c r="K48" t="s">
        <v>33</v>
      </c>
      <c r="L48">
        <v>1</v>
      </c>
      <c r="N48">
        <v>3</v>
      </c>
      <c r="O48" t="s">
        <v>46</v>
      </c>
      <c r="S48" t="s">
        <v>56</v>
      </c>
      <c r="T48">
        <v>3</v>
      </c>
      <c r="V48">
        <v>1</v>
      </c>
      <c r="W48" t="s">
        <v>68</v>
      </c>
      <c r="X48" t="s">
        <v>121</v>
      </c>
      <c r="Y48" t="s">
        <v>123</v>
      </c>
      <c r="AA48" t="s">
        <v>38</v>
      </c>
      <c r="AB48">
        <v>2</v>
      </c>
      <c r="AC48">
        <v>1</v>
      </c>
      <c r="AD48">
        <v>2</v>
      </c>
      <c r="AE48" t="s">
        <v>152</v>
      </c>
      <c r="AI48">
        <v>10</v>
      </c>
      <c r="AJ48">
        <v>34</v>
      </c>
    </row>
    <row r="49" spans="1:36" x14ac:dyDescent="0.25">
      <c r="A49" t="s">
        <v>996</v>
      </c>
      <c r="B49">
        <v>47</v>
      </c>
      <c r="C49" t="s">
        <v>53</v>
      </c>
      <c r="D49">
        <v>3</v>
      </c>
      <c r="E49">
        <v>1</v>
      </c>
      <c r="F49">
        <v>1</v>
      </c>
      <c r="G49" t="s">
        <v>54</v>
      </c>
      <c r="H49" t="s">
        <v>55</v>
      </c>
      <c r="I49" t="s">
        <v>114</v>
      </c>
      <c r="J49" t="s">
        <v>98</v>
      </c>
      <c r="K49" t="s">
        <v>33</v>
      </c>
      <c r="L49">
        <v>1</v>
      </c>
      <c r="N49">
        <v>3</v>
      </c>
      <c r="O49" t="s">
        <v>34</v>
      </c>
      <c r="S49" t="s">
        <v>56</v>
      </c>
      <c r="T49">
        <v>3</v>
      </c>
      <c r="V49">
        <v>2</v>
      </c>
      <c r="W49" t="s">
        <v>68</v>
      </c>
      <c r="AA49" t="s">
        <v>227</v>
      </c>
      <c r="AB49">
        <v>2</v>
      </c>
      <c r="AC49">
        <v>1</v>
      </c>
      <c r="AD49">
        <v>1</v>
      </c>
      <c r="AE49" t="s">
        <v>228</v>
      </c>
      <c r="AI49">
        <v>11</v>
      </c>
      <c r="AJ49">
        <v>26</v>
      </c>
    </row>
    <row r="50" spans="1:36" x14ac:dyDescent="0.25">
      <c r="A50" t="s">
        <v>997</v>
      </c>
      <c r="B50">
        <v>48</v>
      </c>
      <c r="C50" t="s">
        <v>53</v>
      </c>
      <c r="D50">
        <v>1</v>
      </c>
      <c r="E50">
        <v>1</v>
      </c>
      <c r="F50">
        <v>1</v>
      </c>
      <c r="G50" t="s">
        <v>111</v>
      </c>
      <c r="H50" t="s">
        <v>113</v>
      </c>
      <c r="I50" t="s">
        <v>114</v>
      </c>
      <c r="K50" t="s">
        <v>33</v>
      </c>
      <c r="L50">
        <v>3</v>
      </c>
      <c r="N50">
        <v>3</v>
      </c>
      <c r="O50" t="s">
        <v>34</v>
      </c>
      <c r="S50" t="s">
        <v>48</v>
      </c>
      <c r="T50">
        <v>3</v>
      </c>
      <c r="V50">
        <v>1</v>
      </c>
      <c r="W50" t="s">
        <v>89</v>
      </c>
      <c r="X50" t="s">
        <v>50</v>
      </c>
      <c r="Y50" t="s">
        <v>127</v>
      </c>
      <c r="Z50" t="s">
        <v>129</v>
      </c>
      <c r="AA50" t="s">
        <v>43</v>
      </c>
      <c r="AB50">
        <v>2</v>
      </c>
      <c r="AD50">
        <v>1</v>
      </c>
      <c r="AE50" t="s">
        <v>73</v>
      </c>
      <c r="AF50" t="s">
        <v>136</v>
      </c>
      <c r="AI50">
        <v>13</v>
      </c>
      <c r="AJ50">
        <v>32</v>
      </c>
    </row>
    <row r="51" spans="1:36" x14ac:dyDescent="0.25">
      <c r="A51" t="s">
        <v>647</v>
      </c>
      <c r="B51">
        <v>49</v>
      </c>
      <c r="C51" t="s">
        <v>48</v>
      </c>
      <c r="D51">
        <v>2</v>
      </c>
      <c r="F51">
        <v>2</v>
      </c>
      <c r="G51" t="s">
        <v>49</v>
      </c>
      <c r="H51" t="s">
        <v>84</v>
      </c>
      <c r="I51" t="s">
        <v>127</v>
      </c>
      <c r="J51" t="s">
        <v>129</v>
      </c>
      <c r="K51" t="s">
        <v>45</v>
      </c>
      <c r="L51">
        <v>3</v>
      </c>
      <c r="N51">
        <v>3</v>
      </c>
      <c r="O51" t="s">
        <v>47</v>
      </c>
      <c r="P51" t="s">
        <v>76</v>
      </c>
      <c r="S51" t="s">
        <v>53</v>
      </c>
      <c r="T51">
        <v>3</v>
      </c>
      <c r="U51">
        <v>3</v>
      </c>
      <c r="V51">
        <v>3</v>
      </c>
      <c r="W51" t="s">
        <v>111</v>
      </c>
      <c r="X51" t="s">
        <v>83</v>
      </c>
      <c r="Y51" t="s">
        <v>105</v>
      </c>
      <c r="AA51" t="s">
        <v>33</v>
      </c>
      <c r="AB51">
        <v>1</v>
      </c>
      <c r="AD51">
        <v>3</v>
      </c>
      <c r="AE51" t="s">
        <v>46</v>
      </c>
      <c r="AI51">
        <v>20</v>
      </c>
      <c r="AJ51">
        <v>40</v>
      </c>
    </row>
    <row r="52" spans="1:36" x14ac:dyDescent="0.25">
      <c r="A52" t="s">
        <v>998</v>
      </c>
      <c r="B52">
        <v>50</v>
      </c>
      <c r="C52" t="s">
        <v>53</v>
      </c>
      <c r="D52">
        <v>3</v>
      </c>
      <c r="E52">
        <v>1</v>
      </c>
      <c r="F52">
        <v>1</v>
      </c>
      <c r="G52" t="s">
        <v>111</v>
      </c>
      <c r="H52" t="s">
        <v>83</v>
      </c>
      <c r="K52" t="s">
        <v>33</v>
      </c>
      <c r="L52">
        <v>1</v>
      </c>
      <c r="N52">
        <v>2</v>
      </c>
      <c r="O52" t="s">
        <v>46</v>
      </c>
      <c r="S52" t="s">
        <v>48</v>
      </c>
      <c r="T52">
        <v>2</v>
      </c>
      <c r="V52">
        <v>1</v>
      </c>
      <c r="W52" t="s">
        <v>89</v>
      </c>
      <c r="AA52" t="s">
        <v>63</v>
      </c>
      <c r="AB52">
        <v>3</v>
      </c>
      <c r="AD52">
        <v>1</v>
      </c>
      <c r="AE52" t="s">
        <v>72</v>
      </c>
      <c r="AF52" t="s">
        <v>91</v>
      </c>
      <c r="AI52">
        <v>8</v>
      </c>
      <c r="AJ52">
        <v>25</v>
      </c>
    </row>
    <row r="53" spans="1:36" x14ac:dyDescent="0.25">
      <c r="A53" t="s">
        <v>999</v>
      </c>
      <c r="B53">
        <v>51</v>
      </c>
      <c r="C53" t="s">
        <v>48</v>
      </c>
      <c r="D53">
        <v>3</v>
      </c>
      <c r="F53">
        <v>3</v>
      </c>
      <c r="G53" t="s">
        <v>89</v>
      </c>
      <c r="H53" t="s">
        <v>84</v>
      </c>
      <c r="I53" t="s">
        <v>127</v>
      </c>
      <c r="J53" t="s">
        <v>128</v>
      </c>
      <c r="K53" t="s">
        <v>38</v>
      </c>
      <c r="L53">
        <v>1</v>
      </c>
      <c r="M53">
        <v>1</v>
      </c>
      <c r="N53">
        <v>2</v>
      </c>
      <c r="O53" t="s">
        <v>152</v>
      </c>
      <c r="P53" t="s">
        <v>40</v>
      </c>
      <c r="S53" t="s">
        <v>53</v>
      </c>
      <c r="T53">
        <v>3</v>
      </c>
      <c r="U53">
        <v>1</v>
      </c>
      <c r="V53">
        <v>2</v>
      </c>
      <c r="W53" t="s">
        <v>111</v>
      </c>
      <c r="X53" t="s">
        <v>83</v>
      </c>
      <c r="Y53" t="s">
        <v>105</v>
      </c>
      <c r="AA53" t="s">
        <v>33</v>
      </c>
      <c r="AB53">
        <v>1</v>
      </c>
      <c r="AD53">
        <v>3</v>
      </c>
      <c r="AE53" t="s">
        <v>46</v>
      </c>
      <c r="AI53">
        <v>16</v>
      </c>
      <c r="AJ53">
        <v>39</v>
      </c>
    </row>
    <row r="54" spans="1:36" x14ac:dyDescent="0.25">
      <c r="A54" t="s">
        <v>1000</v>
      </c>
      <c r="B54">
        <v>52</v>
      </c>
      <c r="C54" t="s">
        <v>53</v>
      </c>
      <c r="D54">
        <v>3</v>
      </c>
      <c r="E54">
        <v>2</v>
      </c>
      <c r="F54">
        <v>1</v>
      </c>
      <c r="G54" t="s">
        <v>111</v>
      </c>
      <c r="H54" t="s">
        <v>83</v>
      </c>
      <c r="I54" t="s">
        <v>105</v>
      </c>
      <c r="K54" t="s">
        <v>33</v>
      </c>
      <c r="L54">
        <v>1</v>
      </c>
      <c r="N54">
        <v>2</v>
      </c>
      <c r="O54" t="s">
        <v>46</v>
      </c>
      <c r="S54" t="s">
        <v>48</v>
      </c>
      <c r="T54">
        <v>1</v>
      </c>
      <c r="V54">
        <v>1</v>
      </c>
      <c r="W54" t="s">
        <v>89</v>
      </c>
      <c r="AA54" t="s">
        <v>227</v>
      </c>
      <c r="AB54">
        <v>2</v>
      </c>
      <c r="AC54">
        <v>1</v>
      </c>
      <c r="AD54">
        <v>3</v>
      </c>
      <c r="AE54" t="s">
        <v>228</v>
      </c>
      <c r="AF54" t="s">
        <v>231</v>
      </c>
      <c r="AG54" t="s">
        <v>235</v>
      </c>
      <c r="AI54">
        <v>11</v>
      </c>
      <c r="AJ54">
        <v>28</v>
      </c>
    </row>
    <row r="55" spans="1:36" x14ac:dyDescent="0.25">
      <c r="A55" t="s">
        <v>1001</v>
      </c>
      <c r="B55">
        <v>53</v>
      </c>
      <c r="C55" t="s">
        <v>43</v>
      </c>
      <c r="D55">
        <v>1</v>
      </c>
      <c r="F55">
        <v>1</v>
      </c>
      <c r="G55" t="s">
        <v>73</v>
      </c>
      <c r="H55" t="s">
        <v>99</v>
      </c>
      <c r="K55" t="s">
        <v>45</v>
      </c>
      <c r="L55">
        <v>3</v>
      </c>
      <c r="N55">
        <v>2</v>
      </c>
      <c r="O55" t="s">
        <v>140</v>
      </c>
      <c r="S55" t="s">
        <v>53</v>
      </c>
      <c r="T55">
        <v>2</v>
      </c>
      <c r="U55">
        <v>1</v>
      </c>
      <c r="V55">
        <v>1</v>
      </c>
      <c r="W55" t="s">
        <v>111</v>
      </c>
      <c r="AA55" t="s">
        <v>33</v>
      </c>
      <c r="AB55">
        <v>1</v>
      </c>
      <c r="AD55">
        <v>3</v>
      </c>
      <c r="AE55" t="s">
        <v>34</v>
      </c>
      <c r="AI55">
        <v>7</v>
      </c>
      <c r="AJ55">
        <v>21</v>
      </c>
    </row>
    <row r="56" spans="1:36" x14ac:dyDescent="0.25">
      <c r="A56" t="s">
        <v>648</v>
      </c>
      <c r="B56">
        <v>54</v>
      </c>
      <c r="C56" t="s">
        <v>53</v>
      </c>
      <c r="D56">
        <v>1</v>
      </c>
      <c r="E56">
        <v>1</v>
      </c>
      <c r="F56">
        <v>1</v>
      </c>
      <c r="G56" t="s">
        <v>111</v>
      </c>
      <c r="H56" t="s">
        <v>113</v>
      </c>
      <c r="K56" t="s">
        <v>33</v>
      </c>
      <c r="L56">
        <v>2</v>
      </c>
      <c r="N56">
        <v>3</v>
      </c>
      <c r="O56" t="s">
        <v>34</v>
      </c>
      <c r="S56" t="s">
        <v>43</v>
      </c>
      <c r="T56">
        <v>2</v>
      </c>
      <c r="V56">
        <v>1</v>
      </c>
      <c r="W56" t="s">
        <v>73</v>
      </c>
      <c r="AA56" t="s">
        <v>63</v>
      </c>
      <c r="AB56">
        <v>2</v>
      </c>
      <c r="AD56">
        <v>1</v>
      </c>
      <c r="AE56" t="s">
        <v>72</v>
      </c>
      <c r="AF56" t="s">
        <v>95</v>
      </c>
      <c r="AG56" t="s">
        <v>104</v>
      </c>
      <c r="AI56">
        <v>8</v>
      </c>
      <c r="AJ56">
        <v>29</v>
      </c>
    </row>
    <row r="57" spans="1:36" x14ac:dyDescent="0.25">
      <c r="A57" t="s">
        <v>649</v>
      </c>
      <c r="B57">
        <v>55</v>
      </c>
      <c r="C57" t="s">
        <v>43</v>
      </c>
      <c r="D57">
        <v>2</v>
      </c>
      <c r="F57">
        <v>1</v>
      </c>
      <c r="G57" t="s">
        <v>135</v>
      </c>
      <c r="H57" t="s">
        <v>74</v>
      </c>
      <c r="K57" t="s">
        <v>38</v>
      </c>
      <c r="L57">
        <v>2</v>
      </c>
      <c r="M57">
        <v>1</v>
      </c>
      <c r="N57">
        <v>1</v>
      </c>
      <c r="O57" t="s">
        <v>152</v>
      </c>
      <c r="P57" t="s">
        <v>70</v>
      </c>
      <c r="S57" t="s">
        <v>53</v>
      </c>
      <c r="T57">
        <v>2</v>
      </c>
      <c r="U57">
        <v>1</v>
      </c>
      <c r="V57">
        <v>1</v>
      </c>
      <c r="W57" t="s">
        <v>111</v>
      </c>
      <c r="AA57" t="s">
        <v>33</v>
      </c>
      <c r="AB57">
        <v>2</v>
      </c>
      <c r="AD57">
        <v>1</v>
      </c>
      <c r="AE57" t="s">
        <v>34</v>
      </c>
      <c r="AI57">
        <v>6</v>
      </c>
      <c r="AJ57">
        <v>21</v>
      </c>
    </row>
    <row r="58" spans="1:36" x14ac:dyDescent="0.25">
      <c r="A58" t="s">
        <v>650</v>
      </c>
      <c r="B58">
        <v>56</v>
      </c>
      <c r="C58" t="s">
        <v>43</v>
      </c>
      <c r="D58">
        <v>3</v>
      </c>
      <c r="F58">
        <v>1</v>
      </c>
      <c r="G58" t="s">
        <v>135</v>
      </c>
      <c r="H58" t="s">
        <v>74</v>
      </c>
      <c r="I58" t="s">
        <v>75</v>
      </c>
      <c r="K58" t="s">
        <v>227</v>
      </c>
      <c r="L58">
        <v>2</v>
      </c>
      <c r="M58">
        <v>1</v>
      </c>
      <c r="N58">
        <v>1</v>
      </c>
      <c r="O58" t="s">
        <v>228</v>
      </c>
      <c r="S58" t="s">
        <v>53</v>
      </c>
      <c r="T58">
        <v>1</v>
      </c>
      <c r="U58">
        <v>1</v>
      </c>
      <c r="V58">
        <v>1</v>
      </c>
      <c r="W58" t="s">
        <v>111</v>
      </c>
      <c r="X58" t="s">
        <v>113</v>
      </c>
      <c r="Y58" t="s">
        <v>105</v>
      </c>
      <c r="AA58" t="s">
        <v>33</v>
      </c>
      <c r="AB58">
        <v>2</v>
      </c>
      <c r="AD58">
        <v>3</v>
      </c>
      <c r="AE58" t="s">
        <v>34</v>
      </c>
      <c r="AI58">
        <v>10</v>
      </c>
      <c r="AJ58">
        <v>22</v>
      </c>
    </row>
    <row r="59" spans="1:36" x14ac:dyDescent="0.25">
      <c r="A59" t="s">
        <v>651</v>
      </c>
      <c r="B59">
        <v>57</v>
      </c>
      <c r="C59" t="s">
        <v>53</v>
      </c>
      <c r="D59">
        <v>2</v>
      </c>
      <c r="E59">
        <v>1</v>
      </c>
      <c r="F59">
        <v>1</v>
      </c>
      <c r="G59" t="s">
        <v>111</v>
      </c>
      <c r="H59" t="s">
        <v>113</v>
      </c>
      <c r="K59" t="s">
        <v>33</v>
      </c>
      <c r="L59">
        <v>1</v>
      </c>
      <c r="N59">
        <v>3</v>
      </c>
      <c r="O59" t="s">
        <v>34</v>
      </c>
      <c r="S59" t="s">
        <v>45</v>
      </c>
      <c r="T59">
        <v>2</v>
      </c>
      <c r="V59">
        <v>1</v>
      </c>
      <c r="W59" t="s">
        <v>86</v>
      </c>
      <c r="AA59" t="s">
        <v>63</v>
      </c>
      <c r="AB59">
        <v>1</v>
      </c>
      <c r="AD59">
        <v>1</v>
      </c>
      <c r="AE59" t="s">
        <v>72</v>
      </c>
      <c r="AF59" t="s">
        <v>95</v>
      </c>
      <c r="AI59">
        <v>6</v>
      </c>
      <c r="AJ59">
        <v>21</v>
      </c>
    </row>
    <row r="60" spans="1:36" x14ac:dyDescent="0.25">
      <c r="A60" s="39" t="s">
        <v>652</v>
      </c>
      <c r="B60">
        <v>58</v>
      </c>
      <c r="C60" t="s">
        <v>45</v>
      </c>
      <c r="D60">
        <v>3</v>
      </c>
      <c r="F60">
        <v>1</v>
      </c>
      <c r="G60" t="s">
        <v>140</v>
      </c>
      <c r="K60" t="s">
        <v>38</v>
      </c>
      <c r="L60">
        <v>1</v>
      </c>
      <c r="M60">
        <v>2</v>
      </c>
      <c r="N60">
        <v>1</v>
      </c>
      <c r="O60" t="s">
        <v>152</v>
      </c>
      <c r="P60" t="s">
        <v>70</v>
      </c>
      <c r="S60" t="s">
        <v>53</v>
      </c>
      <c r="T60">
        <v>1</v>
      </c>
      <c r="U60">
        <v>3</v>
      </c>
      <c r="V60">
        <v>1</v>
      </c>
      <c r="W60" t="s">
        <v>111</v>
      </c>
      <c r="AA60" t="s">
        <v>33</v>
      </c>
      <c r="AB60">
        <v>1</v>
      </c>
      <c r="AD60">
        <v>1</v>
      </c>
      <c r="AE60" t="s">
        <v>34</v>
      </c>
      <c r="AI60">
        <v>6</v>
      </c>
      <c r="AJ60">
        <v>23</v>
      </c>
    </row>
    <row r="61" spans="1:36" x14ac:dyDescent="0.25">
      <c r="A61" t="s">
        <v>653</v>
      </c>
      <c r="B61">
        <v>59</v>
      </c>
      <c r="C61" t="s">
        <v>45</v>
      </c>
      <c r="D61">
        <v>3</v>
      </c>
      <c r="F61">
        <v>1</v>
      </c>
      <c r="G61" t="s">
        <v>47</v>
      </c>
      <c r="K61" t="s">
        <v>227</v>
      </c>
      <c r="L61">
        <v>2</v>
      </c>
      <c r="M61">
        <v>1</v>
      </c>
      <c r="N61">
        <v>2</v>
      </c>
      <c r="O61" t="s">
        <v>228</v>
      </c>
      <c r="P61" t="s">
        <v>231</v>
      </c>
      <c r="S61" t="s">
        <v>53</v>
      </c>
      <c r="T61">
        <v>3</v>
      </c>
      <c r="U61">
        <v>2</v>
      </c>
      <c r="V61">
        <v>1</v>
      </c>
      <c r="W61" t="s">
        <v>111</v>
      </c>
      <c r="X61" t="s">
        <v>83</v>
      </c>
      <c r="AA61" t="s">
        <v>33</v>
      </c>
      <c r="AB61">
        <v>1</v>
      </c>
      <c r="AD61">
        <v>2</v>
      </c>
      <c r="AE61" t="s">
        <v>34</v>
      </c>
      <c r="AI61">
        <v>10</v>
      </c>
      <c r="AJ61">
        <v>25</v>
      </c>
    </row>
    <row r="62" spans="1:36" x14ac:dyDescent="0.25">
      <c r="A62" t="s">
        <v>654</v>
      </c>
      <c r="B62">
        <v>60</v>
      </c>
      <c r="C62" t="s">
        <v>53</v>
      </c>
      <c r="D62">
        <v>2</v>
      </c>
      <c r="E62">
        <v>1</v>
      </c>
      <c r="F62">
        <v>1</v>
      </c>
      <c r="G62" t="s">
        <v>111</v>
      </c>
      <c r="K62" t="s">
        <v>33</v>
      </c>
      <c r="L62">
        <v>3</v>
      </c>
      <c r="N62">
        <v>2</v>
      </c>
      <c r="O62" t="s">
        <v>46</v>
      </c>
      <c r="S62" t="s">
        <v>63</v>
      </c>
      <c r="T62">
        <v>2</v>
      </c>
      <c r="V62">
        <v>1</v>
      </c>
      <c r="W62" t="s">
        <v>72</v>
      </c>
      <c r="X62" t="s">
        <v>95</v>
      </c>
      <c r="Y62" t="s">
        <v>104</v>
      </c>
      <c r="Z62" t="s">
        <v>151</v>
      </c>
      <c r="AA62" t="s">
        <v>38</v>
      </c>
      <c r="AB62">
        <v>1</v>
      </c>
      <c r="AC62">
        <v>1</v>
      </c>
      <c r="AD62">
        <v>2</v>
      </c>
      <c r="AE62" t="s">
        <v>152</v>
      </c>
      <c r="AI62">
        <v>9</v>
      </c>
      <c r="AJ62">
        <v>26</v>
      </c>
    </row>
    <row r="63" spans="1:36" x14ac:dyDescent="0.25">
      <c r="A63" t="s">
        <v>655</v>
      </c>
      <c r="B63">
        <v>61</v>
      </c>
      <c r="C63" t="s">
        <v>53</v>
      </c>
      <c r="D63">
        <v>1</v>
      </c>
      <c r="E63">
        <v>2</v>
      </c>
      <c r="F63">
        <v>1</v>
      </c>
      <c r="G63" t="s">
        <v>111</v>
      </c>
      <c r="H63" t="s">
        <v>113</v>
      </c>
      <c r="K63" t="s">
        <v>33</v>
      </c>
      <c r="L63">
        <v>1</v>
      </c>
      <c r="N63">
        <v>3</v>
      </c>
      <c r="O63" t="s">
        <v>34</v>
      </c>
      <c r="S63" t="s">
        <v>63</v>
      </c>
      <c r="T63">
        <v>3</v>
      </c>
      <c r="V63">
        <v>1</v>
      </c>
      <c r="W63" t="s">
        <v>72</v>
      </c>
      <c r="X63" t="s">
        <v>91</v>
      </c>
      <c r="AA63" t="s">
        <v>227</v>
      </c>
      <c r="AB63">
        <v>2</v>
      </c>
      <c r="AC63">
        <v>1</v>
      </c>
      <c r="AD63">
        <v>1</v>
      </c>
      <c r="AE63" t="s">
        <v>228</v>
      </c>
      <c r="AF63" t="s">
        <v>231</v>
      </c>
      <c r="AI63">
        <v>9</v>
      </c>
      <c r="AJ63">
        <v>26</v>
      </c>
    </row>
    <row r="64" spans="1:36" x14ac:dyDescent="0.25">
      <c r="A64" t="s">
        <v>656</v>
      </c>
      <c r="B64">
        <v>62</v>
      </c>
      <c r="C64" t="s">
        <v>38</v>
      </c>
      <c r="D64">
        <v>2</v>
      </c>
      <c r="E64">
        <v>3</v>
      </c>
      <c r="F64">
        <v>1</v>
      </c>
      <c r="G64" t="s">
        <v>152</v>
      </c>
      <c r="H64" t="s">
        <v>70</v>
      </c>
      <c r="K64" t="s">
        <v>227</v>
      </c>
      <c r="L64">
        <v>2</v>
      </c>
      <c r="M64">
        <v>1</v>
      </c>
      <c r="N64">
        <v>3</v>
      </c>
      <c r="O64" t="s">
        <v>228</v>
      </c>
      <c r="P64" t="s">
        <v>231</v>
      </c>
      <c r="Q64" t="s">
        <v>235</v>
      </c>
      <c r="S64" t="s">
        <v>53</v>
      </c>
      <c r="T64">
        <v>2</v>
      </c>
      <c r="U64">
        <v>3</v>
      </c>
      <c r="V64">
        <v>2</v>
      </c>
      <c r="W64" t="s">
        <v>111</v>
      </c>
      <c r="X64" t="s">
        <v>83</v>
      </c>
      <c r="Y64" t="s">
        <v>105</v>
      </c>
      <c r="AA64" t="s">
        <v>33</v>
      </c>
      <c r="AB64">
        <v>1</v>
      </c>
      <c r="AD64">
        <v>1</v>
      </c>
      <c r="AE64" t="s">
        <v>65</v>
      </c>
      <c r="AI64">
        <v>15</v>
      </c>
      <c r="AJ64">
        <v>37</v>
      </c>
    </row>
    <row r="65" spans="1:36" x14ac:dyDescent="0.25">
      <c r="A65" t="s">
        <v>657</v>
      </c>
      <c r="B65">
        <v>63</v>
      </c>
      <c r="C65" t="s">
        <v>53</v>
      </c>
      <c r="D65">
        <v>2</v>
      </c>
      <c r="E65">
        <v>1</v>
      </c>
      <c r="F65">
        <v>1</v>
      </c>
      <c r="G65" t="s">
        <v>111</v>
      </c>
      <c r="H65" t="s">
        <v>83</v>
      </c>
      <c r="K65" t="s">
        <v>43</v>
      </c>
      <c r="L65">
        <v>2</v>
      </c>
      <c r="N65">
        <v>1</v>
      </c>
      <c r="O65" t="s">
        <v>73</v>
      </c>
      <c r="P65" t="s">
        <v>99</v>
      </c>
      <c r="Q65" t="s">
        <v>75</v>
      </c>
      <c r="S65" t="s">
        <v>56</v>
      </c>
      <c r="T65">
        <v>1</v>
      </c>
      <c r="V65">
        <v>1</v>
      </c>
      <c r="W65" t="s">
        <v>57</v>
      </c>
      <c r="X65" t="s">
        <v>121</v>
      </c>
      <c r="AA65" t="s">
        <v>48</v>
      </c>
      <c r="AB65">
        <v>3</v>
      </c>
      <c r="AD65">
        <v>3</v>
      </c>
      <c r="AE65" t="s">
        <v>89</v>
      </c>
      <c r="AF65" t="s">
        <v>71</v>
      </c>
      <c r="AI65">
        <v>11</v>
      </c>
      <c r="AJ65">
        <v>28</v>
      </c>
    </row>
    <row r="66" spans="1:36" x14ac:dyDescent="0.25">
      <c r="A66" t="s">
        <v>658</v>
      </c>
      <c r="B66">
        <v>64</v>
      </c>
      <c r="C66" t="s">
        <v>53</v>
      </c>
      <c r="D66">
        <v>3</v>
      </c>
      <c r="E66">
        <v>2</v>
      </c>
      <c r="F66">
        <v>1</v>
      </c>
      <c r="G66" t="s">
        <v>111</v>
      </c>
      <c r="H66" t="s">
        <v>83</v>
      </c>
      <c r="I66" t="s">
        <v>114</v>
      </c>
      <c r="J66" t="s">
        <v>98</v>
      </c>
      <c r="K66" t="s">
        <v>43</v>
      </c>
      <c r="L66">
        <v>3</v>
      </c>
      <c r="N66">
        <v>1</v>
      </c>
      <c r="O66" t="s">
        <v>73</v>
      </c>
      <c r="P66" t="s">
        <v>136</v>
      </c>
      <c r="Q66" t="s">
        <v>137</v>
      </c>
      <c r="S66" t="s">
        <v>56</v>
      </c>
      <c r="T66">
        <v>3</v>
      </c>
      <c r="V66">
        <v>3</v>
      </c>
      <c r="W66" t="s">
        <v>68</v>
      </c>
      <c r="X66" t="s">
        <v>121</v>
      </c>
      <c r="Y66" t="s">
        <v>87</v>
      </c>
      <c r="Z66" t="s">
        <v>88</v>
      </c>
      <c r="AA66" t="s">
        <v>33</v>
      </c>
      <c r="AB66">
        <v>1</v>
      </c>
      <c r="AD66">
        <v>3</v>
      </c>
      <c r="AE66" t="s">
        <v>34</v>
      </c>
      <c r="AI66">
        <v>19</v>
      </c>
      <c r="AJ66">
        <v>45</v>
      </c>
    </row>
    <row r="67" spans="1:36" x14ac:dyDescent="0.25">
      <c r="A67" t="s">
        <v>659</v>
      </c>
      <c r="B67">
        <v>65</v>
      </c>
      <c r="C67" t="s">
        <v>53</v>
      </c>
      <c r="D67">
        <v>2</v>
      </c>
      <c r="E67">
        <v>1</v>
      </c>
      <c r="F67">
        <v>1</v>
      </c>
      <c r="G67" t="s">
        <v>111</v>
      </c>
      <c r="H67" t="s">
        <v>113</v>
      </c>
      <c r="I67" t="s">
        <v>105</v>
      </c>
      <c r="K67" t="s">
        <v>43</v>
      </c>
      <c r="L67">
        <v>3</v>
      </c>
      <c r="N67">
        <v>1</v>
      </c>
      <c r="O67" t="s">
        <v>73</v>
      </c>
      <c r="P67" t="s">
        <v>99</v>
      </c>
      <c r="Q67" t="s">
        <v>100</v>
      </c>
      <c r="R67" t="s">
        <v>139</v>
      </c>
      <c r="S67" t="s">
        <v>56</v>
      </c>
      <c r="T67">
        <v>3</v>
      </c>
      <c r="V67">
        <v>1</v>
      </c>
      <c r="W67" t="s">
        <v>57</v>
      </c>
      <c r="AA67" t="s">
        <v>45</v>
      </c>
      <c r="AB67">
        <v>3</v>
      </c>
      <c r="AD67">
        <v>1</v>
      </c>
      <c r="AE67" t="s">
        <v>86</v>
      </c>
      <c r="AI67">
        <v>12</v>
      </c>
      <c r="AJ67">
        <v>28</v>
      </c>
    </row>
    <row r="68" spans="1:36" x14ac:dyDescent="0.25">
      <c r="A68" t="s">
        <v>660</v>
      </c>
      <c r="B68">
        <v>66</v>
      </c>
      <c r="C68" t="s">
        <v>53</v>
      </c>
      <c r="D68">
        <v>3</v>
      </c>
      <c r="E68">
        <v>1</v>
      </c>
      <c r="F68">
        <v>1</v>
      </c>
      <c r="G68" t="s">
        <v>111</v>
      </c>
      <c r="H68" t="s">
        <v>83</v>
      </c>
      <c r="K68" t="s">
        <v>43</v>
      </c>
      <c r="L68">
        <v>1</v>
      </c>
      <c r="N68">
        <v>1</v>
      </c>
      <c r="O68" t="s">
        <v>73</v>
      </c>
      <c r="P68" t="s">
        <v>99</v>
      </c>
      <c r="Q68" t="s">
        <v>100</v>
      </c>
      <c r="R68" t="s">
        <v>101</v>
      </c>
      <c r="S68" t="s">
        <v>56</v>
      </c>
      <c r="T68">
        <v>2</v>
      </c>
      <c r="V68">
        <v>1</v>
      </c>
      <c r="W68" t="s">
        <v>57</v>
      </c>
      <c r="AA68" t="s">
        <v>63</v>
      </c>
      <c r="AB68">
        <v>3</v>
      </c>
      <c r="AD68">
        <v>1</v>
      </c>
      <c r="AE68" t="s">
        <v>72</v>
      </c>
      <c r="AF68" t="s">
        <v>91</v>
      </c>
      <c r="AG68" t="s">
        <v>147</v>
      </c>
      <c r="AI68">
        <v>11</v>
      </c>
      <c r="AJ68">
        <v>28</v>
      </c>
    </row>
    <row r="69" spans="1:36" x14ac:dyDescent="0.25">
      <c r="A69" t="s">
        <v>661</v>
      </c>
      <c r="B69">
        <v>67</v>
      </c>
      <c r="C69" t="s">
        <v>56</v>
      </c>
      <c r="D69">
        <v>3</v>
      </c>
      <c r="F69">
        <v>2</v>
      </c>
      <c r="G69" t="s">
        <v>68</v>
      </c>
      <c r="H69" t="s">
        <v>69</v>
      </c>
      <c r="K69" t="s">
        <v>38</v>
      </c>
      <c r="L69">
        <v>2</v>
      </c>
      <c r="M69">
        <v>1</v>
      </c>
      <c r="N69">
        <v>3</v>
      </c>
      <c r="O69" t="s">
        <v>152</v>
      </c>
      <c r="P69" t="s">
        <v>70</v>
      </c>
      <c r="Q69" t="s">
        <v>41</v>
      </c>
      <c r="R69" t="s">
        <v>155</v>
      </c>
      <c r="S69" t="s">
        <v>53</v>
      </c>
      <c r="T69">
        <v>3</v>
      </c>
      <c r="U69">
        <v>1</v>
      </c>
      <c r="V69">
        <v>1</v>
      </c>
      <c r="W69" t="s">
        <v>111</v>
      </c>
      <c r="X69" t="s">
        <v>55</v>
      </c>
      <c r="AA69" t="s">
        <v>43</v>
      </c>
      <c r="AB69">
        <v>1</v>
      </c>
      <c r="AD69">
        <v>1</v>
      </c>
      <c r="AE69" t="s">
        <v>73</v>
      </c>
      <c r="AF69" t="s">
        <v>99</v>
      </c>
      <c r="AG69" t="s">
        <v>100</v>
      </c>
      <c r="AH69" t="s">
        <v>101</v>
      </c>
      <c r="AI69">
        <v>16</v>
      </c>
      <c r="AJ69">
        <v>52</v>
      </c>
    </row>
    <row r="70" spans="1:36" x14ac:dyDescent="0.25">
      <c r="A70" t="s">
        <v>662</v>
      </c>
      <c r="B70">
        <v>68</v>
      </c>
      <c r="C70" t="s">
        <v>53</v>
      </c>
      <c r="D70">
        <v>2</v>
      </c>
      <c r="E70">
        <v>1</v>
      </c>
      <c r="F70">
        <v>2</v>
      </c>
      <c r="G70" t="s">
        <v>111</v>
      </c>
      <c r="H70" t="s">
        <v>55</v>
      </c>
      <c r="K70" t="s">
        <v>43</v>
      </c>
      <c r="L70">
        <v>1</v>
      </c>
      <c r="N70">
        <v>2</v>
      </c>
      <c r="O70" t="s">
        <v>73</v>
      </c>
      <c r="P70" t="s">
        <v>99</v>
      </c>
      <c r="Q70" t="s">
        <v>100</v>
      </c>
      <c r="R70" t="s">
        <v>138</v>
      </c>
      <c r="S70" t="s">
        <v>56</v>
      </c>
      <c r="T70">
        <v>3</v>
      </c>
      <c r="V70">
        <v>2</v>
      </c>
      <c r="W70" t="s">
        <v>57</v>
      </c>
      <c r="AA70" t="s">
        <v>227</v>
      </c>
      <c r="AB70">
        <v>1</v>
      </c>
      <c r="AC70">
        <v>1</v>
      </c>
      <c r="AD70">
        <v>1</v>
      </c>
      <c r="AE70" t="s">
        <v>228</v>
      </c>
      <c r="AI70">
        <v>10</v>
      </c>
      <c r="AJ70">
        <v>23</v>
      </c>
    </row>
    <row r="71" spans="1:36" x14ac:dyDescent="0.25">
      <c r="A71" t="s">
        <v>663</v>
      </c>
      <c r="B71">
        <v>69</v>
      </c>
      <c r="C71" t="s">
        <v>53</v>
      </c>
      <c r="D71">
        <v>3</v>
      </c>
      <c r="E71">
        <v>1</v>
      </c>
      <c r="F71">
        <v>1</v>
      </c>
      <c r="G71" t="s">
        <v>111</v>
      </c>
      <c r="K71" t="s">
        <v>43</v>
      </c>
      <c r="L71">
        <v>2</v>
      </c>
      <c r="N71">
        <v>1</v>
      </c>
      <c r="O71" t="s">
        <v>73</v>
      </c>
      <c r="P71" t="s">
        <v>136</v>
      </c>
      <c r="Q71" t="s">
        <v>137</v>
      </c>
      <c r="R71" t="s">
        <v>101</v>
      </c>
      <c r="S71" t="s">
        <v>48</v>
      </c>
      <c r="T71">
        <v>1</v>
      </c>
      <c r="V71">
        <v>1</v>
      </c>
      <c r="W71" t="s">
        <v>89</v>
      </c>
      <c r="X71" t="s">
        <v>84</v>
      </c>
      <c r="Y71" t="s">
        <v>127</v>
      </c>
      <c r="AA71" t="s">
        <v>33</v>
      </c>
      <c r="AB71">
        <v>3</v>
      </c>
      <c r="AD71">
        <v>2</v>
      </c>
      <c r="AE71" t="s">
        <v>34</v>
      </c>
      <c r="AI71">
        <v>11</v>
      </c>
      <c r="AJ71">
        <v>28</v>
      </c>
    </row>
    <row r="72" spans="1:36" x14ac:dyDescent="0.25">
      <c r="A72" t="s">
        <v>664</v>
      </c>
      <c r="B72">
        <v>70</v>
      </c>
      <c r="C72" t="s">
        <v>48</v>
      </c>
      <c r="D72">
        <v>3</v>
      </c>
      <c r="F72">
        <v>1</v>
      </c>
      <c r="G72" t="s">
        <v>89</v>
      </c>
      <c r="H72" t="s">
        <v>71</v>
      </c>
      <c r="K72" t="s">
        <v>45</v>
      </c>
      <c r="L72">
        <v>2</v>
      </c>
      <c r="N72">
        <v>1</v>
      </c>
      <c r="O72" t="s">
        <v>86</v>
      </c>
      <c r="S72" t="s">
        <v>53</v>
      </c>
      <c r="T72">
        <v>2</v>
      </c>
      <c r="U72">
        <v>1</v>
      </c>
      <c r="V72">
        <v>1</v>
      </c>
      <c r="W72" t="s">
        <v>111</v>
      </c>
      <c r="X72" t="s">
        <v>83</v>
      </c>
      <c r="Y72" t="s">
        <v>105</v>
      </c>
      <c r="AA72" t="s">
        <v>43</v>
      </c>
      <c r="AB72">
        <v>1</v>
      </c>
      <c r="AD72">
        <v>1</v>
      </c>
      <c r="AE72" t="s">
        <v>73</v>
      </c>
      <c r="AI72">
        <v>7</v>
      </c>
      <c r="AJ72">
        <v>22</v>
      </c>
    </row>
    <row r="73" spans="1:36" x14ac:dyDescent="0.25">
      <c r="A73" t="s">
        <v>665</v>
      </c>
      <c r="B73">
        <v>71</v>
      </c>
      <c r="C73" t="s">
        <v>48</v>
      </c>
      <c r="D73">
        <v>3</v>
      </c>
      <c r="F73">
        <v>3</v>
      </c>
      <c r="G73" t="s">
        <v>89</v>
      </c>
      <c r="H73" t="s">
        <v>84</v>
      </c>
      <c r="I73" t="s">
        <v>90</v>
      </c>
      <c r="J73" t="s">
        <v>129</v>
      </c>
      <c r="K73" t="s">
        <v>63</v>
      </c>
      <c r="L73">
        <v>2</v>
      </c>
      <c r="N73">
        <v>1</v>
      </c>
      <c r="O73" t="s">
        <v>72</v>
      </c>
      <c r="P73" t="s">
        <v>95</v>
      </c>
      <c r="S73" t="s">
        <v>53</v>
      </c>
      <c r="T73">
        <v>1</v>
      </c>
      <c r="U73">
        <v>1</v>
      </c>
      <c r="V73">
        <v>1</v>
      </c>
      <c r="W73" t="s">
        <v>111</v>
      </c>
      <c r="X73" t="s">
        <v>113</v>
      </c>
      <c r="AA73" t="s">
        <v>43</v>
      </c>
      <c r="AB73">
        <v>3</v>
      </c>
      <c r="AD73">
        <v>3</v>
      </c>
      <c r="AE73" t="s">
        <v>73</v>
      </c>
      <c r="AF73" t="s">
        <v>74</v>
      </c>
      <c r="AG73" t="s">
        <v>100</v>
      </c>
      <c r="AH73" t="s">
        <v>139</v>
      </c>
      <c r="AI73">
        <v>17</v>
      </c>
      <c r="AJ73">
        <v>37</v>
      </c>
    </row>
    <row r="74" spans="1:36" x14ac:dyDescent="0.25">
      <c r="A74" t="s">
        <v>666</v>
      </c>
      <c r="B74">
        <v>72</v>
      </c>
      <c r="C74" t="s">
        <v>48</v>
      </c>
      <c r="D74">
        <v>3</v>
      </c>
      <c r="F74">
        <v>1</v>
      </c>
      <c r="G74" t="s">
        <v>89</v>
      </c>
      <c r="K74" t="s">
        <v>38</v>
      </c>
      <c r="L74">
        <v>1</v>
      </c>
      <c r="M74">
        <v>1</v>
      </c>
      <c r="N74">
        <v>1</v>
      </c>
      <c r="O74" t="s">
        <v>152</v>
      </c>
      <c r="P74" t="s">
        <v>70</v>
      </c>
      <c r="S74" t="s">
        <v>53</v>
      </c>
      <c r="T74">
        <v>3</v>
      </c>
      <c r="U74">
        <v>1</v>
      </c>
      <c r="V74">
        <v>1</v>
      </c>
      <c r="W74" t="s">
        <v>111</v>
      </c>
      <c r="AA74" t="s">
        <v>43</v>
      </c>
      <c r="AB74">
        <v>1</v>
      </c>
      <c r="AD74">
        <v>1</v>
      </c>
      <c r="AE74" t="s">
        <v>73</v>
      </c>
      <c r="AF74" t="s">
        <v>136</v>
      </c>
      <c r="AG74" t="s">
        <v>137</v>
      </c>
      <c r="AI74">
        <v>7</v>
      </c>
      <c r="AJ74">
        <v>29</v>
      </c>
    </row>
    <row r="75" spans="1:36" x14ac:dyDescent="0.25">
      <c r="A75" t="s">
        <v>667</v>
      </c>
      <c r="B75">
        <v>73</v>
      </c>
      <c r="C75" t="s">
        <v>48</v>
      </c>
      <c r="D75">
        <v>3</v>
      </c>
      <c r="F75">
        <v>3</v>
      </c>
      <c r="G75" t="s">
        <v>89</v>
      </c>
      <c r="H75" t="s">
        <v>84</v>
      </c>
      <c r="I75" t="s">
        <v>90</v>
      </c>
      <c r="K75" t="s">
        <v>227</v>
      </c>
      <c r="L75">
        <v>1</v>
      </c>
      <c r="M75">
        <v>1</v>
      </c>
      <c r="N75">
        <v>1</v>
      </c>
      <c r="O75" t="s">
        <v>228</v>
      </c>
      <c r="S75" t="s">
        <v>53</v>
      </c>
      <c r="T75">
        <v>3</v>
      </c>
      <c r="U75">
        <v>1</v>
      </c>
      <c r="V75">
        <v>1</v>
      </c>
      <c r="W75" t="s">
        <v>111</v>
      </c>
      <c r="X75" t="s">
        <v>83</v>
      </c>
      <c r="Y75" t="s">
        <v>114</v>
      </c>
      <c r="AA75" t="s">
        <v>43</v>
      </c>
      <c r="AB75">
        <v>3</v>
      </c>
      <c r="AD75">
        <v>1</v>
      </c>
      <c r="AE75" t="s">
        <v>73</v>
      </c>
      <c r="AF75" t="s">
        <v>74</v>
      </c>
      <c r="AI75">
        <v>13</v>
      </c>
      <c r="AJ75">
        <v>51</v>
      </c>
    </row>
    <row r="76" spans="1:36" x14ac:dyDescent="0.25">
      <c r="A76" t="s">
        <v>668</v>
      </c>
      <c r="B76">
        <v>74</v>
      </c>
      <c r="C76" t="s">
        <v>33</v>
      </c>
      <c r="D76">
        <v>3</v>
      </c>
      <c r="F76">
        <v>3</v>
      </c>
      <c r="G76" t="s">
        <v>34</v>
      </c>
      <c r="K76" t="s">
        <v>45</v>
      </c>
      <c r="L76">
        <v>3</v>
      </c>
      <c r="N76">
        <v>1</v>
      </c>
      <c r="O76" t="s">
        <v>140</v>
      </c>
      <c r="S76" t="s">
        <v>53</v>
      </c>
      <c r="T76">
        <v>2</v>
      </c>
      <c r="U76">
        <v>1</v>
      </c>
      <c r="V76">
        <v>1</v>
      </c>
      <c r="W76" t="s">
        <v>111</v>
      </c>
      <c r="AA76" t="s">
        <v>43</v>
      </c>
      <c r="AB76">
        <v>3</v>
      </c>
      <c r="AD76">
        <v>1</v>
      </c>
      <c r="AE76" t="s">
        <v>73</v>
      </c>
      <c r="AF76" t="s">
        <v>136</v>
      </c>
      <c r="AG76" t="s">
        <v>100</v>
      </c>
      <c r="AH76" t="s">
        <v>101</v>
      </c>
      <c r="AI76">
        <v>12</v>
      </c>
      <c r="AJ76">
        <v>31</v>
      </c>
    </row>
    <row r="77" spans="1:36" x14ac:dyDescent="0.25">
      <c r="A77" t="s">
        <v>669</v>
      </c>
      <c r="B77">
        <v>75</v>
      </c>
      <c r="C77" t="s">
        <v>53</v>
      </c>
      <c r="D77">
        <v>2</v>
      </c>
      <c r="E77">
        <v>1</v>
      </c>
      <c r="F77">
        <v>1</v>
      </c>
      <c r="G77" t="s">
        <v>111</v>
      </c>
      <c r="H77" t="s">
        <v>83</v>
      </c>
      <c r="I77" t="s">
        <v>97</v>
      </c>
      <c r="K77" t="s">
        <v>43</v>
      </c>
      <c r="L77">
        <v>2</v>
      </c>
      <c r="N77">
        <v>1</v>
      </c>
      <c r="O77" t="s">
        <v>73</v>
      </c>
      <c r="P77" t="s">
        <v>136</v>
      </c>
      <c r="Q77" t="s">
        <v>75</v>
      </c>
      <c r="R77" t="s">
        <v>101</v>
      </c>
      <c r="S77" t="s">
        <v>33</v>
      </c>
      <c r="T77">
        <v>2</v>
      </c>
      <c r="V77">
        <v>2</v>
      </c>
      <c r="W77" t="s">
        <v>34</v>
      </c>
      <c r="AA77" t="s">
        <v>63</v>
      </c>
      <c r="AB77">
        <v>2</v>
      </c>
      <c r="AD77">
        <v>1</v>
      </c>
      <c r="AE77" t="s">
        <v>72</v>
      </c>
      <c r="AF77" t="s">
        <v>95</v>
      </c>
      <c r="AG77" t="s">
        <v>104</v>
      </c>
      <c r="AI77">
        <v>12</v>
      </c>
      <c r="AJ77">
        <v>32</v>
      </c>
    </row>
    <row r="78" spans="1:36" x14ac:dyDescent="0.25">
      <c r="A78" t="s">
        <v>670</v>
      </c>
      <c r="B78">
        <v>76</v>
      </c>
      <c r="C78" t="s">
        <v>33</v>
      </c>
      <c r="D78">
        <v>3</v>
      </c>
      <c r="F78">
        <v>3</v>
      </c>
      <c r="G78" t="s">
        <v>34</v>
      </c>
      <c r="K78" t="s">
        <v>38</v>
      </c>
      <c r="L78">
        <v>1</v>
      </c>
      <c r="M78">
        <v>1</v>
      </c>
      <c r="N78">
        <v>1</v>
      </c>
      <c r="O78" t="s">
        <v>67</v>
      </c>
      <c r="S78" t="s">
        <v>53</v>
      </c>
      <c r="T78">
        <v>1</v>
      </c>
      <c r="U78">
        <v>1</v>
      </c>
      <c r="V78">
        <v>1</v>
      </c>
      <c r="W78" t="s">
        <v>111</v>
      </c>
      <c r="AA78" t="s">
        <v>43</v>
      </c>
      <c r="AB78">
        <v>1</v>
      </c>
      <c r="AD78">
        <v>1</v>
      </c>
      <c r="AE78" t="s">
        <v>73</v>
      </c>
      <c r="AF78" t="s">
        <v>136</v>
      </c>
      <c r="AG78" t="s">
        <v>137</v>
      </c>
      <c r="AH78" t="s">
        <v>101</v>
      </c>
      <c r="AI78">
        <v>7</v>
      </c>
      <c r="AJ78">
        <v>20</v>
      </c>
    </row>
    <row r="79" spans="1:36" x14ac:dyDescent="0.25">
      <c r="A79" t="s">
        <v>671</v>
      </c>
      <c r="B79">
        <v>77</v>
      </c>
      <c r="C79" t="s">
        <v>33</v>
      </c>
      <c r="D79">
        <v>3</v>
      </c>
      <c r="F79">
        <v>3</v>
      </c>
      <c r="G79" t="s">
        <v>34</v>
      </c>
      <c r="K79" t="s">
        <v>227</v>
      </c>
      <c r="L79">
        <v>1</v>
      </c>
      <c r="M79">
        <v>1</v>
      </c>
      <c r="N79">
        <v>1</v>
      </c>
      <c r="O79" t="s">
        <v>228</v>
      </c>
      <c r="S79" t="s">
        <v>53</v>
      </c>
      <c r="T79">
        <v>2</v>
      </c>
      <c r="U79">
        <v>1</v>
      </c>
      <c r="V79">
        <v>1</v>
      </c>
      <c r="W79" t="s">
        <v>111</v>
      </c>
      <c r="AA79" t="s">
        <v>43</v>
      </c>
      <c r="AB79">
        <v>2</v>
      </c>
      <c r="AD79">
        <v>1</v>
      </c>
      <c r="AE79" t="s">
        <v>73</v>
      </c>
      <c r="AF79" t="s">
        <v>136</v>
      </c>
      <c r="AG79" t="s">
        <v>137</v>
      </c>
      <c r="AI79">
        <v>8</v>
      </c>
      <c r="AJ79">
        <v>30</v>
      </c>
    </row>
    <row r="80" spans="1:36" x14ac:dyDescent="0.25">
      <c r="A80" t="s">
        <v>672</v>
      </c>
      <c r="B80">
        <v>78</v>
      </c>
      <c r="C80" t="s">
        <v>53</v>
      </c>
      <c r="D80">
        <v>3</v>
      </c>
      <c r="E80">
        <v>1</v>
      </c>
      <c r="F80">
        <v>1</v>
      </c>
      <c r="G80" t="s">
        <v>111</v>
      </c>
      <c r="K80" t="s">
        <v>43</v>
      </c>
      <c r="L80">
        <v>2</v>
      </c>
      <c r="N80">
        <v>1</v>
      </c>
      <c r="O80" t="s">
        <v>73</v>
      </c>
      <c r="P80" t="s">
        <v>74</v>
      </c>
      <c r="Q80" t="s">
        <v>100</v>
      </c>
      <c r="R80" t="s">
        <v>101</v>
      </c>
      <c r="S80" t="s">
        <v>45</v>
      </c>
      <c r="T80">
        <v>3</v>
      </c>
      <c r="V80">
        <v>1</v>
      </c>
      <c r="W80" t="s">
        <v>86</v>
      </c>
      <c r="AA80" t="s">
        <v>63</v>
      </c>
      <c r="AB80">
        <v>2</v>
      </c>
      <c r="AD80">
        <v>1</v>
      </c>
      <c r="AE80" t="s">
        <v>72</v>
      </c>
      <c r="AF80" t="s">
        <v>95</v>
      </c>
      <c r="AG80" t="s">
        <v>104</v>
      </c>
      <c r="AI80">
        <v>11</v>
      </c>
      <c r="AJ80">
        <v>28</v>
      </c>
    </row>
    <row r="81" spans="1:36" x14ac:dyDescent="0.25">
      <c r="A81" t="s">
        <v>673</v>
      </c>
      <c r="B81">
        <v>79</v>
      </c>
      <c r="C81" t="s">
        <v>45</v>
      </c>
      <c r="D81">
        <v>3</v>
      </c>
      <c r="F81">
        <v>2</v>
      </c>
      <c r="G81" t="s">
        <v>47</v>
      </c>
      <c r="K81" t="s">
        <v>38</v>
      </c>
      <c r="L81">
        <v>1</v>
      </c>
      <c r="M81">
        <v>1</v>
      </c>
      <c r="N81">
        <v>1</v>
      </c>
      <c r="O81" t="s">
        <v>152</v>
      </c>
      <c r="P81" t="s">
        <v>70</v>
      </c>
      <c r="S81" t="s">
        <v>53</v>
      </c>
      <c r="T81">
        <v>1</v>
      </c>
      <c r="U81">
        <v>2</v>
      </c>
      <c r="V81">
        <v>1</v>
      </c>
      <c r="W81" t="s">
        <v>111</v>
      </c>
      <c r="AA81" t="s">
        <v>43</v>
      </c>
      <c r="AB81">
        <v>1</v>
      </c>
      <c r="AD81">
        <v>2</v>
      </c>
      <c r="AE81" t="s">
        <v>73</v>
      </c>
      <c r="AF81" t="s">
        <v>74</v>
      </c>
      <c r="AG81" t="s">
        <v>137</v>
      </c>
      <c r="AI81">
        <v>8</v>
      </c>
      <c r="AJ81">
        <v>32</v>
      </c>
    </row>
    <row r="82" spans="1:36" x14ac:dyDescent="0.25">
      <c r="A82" t="s">
        <v>674</v>
      </c>
      <c r="B82">
        <v>80</v>
      </c>
      <c r="C82" t="s">
        <v>53</v>
      </c>
      <c r="D82">
        <v>1</v>
      </c>
      <c r="E82">
        <v>1</v>
      </c>
      <c r="F82">
        <v>1</v>
      </c>
      <c r="G82" t="s">
        <v>111</v>
      </c>
      <c r="K82" t="s">
        <v>43</v>
      </c>
      <c r="L82">
        <v>3</v>
      </c>
      <c r="N82">
        <v>1</v>
      </c>
      <c r="O82" t="s">
        <v>73</v>
      </c>
      <c r="P82" t="s">
        <v>99</v>
      </c>
      <c r="Q82" t="s">
        <v>137</v>
      </c>
      <c r="S82" t="s">
        <v>45</v>
      </c>
      <c r="T82">
        <v>3</v>
      </c>
      <c r="V82">
        <v>1</v>
      </c>
      <c r="W82" t="s">
        <v>47</v>
      </c>
      <c r="AA82" t="s">
        <v>227</v>
      </c>
      <c r="AB82">
        <v>1</v>
      </c>
      <c r="AC82">
        <v>1</v>
      </c>
      <c r="AD82">
        <v>1</v>
      </c>
      <c r="AE82" t="s">
        <v>228</v>
      </c>
      <c r="AI82">
        <v>6</v>
      </c>
      <c r="AJ82">
        <v>20</v>
      </c>
    </row>
    <row r="83" spans="1:36" x14ac:dyDescent="0.25">
      <c r="A83" t="s">
        <v>675</v>
      </c>
      <c r="B83">
        <v>81</v>
      </c>
      <c r="C83" t="s">
        <v>63</v>
      </c>
      <c r="D83">
        <v>3</v>
      </c>
      <c r="F83">
        <v>1</v>
      </c>
      <c r="G83" t="s">
        <v>72</v>
      </c>
      <c r="H83" t="s">
        <v>95</v>
      </c>
      <c r="K83" t="s">
        <v>38</v>
      </c>
      <c r="L83">
        <v>1</v>
      </c>
      <c r="M83">
        <v>1</v>
      </c>
      <c r="N83">
        <v>1</v>
      </c>
      <c r="O83" t="s">
        <v>152</v>
      </c>
      <c r="P83" t="s">
        <v>70</v>
      </c>
      <c r="S83" t="s">
        <v>53</v>
      </c>
      <c r="T83">
        <v>1</v>
      </c>
      <c r="U83">
        <v>1</v>
      </c>
      <c r="V83">
        <v>1</v>
      </c>
      <c r="W83" t="s">
        <v>111</v>
      </c>
      <c r="AA83" t="s">
        <v>43</v>
      </c>
      <c r="AB83">
        <v>1</v>
      </c>
      <c r="AD83">
        <v>1</v>
      </c>
      <c r="AE83" t="s">
        <v>73</v>
      </c>
      <c r="AF83" t="s">
        <v>74</v>
      </c>
      <c r="AG83" t="s">
        <v>100</v>
      </c>
      <c r="AH83" t="s">
        <v>101</v>
      </c>
      <c r="AI83">
        <v>7</v>
      </c>
      <c r="AJ83">
        <v>27</v>
      </c>
    </row>
    <row r="84" spans="1:36" x14ac:dyDescent="0.25">
      <c r="A84" t="s">
        <v>676</v>
      </c>
      <c r="B84">
        <v>82</v>
      </c>
      <c r="C84" t="s">
        <v>53</v>
      </c>
      <c r="D84">
        <v>3</v>
      </c>
      <c r="E84">
        <v>2</v>
      </c>
      <c r="F84">
        <v>1</v>
      </c>
      <c r="G84" t="s">
        <v>111</v>
      </c>
      <c r="K84" t="s">
        <v>43</v>
      </c>
      <c r="L84">
        <v>3</v>
      </c>
      <c r="N84">
        <v>1</v>
      </c>
      <c r="O84" t="s">
        <v>73</v>
      </c>
      <c r="P84" t="s">
        <v>99</v>
      </c>
      <c r="Q84" t="s">
        <v>75</v>
      </c>
      <c r="R84" t="s">
        <v>139</v>
      </c>
      <c r="S84" t="s">
        <v>63</v>
      </c>
      <c r="T84">
        <v>3</v>
      </c>
      <c r="V84">
        <v>2</v>
      </c>
      <c r="W84" t="s">
        <v>72</v>
      </c>
      <c r="X84" t="s">
        <v>146</v>
      </c>
      <c r="Y84" t="s">
        <v>148</v>
      </c>
      <c r="AA84" t="s">
        <v>227</v>
      </c>
      <c r="AB84">
        <v>1</v>
      </c>
      <c r="AC84">
        <v>1</v>
      </c>
      <c r="AD84">
        <v>1</v>
      </c>
      <c r="AE84" t="s">
        <v>228</v>
      </c>
      <c r="AI84">
        <v>13</v>
      </c>
      <c r="AJ84">
        <v>34</v>
      </c>
    </row>
    <row r="85" spans="1:36" x14ac:dyDescent="0.25">
      <c r="A85" t="s">
        <v>677</v>
      </c>
      <c r="B85">
        <v>83</v>
      </c>
      <c r="C85" t="s">
        <v>38</v>
      </c>
      <c r="D85">
        <v>2</v>
      </c>
      <c r="E85">
        <v>2</v>
      </c>
      <c r="F85">
        <v>2</v>
      </c>
      <c r="G85" t="s">
        <v>152</v>
      </c>
      <c r="H85" t="s">
        <v>96</v>
      </c>
      <c r="I85" t="s">
        <v>41</v>
      </c>
      <c r="J85" t="s">
        <v>42</v>
      </c>
      <c r="K85" t="s">
        <v>227</v>
      </c>
      <c r="L85">
        <v>2</v>
      </c>
      <c r="M85">
        <v>1</v>
      </c>
      <c r="N85">
        <v>1</v>
      </c>
      <c r="O85" t="s">
        <v>228</v>
      </c>
      <c r="S85" t="s">
        <v>53</v>
      </c>
      <c r="T85">
        <v>3</v>
      </c>
      <c r="U85">
        <v>1</v>
      </c>
      <c r="V85">
        <v>1</v>
      </c>
      <c r="W85" t="s">
        <v>111</v>
      </c>
      <c r="X85" t="s">
        <v>83</v>
      </c>
      <c r="Y85" t="s">
        <v>105</v>
      </c>
      <c r="Z85" t="s">
        <v>98</v>
      </c>
      <c r="AA85" t="s">
        <v>43</v>
      </c>
      <c r="AB85">
        <v>1</v>
      </c>
      <c r="AD85">
        <v>1</v>
      </c>
      <c r="AE85" t="s">
        <v>73</v>
      </c>
      <c r="AI85">
        <v>12</v>
      </c>
      <c r="AJ85">
        <v>29</v>
      </c>
    </row>
    <row r="86" spans="1:36" x14ac:dyDescent="0.25">
      <c r="A86" t="s">
        <v>678</v>
      </c>
      <c r="B86">
        <v>84</v>
      </c>
      <c r="C86" t="s">
        <v>56</v>
      </c>
      <c r="D86">
        <v>1</v>
      </c>
      <c r="F86">
        <v>1</v>
      </c>
      <c r="G86" t="s">
        <v>57</v>
      </c>
      <c r="H86" t="s">
        <v>122</v>
      </c>
      <c r="K86" t="s">
        <v>48</v>
      </c>
      <c r="L86">
        <v>3</v>
      </c>
      <c r="N86">
        <v>2</v>
      </c>
      <c r="O86" t="s">
        <v>49</v>
      </c>
      <c r="P86" t="s">
        <v>84</v>
      </c>
      <c r="Q86" t="s">
        <v>127</v>
      </c>
      <c r="S86" t="s">
        <v>53</v>
      </c>
      <c r="T86">
        <v>3</v>
      </c>
      <c r="U86">
        <v>1</v>
      </c>
      <c r="V86">
        <v>1</v>
      </c>
      <c r="W86" t="s">
        <v>54</v>
      </c>
      <c r="X86" t="s">
        <v>83</v>
      </c>
      <c r="AA86" t="s">
        <v>45</v>
      </c>
      <c r="AB86">
        <v>2</v>
      </c>
      <c r="AD86">
        <v>1</v>
      </c>
      <c r="AE86" t="s">
        <v>47</v>
      </c>
      <c r="AI86">
        <v>10</v>
      </c>
      <c r="AJ86">
        <v>25</v>
      </c>
    </row>
    <row r="87" spans="1:36" x14ac:dyDescent="0.25">
      <c r="A87" t="s">
        <v>679</v>
      </c>
      <c r="B87">
        <v>85</v>
      </c>
      <c r="C87" t="s">
        <v>53</v>
      </c>
      <c r="D87">
        <v>2</v>
      </c>
      <c r="E87">
        <v>1</v>
      </c>
      <c r="F87">
        <v>1</v>
      </c>
      <c r="G87" t="s">
        <v>111</v>
      </c>
      <c r="H87" t="s">
        <v>83</v>
      </c>
      <c r="K87" t="s">
        <v>45</v>
      </c>
      <c r="L87">
        <v>3</v>
      </c>
      <c r="N87">
        <v>1</v>
      </c>
      <c r="O87" t="s">
        <v>86</v>
      </c>
      <c r="S87" t="s">
        <v>56</v>
      </c>
      <c r="T87">
        <v>2</v>
      </c>
      <c r="V87">
        <v>1</v>
      </c>
      <c r="W87" t="s">
        <v>57</v>
      </c>
      <c r="AA87" t="s">
        <v>33</v>
      </c>
      <c r="AB87">
        <v>1</v>
      </c>
      <c r="AD87">
        <v>2</v>
      </c>
      <c r="AE87" t="s">
        <v>34</v>
      </c>
      <c r="AI87">
        <v>6</v>
      </c>
      <c r="AJ87">
        <v>18</v>
      </c>
    </row>
    <row r="88" spans="1:36" x14ac:dyDescent="0.25">
      <c r="A88" t="s">
        <v>680</v>
      </c>
      <c r="B88">
        <v>86</v>
      </c>
      <c r="C88" t="s">
        <v>53</v>
      </c>
      <c r="D88">
        <v>3</v>
      </c>
      <c r="E88">
        <v>1</v>
      </c>
      <c r="F88">
        <v>1</v>
      </c>
      <c r="G88" t="s">
        <v>111</v>
      </c>
      <c r="H88" t="s">
        <v>55</v>
      </c>
      <c r="K88" t="s">
        <v>45</v>
      </c>
      <c r="L88">
        <v>2</v>
      </c>
      <c r="N88">
        <v>1</v>
      </c>
      <c r="O88" t="s">
        <v>86</v>
      </c>
      <c r="S88" t="s">
        <v>56</v>
      </c>
      <c r="T88">
        <v>3</v>
      </c>
      <c r="V88">
        <v>1</v>
      </c>
      <c r="W88" t="s">
        <v>57</v>
      </c>
      <c r="X88" t="s">
        <v>121</v>
      </c>
      <c r="AA88" t="s">
        <v>43</v>
      </c>
      <c r="AB88">
        <v>1</v>
      </c>
      <c r="AD88">
        <v>1</v>
      </c>
      <c r="AE88" t="s">
        <v>73</v>
      </c>
      <c r="AF88" t="s">
        <v>74</v>
      </c>
      <c r="AG88" t="s">
        <v>100</v>
      </c>
      <c r="AH88" t="s">
        <v>101</v>
      </c>
      <c r="AI88">
        <v>10</v>
      </c>
      <c r="AJ88">
        <v>29</v>
      </c>
    </row>
    <row r="89" spans="1:36" x14ac:dyDescent="0.25">
      <c r="A89" t="s">
        <v>681</v>
      </c>
      <c r="B89">
        <v>87</v>
      </c>
      <c r="C89" t="s">
        <v>53</v>
      </c>
      <c r="D89">
        <v>3</v>
      </c>
      <c r="E89">
        <v>1</v>
      </c>
      <c r="F89">
        <v>2</v>
      </c>
      <c r="G89" t="s">
        <v>111</v>
      </c>
      <c r="K89" t="s">
        <v>45</v>
      </c>
      <c r="L89">
        <v>3</v>
      </c>
      <c r="N89">
        <v>1</v>
      </c>
      <c r="O89" t="s">
        <v>86</v>
      </c>
      <c r="S89" t="s">
        <v>56</v>
      </c>
      <c r="T89">
        <v>1</v>
      </c>
      <c r="V89">
        <v>1</v>
      </c>
      <c r="W89" t="s">
        <v>57</v>
      </c>
      <c r="X89" t="s">
        <v>121</v>
      </c>
      <c r="AA89" t="s">
        <v>63</v>
      </c>
      <c r="AB89">
        <v>2</v>
      </c>
      <c r="AD89">
        <v>1</v>
      </c>
      <c r="AE89" t="s">
        <v>72</v>
      </c>
      <c r="AF89" t="s">
        <v>146</v>
      </c>
      <c r="AG89" t="s">
        <v>104</v>
      </c>
      <c r="AI89">
        <v>9</v>
      </c>
      <c r="AJ89">
        <v>26</v>
      </c>
    </row>
    <row r="90" spans="1:36" x14ac:dyDescent="0.25">
      <c r="A90" t="s">
        <v>682</v>
      </c>
      <c r="B90">
        <v>88</v>
      </c>
      <c r="C90" t="s">
        <v>56</v>
      </c>
      <c r="D90">
        <v>2</v>
      </c>
      <c r="F90">
        <v>1</v>
      </c>
      <c r="G90" t="s">
        <v>57</v>
      </c>
      <c r="K90" t="s">
        <v>38</v>
      </c>
      <c r="L90">
        <v>2</v>
      </c>
      <c r="M90">
        <v>1</v>
      </c>
      <c r="N90">
        <v>1</v>
      </c>
      <c r="O90" t="s">
        <v>152</v>
      </c>
      <c r="P90" t="s">
        <v>70</v>
      </c>
      <c r="S90" t="s">
        <v>53</v>
      </c>
      <c r="T90">
        <v>2</v>
      </c>
      <c r="U90">
        <v>1</v>
      </c>
      <c r="V90">
        <v>1</v>
      </c>
      <c r="W90" t="s">
        <v>111</v>
      </c>
      <c r="X90" t="s">
        <v>83</v>
      </c>
      <c r="AA90" t="s">
        <v>45</v>
      </c>
      <c r="AB90">
        <v>2</v>
      </c>
      <c r="AD90">
        <v>1</v>
      </c>
      <c r="AE90" t="s">
        <v>86</v>
      </c>
      <c r="AI90">
        <v>6</v>
      </c>
      <c r="AJ90">
        <v>20</v>
      </c>
    </row>
    <row r="91" spans="1:36" x14ac:dyDescent="0.25">
      <c r="A91" t="s">
        <v>683</v>
      </c>
      <c r="B91">
        <v>89</v>
      </c>
      <c r="C91" t="s">
        <v>56</v>
      </c>
      <c r="D91">
        <v>1</v>
      </c>
      <c r="F91">
        <v>1</v>
      </c>
      <c r="G91" t="s">
        <v>57</v>
      </c>
      <c r="K91" t="s">
        <v>227</v>
      </c>
      <c r="L91">
        <v>2</v>
      </c>
      <c r="M91">
        <v>1</v>
      </c>
      <c r="N91">
        <v>2</v>
      </c>
      <c r="O91" t="s">
        <v>228</v>
      </c>
      <c r="P91" t="s">
        <v>231</v>
      </c>
      <c r="Q91" t="s">
        <v>234</v>
      </c>
      <c r="R91" t="s">
        <v>237</v>
      </c>
      <c r="S91" t="s">
        <v>53</v>
      </c>
      <c r="T91">
        <v>3</v>
      </c>
      <c r="U91">
        <v>1</v>
      </c>
      <c r="V91">
        <v>2</v>
      </c>
      <c r="W91" t="s">
        <v>54</v>
      </c>
      <c r="X91" t="s">
        <v>83</v>
      </c>
      <c r="Y91" t="s">
        <v>97</v>
      </c>
      <c r="AA91" t="s">
        <v>45</v>
      </c>
      <c r="AB91">
        <v>3</v>
      </c>
      <c r="AD91">
        <v>1</v>
      </c>
      <c r="AE91" t="s">
        <v>86</v>
      </c>
      <c r="AI91">
        <v>12</v>
      </c>
      <c r="AJ91">
        <v>32</v>
      </c>
    </row>
    <row r="92" spans="1:36" x14ac:dyDescent="0.25">
      <c r="A92" t="s">
        <v>684</v>
      </c>
      <c r="B92">
        <v>90</v>
      </c>
      <c r="C92" t="s">
        <v>53</v>
      </c>
      <c r="D92">
        <v>3</v>
      </c>
      <c r="E92">
        <v>1</v>
      </c>
      <c r="F92">
        <v>2</v>
      </c>
      <c r="G92" t="s">
        <v>111</v>
      </c>
      <c r="H92" t="s">
        <v>83</v>
      </c>
      <c r="K92" t="s">
        <v>45</v>
      </c>
      <c r="L92">
        <v>3</v>
      </c>
      <c r="N92">
        <v>1</v>
      </c>
      <c r="O92" t="s">
        <v>86</v>
      </c>
      <c r="S92" t="s">
        <v>48</v>
      </c>
      <c r="T92">
        <v>1</v>
      </c>
      <c r="V92">
        <v>3</v>
      </c>
      <c r="W92" t="s">
        <v>89</v>
      </c>
      <c r="X92" t="s">
        <v>84</v>
      </c>
      <c r="Y92" t="s">
        <v>127</v>
      </c>
      <c r="AA92" t="s">
        <v>33</v>
      </c>
      <c r="AB92">
        <v>1</v>
      </c>
      <c r="AD92">
        <v>3</v>
      </c>
      <c r="AE92" t="s">
        <v>34</v>
      </c>
      <c r="AI92">
        <v>12</v>
      </c>
      <c r="AJ92">
        <v>27</v>
      </c>
    </row>
    <row r="93" spans="1:36" x14ac:dyDescent="0.25">
      <c r="A93" t="s">
        <v>685</v>
      </c>
      <c r="B93">
        <v>91</v>
      </c>
      <c r="C93" t="s">
        <v>48</v>
      </c>
      <c r="D93">
        <v>3</v>
      </c>
      <c r="F93">
        <v>2</v>
      </c>
      <c r="G93" t="s">
        <v>49</v>
      </c>
      <c r="H93" t="s">
        <v>50</v>
      </c>
      <c r="I93" t="s">
        <v>127</v>
      </c>
      <c r="J93" t="s">
        <v>129</v>
      </c>
      <c r="K93" t="s">
        <v>43</v>
      </c>
      <c r="L93">
        <v>1</v>
      </c>
      <c r="N93">
        <v>1</v>
      </c>
      <c r="O93" t="s">
        <v>73</v>
      </c>
      <c r="P93" t="s">
        <v>99</v>
      </c>
      <c r="S93" t="s">
        <v>53</v>
      </c>
      <c r="T93">
        <v>3</v>
      </c>
      <c r="U93">
        <v>3</v>
      </c>
      <c r="V93">
        <v>2</v>
      </c>
      <c r="W93" t="s">
        <v>111</v>
      </c>
      <c r="X93" t="s">
        <v>83</v>
      </c>
      <c r="AA93" t="s">
        <v>45</v>
      </c>
      <c r="AB93">
        <v>3</v>
      </c>
      <c r="AD93">
        <v>1</v>
      </c>
      <c r="AE93" t="s">
        <v>86</v>
      </c>
      <c r="AI93">
        <v>15</v>
      </c>
      <c r="AJ93">
        <v>38</v>
      </c>
    </row>
    <row r="94" spans="1:36" x14ac:dyDescent="0.25">
      <c r="A94" t="s">
        <v>686</v>
      </c>
      <c r="B94">
        <v>92</v>
      </c>
      <c r="C94" t="s">
        <v>53</v>
      </c>
      <c r="D94">
        <v>3</v>
      </c>
      <c r="E94">
        <v>1</v>
      </c>
      <c r="F94">
        <v>1</v>
      </c>
      <c r="G94" t="s">
        <v>111</v>
      </c>
      <c r="H94" t="s">
        <v>83</v>
      </c>
      <c r="I94" t="s">
        <v>114</v>
      </c>
      <c r="K94" t="s">
        <v>45</v>
      </c>
      <c r="L94">
        <v>3</v>
      </c>
      <c r="N94">
        <v>2</v>
      </c>
      <c r="O94" t="s">
        <v>47</v>
      </c>
      <c r="S94" t="s">
        <v>48</v>
      </c>
      <c r="T94">
        <v>1</v>
      </c>
      <c r="V94">
        <v>1</v>
      </c>
      <c r="W94" t="s">
        <v>49</v>
      </c>
      <c r="AA94" t="s">
        <v>63</v>
      </c>
      <c r="AB94">
        <v>3</v>
      </c>
      <c r="AD94">
        <v>1</v>
      </c>
      <c r="AE94" t="s">
        <v>72</v>
      </c>
      <c r="AF94" t="s">
        <v>146</v>
      </c>
      <c r="AG94" t="s">
        <v>104</v>
      </c>
      <c r="AI94">
        <v>12</v>
      </c>
      <c r="AJ94">
        <v>32</v>
      </c>
    </row>
    <row r="95" spans="1:36" x14ac:dyDescent="0.25">
      <c r="A95" t="s">
        <v>687</v>
      </c>
      <c r="B95">
        <v>93</v>
      </c>
      <c r="C95" t="s">
        <v>48</v>
      </c>
      <c r="D95">
        <v>2</v>
      </c>
      <c r="F95">
        <v>3</v>
      </c>
      <c r="G95" t="s">
        <v>49</v>
      </c>
      <c r="H95" t="s">
        <v>84</v>
      </c>
      <c r="I95" t="s">
        <v>127</v>
      </c>
      <c r="J95" t="s">
        <v>128</v>
      </c>
      <c r="K95" t="s">
        <v>38</v>
      </c>
      <c r="L95">
        <v>1</v>
      </c>
      <c r="M95">
        <v>1</v>
      </c>
      <c r="N95">
        <v>1</v>
      </c>
      <c r="O95" t="s">
        <v>152</v>
      </c>
      <c r="P95" t="s">
        <v>70</v>
      </c>
      <c r="S95" t="s">
        <v>53</v>
      </c>
      <c r="T95">
        <v>1</v>
      </c>
      <c r="U95">
        <v>1</v>
      </c>
      <c r="V95">
        <v>1</v>
      </c>
      <c r="W95" t="s">
        <v>111</v>
      </c>
      <c r="AA95" t="s">
        <v>45</v>
      </c>
      <c r="AB95">
        <v>3</v>
      </c>
      <c r="AD95">
        <v>3</v>
      </c>
      <c r="AE95" t="s">
        <v>86</v>
      </c>
      <c r="AI95">
        <v>11</v>
      </c>
      <c r="AJ95">
        <v>37</v>
      </c>
    </row>
    <row r="96" spans="1:36" x14ac:dyDescent="0.25">
      <c r="A96" t="s">
        <v>688</v>
      </c>
      <c r="B96">
        <v>94</v>
      </c>
      <c r="C96" t="s">
        <v>48</v>
      </c>
      <c r="D96">
        <v>3</v>
      </c>
      <c r="F96">
        <v>1</v>
      </c>
      <c r="G96" t="s">
        <v>49</v>
      </c>
      <c r="H96" t="s">
        <v>71</v>
      </c>
      <c r="I96" t="s">
        <v>127</v>
      </c>
      <c r="K96" t="s">
        <v>227</v>
      </c>
      <c r="L96">
        <v>2</v>
      </c>
      <c r="M96">
        <v>1</v>
      </c>
      <c r="N96">
        <v>1</v>
      </c>
      <c r="O96" t="s">
        <v>228</v>
      </c>
      <c r="P96" t="s">
        <v>232</v>
      </c>
      <c r="S96" t="s">
        <v>53</v>
      </c>
      <c r="T96">
        <v>3</v>
      </c>
      <c r="U96">
        <v>1</v>
      </c>
      <c r="V96">
        <v>2</v>
      </c>
      <c r="W96" t="s">
        <v>54</v>
      </c>
      <c r="X96" t="s">
        <v>83</v>
      </c>
      <c r="AA96" t="s">
        <v>45</v>
      </c>
      <c r="AB96">
        <v>2</v>
      </c>
      <c r="AD96">
        <v>1</v>
      </c>
      <c r="AE96" t="s">
        <v>47</v>
      </c>
      <c r="AI96">
        <v>11</v>
      </c>
      <c r="AJ96">
        <v>27</v>
      </c>
    </row>
    <row r="97" spans="1:36" x14ac:dyDescent="0.25">
      <c r="A97" t="s">
        <v>689</v>
      </c>
      <c r="B97">
        <v>95</v>
      </c>
      <c r="C97" t="s">
        <v>53</v>
      </c>
      <c r="D97">
        <v>3</v>
      </c>
      <c r="E97">
        <v>1</v>
      </c>
      <c r="F97">
        <v>1</v>
      </c>
      <c r="G97" t="s">
        <v>111</v>
      </c>
      <c r="H97" t="s">
        <v>83</v>
      </c>
      <c r="K97" t="s">
        <v>45</v>
      </c>
      <c r="L97">
        <v>2</v>
      </c>
      <c r="N97">
        <v>1</v>
      </c>
      <c r="O97" t="s">
        <v>140</v>
      </c>
      <c r="S97" t="s">
        <v>33</v>
      </c>
      <c r="T97">
        <v>2</v>
      </c>
      <c r="V97">
        <v>3</v>
      </c>
      <c r="W97" t="s">
        <v>34</v>
      </c>
      <c r="AA97" t="s">
        <v>43</v>
      </c>
      <c r="AB97">
        <v>1</v>
      </c>
      <c r="AD97">
        <v>1</v>
      </c>
      <c r="AE97" t="s">
        <v>135</v>
      </c>
      <c r="AI97">
        <v>7</v>
      </c>
      <c r="AJ97">
        <v>19</v>
      </c>
    </row>
    <row r="98" spans="1:36" x14ac:dyDescent="0.25">
      <c r="A98" t="s">
        <v>690</v>
      </c>
      <c r="B98">
        <v>96</v>
      </c>
      <c r="C98" t="s">
        <v>53</v>
      </c>
      <c r="D98">
        <v>3</v>
      </c>
      <c r="E98">
        <v>1</v>
      </c>
      <c r="F98">
        <v>1</v>
      </c>
      <c r="G98" t="s">
        <v>111</v>
      </c>
      <c r="H98" t="s">
        <v>83</v>
      </c>
      <c r="I98" t="s">
        <v>114</v>
      </c>
      <c r="K98" t="s">
        <v>45</v>
      </c>
      <c r="L98">
        <v>3</v>
      </c>
      <c r="N98">
        <v>1</v>
      </c>
      <c r="O98" t="s">
        <v>86</v>
      </c>
      <c r="S98" t="s">
        <v>33</v>
      </c>
      <c r="T98">
        <v>1</v>
      </c>
      <c r="V98">
        <v>3</v>
      </c>
      <c r="W98" t="s">
        <v>34</v>
      </c>
      <c r="AA98" t="s">
        <v>63</v>
      </c>
      <c r="AB98">
        <v>2</v>
      </c>
      <c r="AD98">
        <v>1</v>
      </c>
      <c r="AE98" t="s">
        <v>72</v>
      </c>
      <c r="AF98" t="s">
        <v>91</v>
      </c>
      <c r="AG98" t="s">
        <v>147</v>
      </c>
      <c r="AI98">
        <v>11</v>
      </c>
      <c r="AJ98">
        <v>29</v>
      </c>
    </row>
    <row r="99" spans="1:36" x14ac:dyDescent="0.25">
      <c r="A99" t="s">
        <v>691</v>
      </c>
      <c r="B99">
        <v>97</v>
      </c>
      <c r="C99" t="s">
        <v>53</v>
      </c>
      <c r="D99">
        <v>2</v>
      </c>
      <c r="E99">
        <v>1</v>
      </c>
      <c r="F99">
        <v>1</v>
      </c>
      <c r="G99" t="s">
        <v>111</v>
      </c>
      <c r="H99" t="s">
        <v>55</v>
      </c>
      <c r="I99" t="s">
        <v>114</v>
      </c>
      <c r="K99" t="s">
        <v>45</v>
      </c>
      <c r="L99">
        <v>3</v>
      </c>
      <c r="N99">
        <v>1</v>
      </c>
      <c r="O99" t="s">
        <v>140</v>
      </c>
      <c r="P99" t="s">
        <v>141</v>
      </c>
      <c r="S99" t="s">
        <v>33</v>
      </c>
      <c r="T99">
        <v>3</v>
      </c>
      <c r="V99">
        <v>3</v>
      </c>
      <c r="W99" t="s">
        <v>34</v>
      </c>
      <c r="AA99" t="s">
        <v>38</v>
      </c>
      <c r="AB99">
        <v>1</v>
      </c>
      <c r="AC99">
        <v>1</v>
      </c>
      <c r="AD99">
        <v>1</v>
      </c>
      <c r="AE99" t="s">
        <v>152</v>
      </c>
      <c r="AF99" t="s">
        <v>40</v>
      </c>
      <c r="AI99">
        <v>11</v>
      </c>
      <c r="AJ99">
        <v>27</v>
      </c>
    </row>
    <row r="100" spans="1:36" x14ac:dyDescent="0.25">
      <c r="A100" t="s">
        <v>692</v>
      </c>
      <c r="B100">
        <v>98</v>
      </c>
      <c r="C100" t="s">
        <v>33</v>
      </c>
      <c r="D100">
        <v>1</v>
      </c>
      <c r="F100">
        <v>3</v>
      </c>
      <c r="G100" t="s">
        <v>34</v>
      </c>
      <c r="K100" t="s">
        <v>227</v>
      </c>
      <c r="L100">
        <v>1</v>
      </c>
      <c r="M100">
        <v>1</v>
      </c>
      <c r="N100">
        <v>1</v>
      </c>
      <c r="O100" t="s">
        <v>228</v>
      </c>
      <c r="P100" t="s">
        <v>231</v>
      </c>
      <c r="Q100" t="s">
        <v>234</v>
      </c>
      <c r="R100" t="s">
        <v>238</v>
      </c>
      <c r="S100" t="s">
        <v>53</v>
      </c>
      <c r="T100">
        <v>2</v>
      </c>
      <c r="U100">
        <v>2</v>
      </c>
      <c r="V100">
        <v>1</v>
      </c>
      <c r="W100" t="s">
        <v>111</v>
      </c>
      <c r="AA100" t="s">
        <v>45</v>
      </c>
      <c r="AB100">
        <v>1</v>
      </c>
      <c r="AD100">
        <v>1</v>
      </c>
      <c r="AE100" t="s">
        <v>47</v>
      </c>
      <c r="AI100">
        <v>7</v>
      </c>
      <c r="AJ100">
        <v>24</v>
      </c>
    </row>
    <row r="101" spans="1:36" x14ac:dyDescent="0.25">
      <c r="A101" t="s">
        <v>693</v>
      </c>
      <c r="B101">
        <v>99</v>
      </c>
      <c r="C101" t="s">
        <v>43</v>
      </c>
      <c r="D101">
        <v>1</v>
      </c>
      <c r="F101">
        <v>1</v>
      </c>
      <c r="G101" t="s">
        <v>73</v>
      </c>
      <c r="H101" t="s">
        <v>99</v>
      </c>
      <c r="I101" t="s">
        <v>100</v>
      </c>
      <c r="K101" t="s">
        <v>63</v>
      </c>
      <c r="L101">
        <v>3</v>
      </c>
      <c r="N101">
        <v>1</v>
      </c>
      <c r="O101" t="s">
        <v>72</v>
      </c>
      <c r="P101" t="s">
        <v>91</v>
      </c>
      <c r="S101" t="s">
        <v>53</v>
      </c>
      <c r="T101">
        <v>3</v>
      </c>
      <c r="U101">
        <v>1</v>
      </c>
      <c r="V101">
        <v>1</v>
      </c>
      <c r="W101" t="s">
        <v>111</v>
      </c>
      <c r="X101" t="s">
        <v>55</v>
      </c>
      <c r="Y101" t="s">
        <v>105</v>
      </c>
      <c r="AA101" t="s">
        <v>45</v>
      </c>
      <c r="AB101">
        <v>2</v>
      </c>
      <c r="AD101">
        <v>1</v>
      </c>
      <c r="AE101" t="s">
        <v>86</v>
      </c>
      <c r="AI101">
        <v>10</v>
      </c>
      <c r="AJ101">
        <v>32</v>
      </c>
    </row>
    <row r="102" spans="1:36" x14ac:dyDescent="0.25">
      <c r="A102" t="s">
        <v>694</v>
      </c>
      <c r="B102">
        <v>100</v>
      </c>
      <c r="C102" t="s">
        <v>43</v>
      </c>
      <c r="D102">
        <v>3</v>
      </c>
      <c r="F102">
        <v>2</v>
      </c>
      <c r="G102" t="s">
        <v>135</v>
      </c>
      <c r="H102" t="s">
        <v>74</v>
      </c>
      <c r="I102" t="s">
        <v>100</v>
      </c>
      <c r="K102" t="s">
        <v>38</v>
      </c>
      <c r="L102">
        <v>1</v>
      </c>
      <c r="M102">
        <v>1</v>
      </c>
      <c r="N102">
        <v>1</v>
      </c>
      <c r="O102" t="s">
        <v>152</v>
      </c>
      <c r="P102" t="s">
        <v>70</v>
      </c>
      <c r="Q102" t="s">
        <v>41</v>
      </c>
      <c r="S102" t="s">
        <v>53</v>
      </c>
      <c r="T102">
        <v>1</v>
      </c>
      <c r="U102">
        <v>1</v>
      </c>
      <c r="V102">
        <v>1</v>
      </c>
      <c r="W102" t="s">
        <v>111</v>
      </c>
      <c r="AA102" t="s">
        <v>45</v>
      </c>
      <c r="AB102">
        <v>3</v>
      </c>
      <c r="AD102">
        <v>1</v>
      </c>
      <c r="AE102" t="s">
        <v>140</v>
      </c>
      <c r="AI102">
        <v>9</v>
      </c>
      <c r="AJ102">
        <v>27</v>
      </c>
    </row>
    <row r="103" spans="1:36" x14ac:dyDescent="0.25">
      <c r="A103" t="s">
        <v>695</v>
      </c>
      <c r="B103">
        <v>101</v>
      </c>
      <c r="C103" t="s">
        <v>43</v>
      </c>
      <c r="D103">
        <v>1</v>
      </c>
      <c r="F103">
        <v>1</v>
      </c>
      <c r="G103" t="s">
        <v>73</v>
      </c>
      <c r="H103" t="s">
        <v>99</v>
      </c>
      <c r="I103" t="s">
        <v>75</v>
      </c>
      <c r="K103" t="s">
        <v>227</v>
      </c>
      <c r="L103">
        <v>2</v>
      </c>
      <c r="M103">
        <v>1</v>
      </c>
      <c r="N103">
        <v>2</v>
      </c>
      <c r="O103" t="s">
        <v>228</v>
      </c>
      <c r="S103" t="s">
        <v>53</v>
      </c>
      <c r="T103">
        <v>1</v>
      </c>
      <c r="U103">
        <v>1</v>
      </c>
      <c r="V103">
        <v>1</v>
      </c>
      <c r="W103" t="s">
        <v>54</v>
      </c>
      <c r="X103" t="s">
        <v>83</v>
      </c>
      <c r="Y103" t="s">
        <v>105</v>
      </c>
      <c r="Z103" t="s">
        <v>98</v>
      </c>
      <c r="AA103" t="s">
        <v>45</v>
      </c>
      <c r="AB103">
        <v>2</v>
      </c>
      <c r="AD103">
        <v>1</v>
      </c>
      <c r="AE103" t="s">
        <v>140</v>
      </c>
      <c r="AI103">
        <v>8</v>
      </c>
      <c r="AJ103">
        <v>26</v>
      </c>
    </row>
    <row r="104" spans="1:36" x14ac:dyDescent="0.25">
      <c r="A104" t="s">
        <v>696</v>
      </c>
      <c r="B104">
        <v>102</v>
      </c>
      <c r="C104" t="s">
        <v>53</v>
      </c>
      <c r="D104">
        <v>1</v>
      </c>
      <c r="E104">
        <v>1</v>
      </c>
      <c r="F104">
        <v>1</v>
      </c>
      <c r="G104" t="s">
        <v>111</v>
      </c>
      <c r="H104" t="s">
        <v>113</v>
      </c>
      <c r="I104" t="s">
        <v>105</v>
      </c>
      <c r="J104" t="s">
        <v>116</v>
      </c>
      <c r="K104" t="s">
        <v>45</v>
      </c>
      <c r="L104">
        <v>3</v>
      </c>
      <c r="N104">
        <v>1</v>
      </c>
      <c r="O104" t="s">
        <v>86</v>
      </c>
      <c r="S104" t="s">
        <v>63</v>
      </c>
      <c r="T104">
        <v>3</v>
      </c>
      <c r="V104">
        <v>2</v>
      </c>
      <c r="W104" t="s">
        <v>72</v>
      </c>
      <c r="X104" t="s">
        <v>146</v>
      </c>
      <c r="AA104" t="s">
        <v>38</v>
      </c>
      <c r="AB104">
        <v>1</v>
      </c>
      <c r="AC104">
        <v>1</v>
      </c>
      <c r="AD104">
        <v>1</v>
      </c>
      <c r="AE104" t="s">
        <v>152</v>
      </c>
      <c r="AF104" t="s">
        <v>70</v>
      </c>
      <c r="AG104" t="s">
        <v>41</v>
      </c>
      <c r="AI104">
        <v>11</v>
      </c>
      <c r="AJ104">
        <v>41</v>
      </c>
    </row>
    <row r="105" spans="1:36" x14ac:dyDescent="0.25">
      <c r="A105" t="s">
        <v>697</v>
      </c>
      <c r="B105">
        <v>103</v>
      </c>
      <c r="C105" t="s">
        <v>53</v>
      </c>
      <c r="D105">
        <v>2</v>
      </c>
      <c r="E105">
        <v>1</v>
      </c>
      <c r="F105">
        <v>1</v>
      </c>
      <c r="G105" t="s">
        <v>54</v>
      </c>
      <c r="H105" t="s">
        <v>113</v>
      </c>
      <c r="K105" t="s">
        <v>45</v>
      </c>
      <c r="L105">
        <v>3</v>
      </c>
      <c r="N105">
        <v>1</v>
      </c>
      <c r="O105" t="s">
        <v>86</v>
      </c>
      <c r="S105" t="s">
        <v>63</v>
      </c>
      <c r="T105">
        <v>2</v>
      </c>
      <c r="V105">
        <v>1</v>
      </c>
      <c r="W105" t="s">
        <v>72</v>
      </c>
      <c r="X105" t="s">
        <v>91</v>
      </c>
      <c r="Y105" t="s">
        <v>147</v>
      </c>
      <c r="AA105" t="s">
        <v>227</v>
      </c>
      <c r="AB105">
        <v>2</v>
      </c>
      <c r="AC105">
        <v>1</v>
      </c>
      <c r="AD105">
        <v>1</v>
      </c>
      <c r="AE105" t="s">
        <v>228</v>
      </c>
      <c r="AI105">
        <v>8</v>
      </c>
      <c r="AJ105">
        <v>26</v>
      </c>
    </row>
    <row r="106" spans="1:36" x14ac:dyDescent="0.25">
      <c r="A106" t="s">
        <v>698</v>
      </c>
      <c r="B106">
        <v>104</v>
      </c>
      <c r="C106" t="s">
        <v>38</v>
      </c>
      <c r="D106">
        <v>1</v>
      </c>
      <c r="E106">
        <v>2</v>
      </c>
      <c r="F106">
        <v>1</v>
      </c>
      <c r="G106" t="s">
        <v>152</v>
      </c>
      <c r="K106" t="s">
        <v>227</v>
      </c>
      <c r="L106">
        <v>2</v>
      </c>
      <c r="M106">
        <v>1</v>
      </c>
      <c r="N106">
        <v>3</v>
      </c>
      <c r="O106" t="s">
        <v>228</v>
      </c>
      <c r="P106" t="s">
        <v>231</v>
      </c>
      <c r="S106" t="s">
        <v>53</v>
      </c>
      <c r="T106">
        <v>2</v>
      </c>
      <c r="U106">
        <v>1</v>
      </c>
      <c r="V106">
        <v>1</v>
      </c>
      <c r="W106" t="s">
        <v>54</v>
      </c>
      <c r="X106" t="s">
        <v>83</v>
      </c>
      <c r="Y106" t="s">
        <v>105</v>
      </c>
      <c r="AA106" t="s">
        <v>45</v>
      </c>
      <c r="AB106">
        <v>2</v>
      </c>
      <c r="AD106">
        <v>1</v>
      </c>
      <c r="AE106" t="s">
        <v>86</v>
      </c>
      <c r="AI106">
        <v>9</v>
      </c>
      <c r="AJ106">
        <v>26</v>
      </c>
    </row>
    <row r="107" spans="1:36" x14ac:dyDescent="0.25">
      <c r="A107" t="s">
        <v>699</v>
      </c>
      <c r="B107">
        <v>105</v>
      </c>
      <c r="C107" t="s">
        <v>53</v>
      </c>
      <c r="D107">
        <v>2</v>
      </c>
      <c r="E107">
        <v>1</v>
      </c>
      <c r="F107">
        <v>1</v>
      </c>
      <c r="G107" t="s">
        <v>111</v>
      </c>
      <c r="H107" t="s">
        <v>55</v>
      </c>
      <c r="K107" t="s">
        <v>63</v>
      </c>
      <c r="L107">
        <v>3</v>
      </c>
      <c r="N107">
        <v>1</v>
      </c>
      <c r="O107" t="s">
        <v>72</v>
      </c>
      <c r="P107" t="s">
        <v>91</v>
      </c>
      <c r="Q107" t="s">
        <v>104</v>
      </c>
      <c r="S107" t="s">
        <v>56</v>
      </c>
      <c r="T107">
        <v>2</v>
      </c>
      <c r="V107">
        <v>1</v>
      </c>
      <c r="W107" t="s">
        <v>57</v>
      </c>
      <c r="X107" t="s">
        <v>122</v>
      </c>
      <c r="AA107" t="s">
        <v>48</v>
      </c>
      <c r="AB107">
        <v>3</v>
      </c>
      <c r="AD107">
        <v>1</v>
      </c>
      <c r="AE107" t="s">
        <v>49</v>
      </c>
      <c r="AI107">
        <v>10</v>
      </c>
      <c r="AJ107">
        <v>29</v>
      </c>
    </row>
    <row r="108" spans="1:36" x14ac:dyDescent="0.25">
      <c r="A108" t="s">
        <v>700</v>
      </c>
      <c r="B108">
        <v>106</v>
      </c>
      <c r="C108" t="s">
        <v>53</v>
      </c>
      <c r="D108">
        <v>2</v>
      </c>
      <c r="E108">
        <v>3</v>
      </c>
      <c r="F108">
        <v>2</v>
      </c>
      <c r="G108" t="s">
        <v>111</v>
      </c>
      <c r="K108" t="s">
        <v>63</v>
      </c>
      <c r="L108">
        <v>2</v>
      </c>
      <c r="N108">
        <v>1</v>
      </c>
      <c r="O108" t="s">
        <v>72</v>
      </c>
      <c r="S108" t="s">
        <v>56</v>
      </c>
      <c r="T108">
        <v>3</v>
      </c>
      <c r="V108">
        <v>1</v>
      </c>
      <c r="W108" t="s">
        <v>57</v>
      </c>
      <c r="X108" t="s">
        <v>122</v>
      </c>
      <c r="Y108" t="s">
        <v>85</v>
      </c>
      <c r="AA108" t="s">
        <v>33</v>
      </c>
      <c r="AB108">
        <v>1</v>
      </c>
      <c r="AD108">
        <v>3</v>
      </c>
      <c r="AE108" t="s">
        <v>34</v>
      </c>
      <c r="AF108" t="s">
        <v>35</v>
      </c>
      <c r="AI108">
        <v>12</v>
      </c>
      <c r="AJ108">
        <v>30</v>
      </c>
    </row>
    <row r="109" spans="1:36" x14ac:dyDescent="0.25">
      <c r="A109" t="s">
        <v>701</v>
      </c>
      <c r="B109">
        <v>107</v>
      </c>
      <c r="C109" t="s">
        <v>56</v>
      </c>
      <c r="D109">
        <v>2</v>
      </c>
      <c r="F109">
        <v>1</v>
      </c>
      <c r="G109" t="s">
        <v>57</v>
      </c>
      <c r="H109" t="s">
        <v>122</v>
      </c>
      <c r="K109" t="s">
        <v>43</v>
      </c>
      <c r="L109">
        <v>2</v>
      </c>
      <c r="N109">
        <v>1</v>
      </c>
      <c r="O109" t="s">
        <v>73</v>
      </c>
      <c r="P109" t="s">
        <v>74</v>
      </c>
      <c r="Q109" t="s">
        <v>100</v>
      </c>
      <c r="S109" t="s">
        <v>53</v>
      </c>
      <c r="T109">
        <v>1</v>
      </c>
      <c r="U109">
        <v>1</v>
      </c>
      <c r="V109">
        <v>2</v>
      </c>
      <c r="W109" t="s">
        <v>111</v>
      </c>
      <c r="X109" t="s">
        <v>83</v>
      </c>
      <c r="Y109" t="s">
        <v>105</v>
      </c>
      <c r="AA109" t="s">
        <v>63</v>
      </c>
      <c r="AB109">
        <v>2</v>
      </c>
      <c r="AD109">
        <v>1</v>
      </c>
      <c r="AE109" t="s">
        <v>72</v>
      </c>
      <c r="AF109" t="s">
        <v>95</v>
      </c>
      <c r="AI109">
        <v>10</v>
      </c>
      <c r="AJ109">
        <v>26</v>
      </c>
    </row>
    <row r="110" spans="1:36" x14ac:dyDescent="0.25">
      <c r="A110" t="s">
        <v>702</v>
      </c>
      <c r="B110">
        <v>108</v>
      </c>
      <c r="C110" t="s">
        <v>56</v>
      </c>
      <c r="D110">
        <v>3</v>
      </c>
      <c r="F110">
        <v>2</v>
      </c>
      <c r="G110" t="s">
        <v>57</v>
      </c>
      <c r="H110" t="s">
        <v>122</v>
      </c>
      <c r="I110" t="s">
        <v>85</v>
      </c>
      <c r="K110" t="s">
        <v>45</v>
      </c>
      <c r="L110">
        <v>3</v>
      </c>
      <c r="N110">
        <v>1</v>
      </c>
      <c r="O110" t="s">
        <v>47</v>
      </c>
      <c r="S110" t="s">
        <v>53</v>
      </c>
      <c r="T110">
        <v>2</v>
      </c>
      <c r="U110">
        <v>1</v>
      </c>
      <c r="V110">
        <v>1</v>
      </c>
      <c r="W110" t="s">
        <v>111</v>
      </c>
      <c r="AA110" t="s">
        <v>63</v>
      </c>
      <c r="AB110">
        <v>1</v>
      </c>
      <c r="AD110">
        <v>3</v>
      </c>
      <c r="AE110" t="s">
        <v>72</v>
      </c>
      <c r="AF110" t="s">
        <v>95</v>
      </c>
      <c r="AG110" t="s">
        <v>147</v>
      </c>
      <c r="AI110">
        <v>12</v>
      </c>
      <c r="AJ110">
        <v>30</v>
      </c>
    </row>
    <row r="111" spans="1:36" x14ac:dyDescent="0.25">
      <c r="A111" t="s">
        <v>703</v>
      </c>
      <c r="B111">
        <v>109</v>
      </c>
      <c r="C111" t="s">
        <v>56</v>
      </c>
      <c r="D111">
        <v>3</v>
      </c>
      <c r="F111">
        <v>1</v>
      </c>
      <c r="G111" t="s">
        <v>57</v>
      </c>
      <c r="H111" t="s">
        <v>122</v>
      </c>
      <c r="I111" t="s">
        <v>85</v>
      </c>
      <c r="K111" t="s">
        <v>38</v>
      </c>
      <c r="L111">
        <v>2</v>
      </c>
      <c r="M111">
        <v>1</v>
      </c>
      <c r="N111">
        <v>1</v>
      </c>
      <c r="O111" t="s">
        <v>152</v>
      </c>
      <c r="P111" t="s">
        <v>70</v>
      </c>
      <c r="Q111" t="s">
        <v>41</v>
      </c>
      <c r="S111" t="s">
        <v>53</v>
      </c>
      <c r="T111">
        <v>2</v>
      </c>
      <c r="U111">
        <v>1</v>
      </c>
      <c r="V111">
        <v>1</v>
      </c>
      <c r="W111" t="s">
        <v>111</v>
      </c>
      <c r="AA111" t="s">
        <v>63</v>
      </c>
      <c r="AB111">
        <v>2</v>
      </c>
      <c r="AD111">
        <v>1</v>
      </c>
      <c r="AE111" t="s">
        <v>72</v>
      </c>
      <c r="AF111" t="s">
        <v>146</v>
      </c>
      <c r="AG111" t="s">
        <v>104</v>
      </c>
      <c r="AI111">
        <v>11</v>
      </c>
      <c r="AJ111">
        <v>29</v>
      </c>
    </row>
    <row r="112" spans="1:36" x14ac:dyDescent="0.25">
      <c r="A112" t="s">
        <v>704</v>
      </c>
      <c r="B112">
        <v>110</v>
      </c>
      <c r="C112" t="s">
        <v>53</v>
      </c>
      <c r="D112">
        <v>1</v>
      </c>
      <c r="E112">
        <v>1</v>
      </c>
      <c r="F112">
        <v>1</v>
      </c>
      <c r="G112" t="s">
        <v>111</v>
      </c>
      <c r="H112" t="s">
        <v>55</v>
      </c>
      <c r="K112" t="s">
        <v>63</v>
      </c>
      <c r="L112">
        <v>3</v>
      </c>
      <c r="N112">
        <v>3</v>
      </c>
      <c r="O112" t="s">
        <v>72</v>
      </c>
      <c r="P112" t="s">
        <v>95</v>
      </c>
      <c r="Q112" t="s">
        <v>104</v>
      </c>
      <c r="R112" t="s">
        <v>151</v>
      </c>
      <c r="S112" t="s">
        <v>56</v>
      </c>
      <c r="T112">
        <v>3</v>
      </c>
      <c r="V112">
        <v>1</v>
      </c>
      <c r="W112" t="s">
        <v>57</v>
      </c>
      <c r="X112" t="s">
        <v>122</v>
      </c>
      <c r="Y112" t="s">
        <v>85</v>
      </c>
      <c r="AA112" t="s">
        <v>227</v>
      </c>
      <c r="AB112">
        <v>3</v>
      </c>
      <c r="AC112">
        <v>1</v>
      </c>
      <c r="AD112">
        <v>1</v>
      </c>
      <c r="AE112" t="s">
        <v>228</v>
      </c>
      <c r="AF112" t="s">
        <v>231</v>
      </c>
      <c r="AG112" t="s">
        <v>234</v>
      </c>
      <c r="AI112">
        <v>16</v>
      </c>
      <c r="AJ112">
        <v>49</v>
      </c>
    </row>
    <row r="113" spans="1:36" x14ac:dyDescent="0.25">
      <c r="A113" t="s">
        <v>705</v>
      </c>
      <c r="B113">
        <v>111</v>
      </c>
      <c r="C113" t="s">
        <v>48</v>
      </c>
      <c r="D113">
        <v>2</v>
      </c>
      <c r="F113">
        <v>1</v>
      </c>
      <c r="G113" t="s">
        <v>49</v>
      </c>
      <c r="H113" t="s">
        <v>71</v>
      </c>
      <c r="I113" t="s">
        <v>51</v>
      </c>
      <c r="K113" t="s">
        <v>33</v>
      </c>
      <c r="L113">
        <v>1</v>
      </c>
      <c r="N113">
        <v>3</v>
      </c>
      <c r="O113" t="s">
        <v>34</v>
      </c>
      <c r="P113" t="s">
        <v>66</v>
      </c>
      <c r="S113" t="s">
        <v>53</v>
      </c>
      <c r="T113">
        <v>1</v>
      </c>
      <c r="U113">
        <v>2</v>
      </c>
      <c r="V113">
        <v>1</v>
      </c>
      <c r="W113" t="s">
        <v>111</v>
      </c>
      <c r="X113" t="s">
        <v>113</v>
      </c>
      <c r="Y113" t="s">
        <v>97</v>
      </c>
      <c r="AA113" t="s">
        <v>63</v>
      </c>
      <c r="AB113">
        <v>1</v>
      </c>
      <c r="AD113">
        <v>1</v>
      </c>
      <c r="AE113" t="s">
        <v>72</v>
      </c>
      <c r="AF113" t="s">
        <v>95</v>
      </c>
      <c r="AI113">
        <v>10</v>
      </c>
      <c r="AJ113">
        <v>30</v>
      </c>
    </row>
    <row r="114" spans="1:36" x14ac:dyDescent="0.25">
      <c r="A114" t="s">
        <v>706</v>
      </c>
      <c r="B114">
        <v>112</v>
      </c>
      <c r="C114" t="s">
        <v>48</v>
      </c>
      <c r="D114">
        <v>2</v>
      </c>
      <c r="F114">
        <v>1</v>
      </c>
      <c r="G114" t="s">
        <v>49</v>
      </c>
      <c r="K114" t="s">
        <v>43</v>
      </c>
      <c r="L114">
        <v>3</v>
      </c>
      <c r="N114">
        <v>2</v>
      </c>
      <c r="O114" t="s">
        <v>73</v>
      </c>
      <c r="P114" t="s">
        <v>74</v>
      </c>
      <c r="Q114" t="s">
        <v>100</v>
      </c>
      <c r="R114" t="s">
        <v>101</v>
      </c>
      <c r="S114" t="s">
        <v>53</v>
      </c>
      <c r="T114">
        <v>3</v>
      </c>
      <c r="U114">
        <v>1</v>
      </c>
      <c r="V114">
        <v>1</v>
      </c>
      <c r="W114" t="s">
        <v>111</v>
      </c>
      <c r="X114" t="s">
        <v>83</v>
      </c>
      <c r="AA114" t="s">
        <v>63</v>
      </c>
      <c r="AB114">
        <v>3</v>
      </c>
      <c r="AD114">
        <v>1</v>
      </c>
      <c r="AE114" t="s">
        <v>72</v>
      </c>
      <c r="AF114" t="s">
        <v>95</v>
      </c>
      <c r="AI114">
        <v>13</v>
      </c>
      <c r="AJ114">
        <v>38</v>
      </c>
    </row>
    <row r="115" spans="1:36" x14ac:dyDescent="0.25">
      <c r="A115" t="s">
        <v>707</v>
      </c>
      <c r="B115">
        <v>113</v>
      </c>
      <c r="C115" t="s">
        <v>48</v>
      </c>
      <c r="D115">
        <v>3</v>
      </c>
      <c r="F115">
        <v>1</v>
      </c>
      <c r="G115" t="s">
        <v>49</v>
      </c>
      <c r="H115" t="s">
        <v>50</v>
      </c>
      <c r="K115" t="s">
        <v>45</v>
      </c>
      <c r="L115">
        <v>3</v>
      </c>
      <c r="N115">
        <v>1</v>
      </c>
      <c r="O115" t="s">
        <v>47</v>
      </c>
      <c r="S115" t="s">
        <v>53</v>
      </c>
      <c r="T115">
        <v>3</v>
      </c>
      <c r="U115">
        <v>1</v>
      </c>
      <c r="V115">
        <v>2</v>
      </c>
      <c r="W115" t="s">
        <v>111</v>
      </c>
      <c r="X115" t="s">
        <v>83</v>
      </c>
      <c r="AA115" t="s">
        <v>63</v>
      </c>
      <c r="AB115">
        <v>2</v>
      </c>
      <c r="AD115">
        <v>1</v>
      </c>
      <c r="AE115" t="s">
        <v>72</v>
      </c>
      <c r="AF115" t="s">
        <v>95</v>
      </c>
      <c r="AG115" t="s">
        <v>104</v>
      </c>
      <c r="AI115">
        <v>12</v>
      </c>
      <c r="AJ115">
        <v>31</v>
      </c>
    </row>
    <row r="116" spans="1:36" x14ac:dyDescent="0.25">
      <c r="A116" t="s">
        <v>708</v>
      </c>
      <c r="B116">
        <v>114</v>
      </c>
      <c r="C116" t="s">
        <v>48</v>
      </c>
      <c r="D116">
        <v>3</v>
      </c>
      <c r="F116">
        <v>1</v>
      </c>
      <c r="G116" t="s">
        <v>49</v>
      </c>
      <c r="K116" t="s">
        <v>38</v>
      </c>
      <c r="L116">
        <v>1</v>
      </c>
      <c r="M116">
        <v>1</v>
      </c>
      <c r="N116">
        <v>1</v>
      </c>
      <c r="O116" t="s">
        <v>152</v>
      </c>
      <c r="P116" t="s">
        <v>70</v>
      </c>
      <c r="S116" t="s">
        <v>53</v>
      </c>
      <c r="T116">
        <v>1</v>
      </c>
      <c r="U116">
        <v>1</v>
      </c>
      <c r="V116">
        <v>1</v>
      </c>
      <c r="W116" t="s">
        <v>111</v>
      </c>
      <c r="AA116" t="s">
        <v>63</v>
      </c>
      <c r="AB116">
        <v>1</v>
      </c>
      <c r="AD116">
        <v>1</v>
      </c>
      <c r="AE116" t="s">
        <v>72</v>
      </c>
      <c r="AF116" t="s">
        <v>95</v>
      </c>
      <c r="AI116">
        <v>4</v>
      </c>
      <c r="AJ116">
        <v>25</v>
      </c>
    </row>
    <row r="117" spans="1:36" x14ac:dyDescent="0.25">
      <c r="A117" t="s">
        <v>709</v>
      </c>
      <c r="B117">
        <v>115</v>
      </c>
      <c r="C117" t="s">
        <v>48</v>
      </c>
      <c r="D117">
        <v>3</v>
      </c>
      <c r="F117">
        <v>3</v>
      </c>
      <c r="G117" t="s">
        <v>49</v>
      </c>
      <c r="H117" t="s">
        <v>84</v>
      </c>
      <c r="I117" t="s">
        <v>127</v>
      </c>
      <c r="K117" t="s">
        <v>227</v>
      </c>
      <c r="L117">
        <v>2</v>
      </c>
      <c r="M117">
        <v>1</v>
      </c>
      <c r="N117">
        <v>1</v>
      </c>
      <c r="O117" t="s">
        <v>228</v>
      </c>
      <c r="S117" t="s">
        <v>53</v>
      </c>
      <c r="T117">
        <v>2</v>
      </c>
      <c r="U117">
        <v>1</v>
      </c>
      <c r="V117">
        <v>1</v>
      </c>
      <c r="W117" t="s">
        <v>111</v>
      </c>
      <c r="X117" t="s">
        <v>83</v>
      </c>
      <c r="Y117" t="s">
        <v>105</v>
      </c>
      <c r="AA117" t="s">
        <v>63</v>
      </c>
      <c r="AB117">
        <v>2</v>
      </c>
      <c r="AD117">
        <v>1</v>
      </c>
      <c r="AE117" t="s">
        <v>72</v>
      </c>
      <c r="AF117" t="s">
        <v>95</v>
      </c>
      <c r="AG117" t="s">
        <v>147</v>
      </c>
      <c r="AI117">
        <v>13</v>
      </c>
      <c r="AJ117">
        <v>43</v>
      </c>
    </row>
    <row r="118" spans="1:36" x14ac:dyDescent="0.25">
      <c r="A118" t="s">
        <v>710</v>
      </c>
      <c r="B118">
        <v>116</v>
      </c>
      <c r="C118" t="s">
        <v>33</v>
      </c>
      <c r="D118">
        <v>1</v>
      </c>
      <c r="F118">
        <v>3</v>
      </c>
      <c r="G118" t="s">
        <v>34</v>
      </c>
      <c r="H118" t="s">
        <v>66</v>
      </c>
      <c r="K118" t="s">
        <v>43</v>
      </c>
      <c r="L118">
        <v>2</v>
      </c>
      <c r="N118">
        <v>2</v>
      </c>
      <c r="O118" t="s">
        <v>135</v>
      </c>
      <c r="P118" t="s">
        <v>74</v>
      </c>
      <c r="Q118" t="s">
        <v>137</v>
      </c>
      <c r="S118" t="s">
        <v>53</v>
      </c>
      <c r="T118">
        <v>1</v>
      </c>
      <c r="U118">
        <v>3</v>
      </c>
      <c r="V118">
        <v>2</v>
      </c>
      <c r="W118" t="s">
        <v>111</v>
      </c>
      <c r="X118" t="s">
        <v>83</v>
      </c>
      <c r="Y118" t="s">
        <v>97</v>
      </c>
      <c r="AA118" t="s">
        <v>63</v>
      </c>
      <c r="AB118">
        <v>1</v>
      </c>
      <c r="AD118">
        <v>1</v>
      </c>
      <c r="AE118" t="s">
        <v>72</v>
      </c>
      <c r="AF118" t="s">
        <v>95</v>
      </c>
      <c r="AI118">
        <v>13</v>
      </c>
      <c r="AJ118">
        <v>38</v>
      </c>
    </row>
    <row r="119" spans="1:36" x14ac:dyDescent="0.25">
      <c r="A119" t="s">
        <v>711</v>
      </c>
      <c r="B119">
        <v>117</v>
      </c>
      <c r="C119" t="s">
        <v>33</v>
      </c>
      <c r="D119">
        <v>1</v>
      </c>
      <c r="F119">
        <v>3</v>
      </c>
      <c r="G119" t="s">
        <v>34</v>
      </c>
      <c r="K119" t="s">
        <v>45</v>
      </c>
      <c r="L119">
        <v>3</v>
      </c>
      <c r="N119">
        <v>1</v>
      </c>
      <c r="O119" t="s">
        <v>47</v>
      </c>
      <c r="S119" t="s">
        <v>53</v>
      </c>
      <c r="T119">
        <v>2</v>
      </c>
      <c r="U119">
        <v>1</v>
      </c>
      <c r="V119">
        <v>1</v>
      </c>
      <c r="W119" t="s">
        <v>111</v>
      </c>
      <c r="X119" t="s">
        <v>83</v>
      </c>
      <c r="AA119" t="s">
        <v>63</v>
      </c>
      <c r="AB119">
        <v>2</v>
      </c>
      <c r="AD119">
        <v>1</v>
      </c>
      <c r="AE119" t="s">
        <v>72</v>
      </c>
      <c r="AF119" t="s">
        <v>91</v>
      </c>
      <c r="AI119">
        <v>8</v>
      </c>
      <c r="AJ119">
        <v>27</v>
      </c>
    </row>
    <row r="120" spans="1:36" x14ac:dyDescent="0.25">
      <c r="A120" t="s">
        <v>712</v>
      </c>
      <c r="B120">
        <v>118</v>
      </c>
      <c r="C120" t="s">
        <v>33</v>
      </c>
      <c r="D120">
        <v>2</v>
      </c>
      <c r="F120">
        <v>3</v>
      </c>
      <c r="G120" t="s">
        <v>34</v>
      </c>
      <c r="K120" t="s">
        <v>38</v>
      </c>
      <c r="L120">
        <v>2</v>
      </c>
      <c r="M120">
        <v>1</v>
      </c>
      <c r="N120">
        <v>1</v>
      </c>
      <c r="O120" t="s">
        <v>152</v>
      </c>
      <c r="P120" t="s">
        <v>70</v>
      </c>
      <c r="S120" t="s">
        <v>53</v>
      </c>
      <c r="T120">
        <v>3</v>
      </c>
      <c r="U120">
        <v>1</v>
      </c>
      <c r="V120">
        <v>1</v>
      </c>
      <c r="W120" t="s">
        <v>111</v>
      </c>
      <c r="X120" t="s">
        <v>83</v>
      </c>
      <c r="Y120" t="s">
        <v>97</v>
      </c>
      <c r="AA120" t="s">
        <v>63</v>
      </c>
      <c r="AB120">
        <v>1</v>
      </c>
      <c r="AD120">
        <v>1</v>
      </c>
      <c r="AE120" t="s">
        <v>72</v>
      </c>
      <c r="AF120" t="s">
        <v>95</v>
      </c>
      <c r="AI120">
        <v>10</v>
      </c>
      <c r="AJ120">
        <v>33</v>
      </c>
    </row>
    <row r="121" spans="1:36" x14ac:dyDescent="0.25">
      <c r="A121" t="s">
        <v>713</v>
      </c>
      <c r="B121">
        <v>119</v>
      </c>
      <c r="C121" t="s">
        <v>53</v>
      </c>
      <c r="D121">
        <v>3</v>
      </c>
      <c r="E121">
        <v>1</v>
      </c>
      <c r="F121">
        <v>1</v>
      </c>
      <c r="G121" t="s">
        <v>111</v>
      </c>
      <c r="H121" t="s">
        <v>83</v>
      </c>
      <c r="I121" t="s">
        <v>105</v>
      </c>
      <c r="J121" t="s">
        <v>98</v>
      </c>
      <c r="K121" t="s">
        <v>63</v>
      </c>
      <c r="L121">
        <v>2</v>
      </c>
      <c r="N121">
        <v>1</v>
      </c>
      <c r="O121" t="s">
        <v>72</v>
      </c>
      <c r="P121" t="s">
        <v>95</v>
      </c>
      <c r="S121" t="s">
        <v>33</v>
      </c>
      <c r="T121">
        <v>2</v>
      </c>
      <c r="V121">
        <v>3</v>
      </c>
      <c r="W121" t="s">
        <v>34</v>
      </c>
      <c r="AA121" t="s">
        <v>227</v>
      </c>
      <c r="AB121">
        <v>2</v>
      </c>
      <c r="AC121">
        <v>1</v>
      </c>
      <c r="AD121">
        <v>3</v>
      </c>
      <c r="AE121" t="s">
        <v>228</v>
      </c>
      <c r="AF121" t="s">
        <v>231</v>
      </c>
      <c r="AI121">
        <v>14</v>
      </c>
      <c r="AJ121">
        <v>31</v>
      </c>
    </row>
    <row r="122" spans="1:36" x14ac:dyDescent="0.25">
      <c r="A122" t="s">
        <v>714</v>
      </c>
      <c r="B122">
        <v>120</v>
      </c>
      <c r="C122" t="s">
        <v>43</v>
      </c>
      <c r="D122">
        <v>1</v>
      </c>
      <c r="F122">
        <v>1</v>
      </c>
      <c r="G122" t="s">
        <v>73</v>
      </c>
      <c r="H122" t="s">
        <v>99</v>
      </c>
      <c r="I122" t="s">
        <v>100</v>
      </c>
      <c r="J122" t="s">
        <v>138</v>
      </c>
      <c r="K122" t="s">
        <v>45</v>
      </c>
      <c r="L122">
        <v>3</v>
      </c>
      <c r="N122">
        <v>1</v>
      </c>
      <c r="O122" t="s">
        <v>47</v>
      </c>
      <c r="S122" t="s">
        <v>53</v>
      </c>
      <c r="T122">
        <v>2</v>
      </c>
      <c r="U122">
        <v>3</v>
      </c>
      <c r="V122">
        <v>1</v>
      </c>
      <c r="W122" t="s">
        <v>111</v>
      </c>
      <c r="AA122" t="s">
        <v>63</v>
      </c>
      <c r="AB122">
        <v>2</v>
      </c>
      <c r="AD122">
        <v>1</v>
      </c>
      <c r="AE122" t="s">
        <v>72</v>
      </c>
      <c r="AF122" t="s">
        <v>91</v>
      </c>
      <c r="AI122">
        <v>10</v>
      </c>
      <c r="AJ122">
        <v>29</v>
      </c>
    </row>
    <row r="123" spans="1:36" x14ac:dyDescent="0.25">
      <c r="A123" t="s">
        <v>715</v>
      </c>
      <c r="B123">
        <v>121</v>
      </c>
      <c r="C123" t="s">
        <v>43</v>
      </c>
      <c r="D123">
        <v>3</v>
      </c>
      <c r="F123">
        <v>2</v>
      </c>
      <c r="G123" t="s">
        <v>73</v>
      </c>
      <c r="H123" t="s">
        <v>74</v>
      </c>
      <c r="I123" t="s">
        <v>75</v>
      </c>
      <c r="K123" t="s">
        <v>38</v>
      </c>
      <c r="L123">
        <v>1</v>
      </c>
      <c r="M123">
        <v>1</v>
      </c>
      <c r="N123">
        <v>1</v>
      </c>
      <c r="O123" t="s">
        <v>152</v>
      </c>
      <c r="P123" t="s">
        <v>70</v>
      </c>
      <c r="S123" t="s">
        <v>53</v>
      </c>
      <c r="T123">
        <v>1</v>
      </c>
      <c r="U123">
        <v>1</v>
      </c>
      <c r="V123">
        <v>2</v>
      </c>
      <c r="W123" t="s">
        <v>111</v>
      </c>
      <c r="AA123" t="s">
        <v>63</v>
      </c>
      <c r="AB123">
        <v>3</v>
      </c>
      <c r="AD123">
        <v>1</v>
      </c>
      <c r="AE123" t="s">
        <v>72</v>
      </c>
      <c r="AF123" t="s">
        <v>146</v>
      </c>
      <c r="AI123">
        <v>10</v>
      </c>
      <c r="AJ123">
        <v>29</v>
      </c>
    </row>
    <row r="124" spans="1:36" x14ac:dyDescent="0.25">
      <c r="A124" t="s">
        <v>716</v>
      </c>
      <c r="B124">
        <v>122</v>
      </c>
      <c r="C124" t="s">
        <v>43</v>
      </c>
      <c r="D124">
        <v>2</v>
      </c>
      <c r="F124">
        <v>1</v>
      </c>
      <c r="G124" t="s">
        <v>135</v>
      </c>
      <c r="H124" t="s">
        <v>74</v>
      </c>
      <c r="I124" t="s">
        <v>75</v>
      </c>
      <c r="J124" t="s">
        <v>101</v>
      </c>
      <c r="K124" t="s">
        <v>227</v>
      </c>
      <c r="L124">
        <v>3</v>
      </c>
      <c r="M124">
        <v>1</v>
      </c>
      <c r="N124">
        <v>1</v>
      </c>
      <c r="O124" t="s">
        <v>228</v>
      </c>
      <c r="P124" t="s">
        <v>231</v>
      </c>
      <c r="S124" t="s">
        <v>53</v>
      </c>
      <c r="T124">
        <v>1</v>
      </c>
      <c r="U124">
        <v>3</v>
      </c>
      <c r="V124">
        <v>1</v>
      </c>
      <c r="W124" t="s">
        <v>111</v>
      </c>
      <c r="X124" t="s">
        <v>83</v>
      </c>
      <c r="Y124" t="s">
        <v>105</v>
      </c>
      <c r="AA124" t="s">
        <v>63</v>
      </c>
      <c r="AB124">
        <v>2</v>
      </c>
      <c r="AD124">
        <v>1</v>
      </c>
      <c r="AE124" t="s">
        <v>72</v>
      </c>
      <c r="AF124" t="s">
        <v>95</v>
      </c>
      <c r="AI124">
        <v>13</v>
      </c>
      <c r="AJ124">
        <v>29</v>
      </c>
    </row>
    <row r="125" spans="1:36" x14ac:dyDescent="0.25">
      <c r="A125" t="s">
        <v>717</v>
      </c>
      <c r="B125">
        <v>123</v>
      </c>
      <c r="C125" t="s">
        <v>45</v>
      </c>
      <c r="D125">
        <v>3</v>
      </c>
      <c r="F125">
        <v>3</v>
      </c>
      <c r="G125" t="s">
        <v>86</v>
      </c>
      <c r="K125" t="s">
        <v>38</v>
      </c>
      <c r="L125">
        <v>1</v>
      </c>
      <c r="M125">
        <v>1</v>
      </c>
      <c r="N125">
        <v>1</v>
      </c>
      <c r="O125" t="s">
        <v>152</v>
      </c>
      <c r="P125" t="s">
        <v>70</v>
      </c>
      <c r="Q125" t="s">
        <v>41</v>
      </c>
      <c r="R125" t="s">
        <v>155</v>
      </c>
      <c r="S125" t="s">
        <v>53</v>
      </c>
      <c r="T125">
        <v>1</v>
      </c>
      <c r="U125">
        <v>1</v>
      </c>
      <c r="V125">
        <v>1</v>
      </c>
      <c r="W125" t="s">
        <v>111</v>
      </c>
      <c r="AA125" t="s">
        <v>63</v>
      </c>
      <c r="AB125">
        <v>3</v>
      </c>
      <c r="AD125">
        <v>1</v>
      </c>
      <c r="AE125" t="s">
        <v>72</v>
      </c>
      <c r="AF125" t="s">
        <v>146</v>
      </c>
      <c r="AG125" t="s">
        <v>148</v>
      </c>
      <c r="AI125">
        <v>11</v>
      </c>
      <c r="AJ125">
        <v>32</v>
      </c>
    </row>
    <row r="126" spans="1:36" x14ac:dyDescent="0.25">
      <c r="A126" t="s">
        <v>718</v>
      </c>
      <c r="B126">
        <v>124</v>
      </c>
      <c r="C126" t="s">
        <v>53</v>
      </c>
      <c r="D126">
        <v>2</v>
      </c>
      <c r="E126">
        <v>1</v>
      </c>
      <c r="F126">
        <v>1</v>
      </c>
      <c r="G126" t="s">
        <v>54</v>
      </c>
      <c r="K126" t="s">
        <v>63</v>
      </c>
      <c r="L126">
        <v>2</v>
      </c>
      <c r="N126">
        <v>2</v>
      </c>
      <c r="O126" t="s">
        <v>72</v>
      </c>
      <c r="P126" t="s">
        <v>95</v>
      </c>
      <c r="S126" t="s">
        <v>45</v>
      </c>
      <c r="T126">
        <v>3</v>
      </c>
      <c r="V126">
        <v>1</v>
      </c>
      <c r="W126" t="s">
        <v>47</v>
      </c>
      <c r="AA126" t="s">
        <v>227</v>
      </c>
      <c r="AB126">
        <v>1</v>
      </c>
      <c r="AC126">
        <v>1</v>
      </c>
      <c r="AD126">
        <v>1</v>
      </c>
      <c r="AE126" t="s">
        <v>228</v>
      </c>
      <c r="AI126">
        <v>6</v>
      </c>
      <c r="AJ126">
        <v>21</v>
      </c>
    </row>
    <row r="127" spans="1:36" x14ac:dyDescent="0.25">
      <c r="A127" t="s">
        <v>719</v>
      </c>
      <c r="B127">
        <v>125</v>
      </c>
      <c r="C127" t="s">
        <v>38</v>
      </c>
      <c r="D127">
        <v>3</v>
      </c>
      <c r="E127">
        <v>1</v>
      </c>
      <c r="F127">
        <v>2</v>
      </c>
      <c r="G127" t="s">
        <v>152</v>
      </c>
      <c r="H127" t="s">
        <v>96</v>
      </c>
      <c r="K127" t="s">
        <v>227</v>
      </c>
      <c r="L127">
        <v>3</v>
      </c>
      <c r="M127">
        <v>1</v>
      </c>
      <c r="N127">
        <v>1</v>
      </c>
      <c r="O127" t="s">
        <v>228</v>
      </c>
      <c r="S127" t="s">
        <v>53</v>
      </c>
      <c r="T127">
        <v>2</v>
      </c>
      <c r="U127">
        <v>1</v>
      </c>
      <c r="V127">
        <v>1</v>
      </c>
      <c r="W127" t="s">
        <v>54</v>
      </c>
      <c r="X127" t="s">
        <v>83</v>
      </c>
      <c r="Y127" t="s">
        <v>114</v>
      </c>
      <c r="AA127" t="s">
        <v>63</v>
      </c>
      <c r="AB127">
        <v>1</v>
      </c>
      <c r="AD127">
        <v>2</v>
      </c>
      <c r="AE127" t="s">
        <v>72</v>
      </c>
      <c r="AF127" t="s">
        <v>95</v>
      </c>
      <c r="AI127">
        <v>11</v>
      </c>
      <c r="AJ127">
        <v>35</v>
      </c>
    </row>
    <row r="128" spans="1:36" x14ac:dyDescent="0.25">
      <c r="A128" t="s">
        <v>720</v>
      </c>
      <c r="B128">
        <v>126</v>
      </c>
      <c r="C128" t="s">
        <v>56</v>
      </c>
      <c r="D128">
        <v>1</v>
      </c>
      <c r="F128">
        <v>1</v>
      </c>
      <c r="G128" t="s">
        <v>57</v>
      </c>
      <c r="H128" t="s">
        <v>122</v>
      </c>
      <c r="I128" t="s">
        <v>85</v>
      </c>
      <c r="K128" t="s">
        <v>48</v>
      </c>
      <c r="L128">
        <v>3</v>
      </c>
      <c r="N128">
        <v>2</v>
      </c>
      <c r="O128" t="s">
        <v>49</v>
      </c>
      <c r="P128" t="s">
        <v>71</v>
      </c>
      <c r="Q128" t="s">
        <v>127</v>
      </c>
      <c r="S128" t="s">
        <v>53</v>
      </c>
      <c r="T128">
        <v>3</v>
      </c>
      <c r="U128">
        <v>3</v>
      </c>
      <c r="V128">
        <v>2</v>
      </c>
      <c r="W128" t="s">
        <v>111</v>
      </c>
      <c r="X128" t="s">
        <v>83</v>
      </c>
      <c r="AA128" t="s">
        <v>38</v>
      </c>
      <c r="AB128">
        <v>1</v>
      </c>
      <c r="AC128">
        <v>1</v>
      </c>
      <c r="AD128">
        <v>2</v>
      </c>
      <c r="AE128" t="s">
        <v>152</v>
      </c>
      <c r="AI128">
        <v>14</v>
      </c>
      <c r="AJ128">
        <v>31</v>
      </c>
    </row>
    <row r="129" spans="1:36" x14ac:dyDescent="0.25">
      <c r="A129" t="s">
        <v>721</v>
      </c>
      <c r="B129">
        <v>127</v>
      </c>
      <c r="C129" t="s">
        <v>53</v>
      </c>
      <c r="D129">
        <v>2</v>
      </c>
      <c r="E129">
        <v>3</v>
      </c>
      <c r="F129">
        <v>2</v>
      </c>
      <c r="G129" t="s">
        <v>111</v>
      </c>
      <c r="H129" t="s">
        <v>55</v>
      </c>
      <c r="K129" t="s">
        <v>38</v>
      </c>
      <c r="L129">
        <v>1</v>
      </c>
      <c r="M129">
        <v>1</v>
      </c>
      <c r="N129">
        <v>2</v>
      </c>
      <c r="O129" t="s">
        <v>67</v>
      </c>
      <c r="S129" t="s">
        <v>56</v>
      </c>
      <c r="T129">
        <v>2</v>
      </c>
      <c r="V129">
        <v>1</v>
      </c>
      <c r="W129" t="s">
        <v>57</v>
      </c>
      <c r="X129" t="s">
        <v>122</v>
      </c>
      <c r="AA129" t="s">
        <v>33</v>
      </c>
      <c r="AB129">
        <v>1</v>
      </c>
      <c r="AD129">
        <v>2</v>
      </c>
      <c r="AE129" t="s">
        <v>46</v>
      </c>
      <c r="AI129">
        <v>9</v>
      </c>
      <c r="AJ129">
        <v>25</v>
      </c>
    </row>
    <row r="130" spans="1:36" x14ac:dyDescent="0.25">
      <c r="A130" t="s">
        <v>722</v>
      </c>
      <c r="B130">
        <v>128</v>
      </c>
      <c r="C130" t="s">
        <v>53</v>
      </c>
      <c r="D130">
        <v>2</v>
      </c>
      <c r="E130">
        <v>3</v>
      </c>
      <c r="F130">
        <v>1</v>
      </c>
      <c r="G130" t="s">
        <v>111</v>
      </c>
      <c r="K130" t="s">
        <v>38</v>
      </c>
      <c r="L130">
        <v>1</v>
      </c>
      <c r="M130">
        <v>1</v>
      </c>
      <c r="N130">
        <v>2</v>
      </c>
      <c r="O130" t="s">
        <v>67</v>
      </c>
      <c r="P130" t="s">
        <v>70</v>
      </c>
      <c r="Q130" t="s">
        <v>41</v>
      </c>
      <c r="S130" t="s">
        <v>56</v>
      </c>
      <c r="T130">
        <v>1</v>
      </c>
      <c r="V130">
        <v>1</v>
      </c>
      <c r="W130" t="s">
        <v>57</v>
      </c>
      <c r="X130" t="s">
        <v>121</v>
      </c>
      <c r="AA130" t="s">
        <v>43</v>
      </c>
      <c r="AB130">
        <v>2</v>
      </c>
      <c r="AD130">
        <v>1</v>
      </c>
      <c r="AE130" t="s">
        <v>73</v>
      </c>
      <c r="AF130" t="s">
        <v>74</v>
      </c>
      <c r="AI130">
        <v>9</v>
      </c>
      <c r="AJ130">
        <v>25</v>
      </c>
    </row>
    <row r="131" spans="1:36" x14ac:dyDescent="0.25">
      <c r="A131" t="s">
        <v>723</v>
      </c>
      <c r="B131">
        <v>129</v>
      </c>
      <c r="C131" t="s">
        <v>53</v>
      </c>
      <c r="D131">
        <v>2</v>
      </c>
      <c r="E131">
        <v>1</v>
      </c>
      <c r="F131">
        <v>1</v>
      </c>
      <c r="G131" t="s">
        <v>111</v>
      </c>
      <c r="H131" t="s">
        <v>83</v>
      </c>
      <c r="K131" t="s">
        <v>38</v>
      </c>
      <c r="L131">
        <v>1</v>
      </c>
      <c r="M131">
        <v>1</v>
      </c>
      <c r="N131">
        <v>2</v>
      </c>
      <c r="O131" t="s">
        <v>67</v>
      </c>
      <c r="S131" t="s">
        <v>56</v>
      </c>
      <c r="T131">
        <v>3</v>
      </c>
      <c r="V131">
        <v>1</v>
      </c>
      <c r="W131" t="s">
        <v>57</v>
      </c>
      <c r="AA131" t="s">
        <v>45</v>
      </c>
      <c r="AB131">
        <v>2</v>
      </c>
      <c r="AD131">
        <v>1</v>
      </c>
      <c r="AE131" t="s">
        <v>47</v>
      </c>
      <c r="AI131">
        <v>6</v>
      </c>
      <c r="AJ131">
        <v>16</v>
      </c>
    </row>
    <row r="132" spans="1:36" x14ac:dyDescent="0.25">
      <c r="A132" t="s">
        <v>724</v>
      </c>
      <c r="B132">
        <v>130</v>
      </c>
      <c r="C132" t="s">
        <v>53</v>
      </c>
      <c r="D132">
        <v>2</v>
      </c>
      <c r="E132">
        <v>3</v>
      </c>
      <c r="F132">
        <v>1</v>
      </c>
      <c r="G132" t="s">
        <v>111</v>
      </c>
      <c r="H132" t="s">
        <v>83</v>
      </c>
      <c r="K132" t="s">
        <v>38</v>
      </c>
      <c r="L132">
        <v>1</v>
      </c>
      <c r="M132">
        <v>1</v>
      </c>
      <c r="N132">
        <v>1</v>
      </c>
      <c r="O132" t="s">
        <v>152</v>
      </c>
      <c r="S132" t="s">
        <v>56</v>
      </c>
      <c r="T132">
        <v>1</v>
      </c>
      <c r="V132">
        <v>1</v>
      </c>
      <c r="W132" t="s">
        <v>57</v>
      </c>
      <c r="AA132" t="s">
        <v>63</v>
      </c>
      <c r="AB132">
        <v>2</v>
      </c>
      <c r="AD132">
        <v>1</v>
      </c>
      <c r="AE132" t="s">
        <v>72</v>
      </c>
      <c r="AF132" t="s">
        <v>95</v>
      </c>
      <c r="AG132" t="s">
        <v>147</v>
      </c>
      <c r="AI132">
        <v>7</v>
      </c>
      <c r="AJ132">
        <v>27</v>
      </c>
    </row>
    <row r="133" spans="1:36" x14ac:dyDescent="0.25">
      <c r="A133" t="s">
        <v>725</v>
      </c>
      <c r="B133">
        <v>131</v>
      </c>
      <c r="C133" t="s">
        <v>53</v>
      </c>
      <c r="D133">
        <v>2</v>
      </c>
      <c r="E133">
        <v>1</v>
      </c>
      <c r="F133">
        <v>1</v>
      </c>
      <c r="G133" t="s">
        <v>54</v>
      </c>
      <c r="H133" t="s">
        <v>83</v>
      </c>
      <c r="K133" t="s">
        <v>38</v>
      </c>
      <c r="L133">
        <v>1</v>
      </c>
      <c r="M133">
        <v>1</v>
      </c>
      <c r="N133">
        <v>2</v>
      </c>
      <c r="O133" t="s">
        <v>152</v>
      </c>
      <c r="P133" t="s">
        <v>70</v>
      </c>
      <c r="S133" t="s">
        <v>56</v>
      </c>
      <c r="T133">
        <v>1</v>
      </c>
      <c r="V133">
        <v>1</v>
      </c>
      <c r="W133" t="s">
        <v>57</v>
      </c>
      <c r="X133" t="s">
        <v>122</v>
      </c>
      <c r="Y133" t="s">
        <v>123</v>
      </c>
      <c r="AA133" t="s">
        <v>227</v>
      </c>
      <c r="AB133">
        <v>1</v>
      </c>
      <c r="AC133">
        <v>1</v>
      </c>
      <c r="AD133">
        <v>1</v>
      </c>
      <c r="AE133" t="s">
        <v>228</v>
      </c>
      <c r="AI133">
        <v>6</v>
      </c>
      <c r="AJ133">
        <v>25</v>
      </c>
    </row>
    <row r="134" spans="1:36" x14ac:dyDescent="0.25">
      <c r="A134" t="s">
        <v>726</v>
      </c>
      <c r="B134">
        <v>132</v>
      </c>
      <c r="C134" t="s">
        <v>53</v>
      </c>
      <c r="D134">
        <v>3</v>
      </c>
      <c r="E134">
        <v>1</v>
      </c>
      <c r="F134">
        <v>1</v>
      </c>
      <c r="G134" t="s">
        <v>111</v>
      </c>
      <c r="H134" t="s">
        <v>83</v>
      </c>
      <c r="K134" t="s">
        <v>38</v>
      </c>
      <c r="L134">
        <v>1</v>
      </c>
      <c r="M134">
        <v>1</v>
      </c>
      <c r="N134">
        <v>2</v>
      </c>
      <c r="O134" t="s">
        <v>39</v>
      </c>
      <c r="P134" t="s">
        <v>70</v>
      </c>
      <c r="S134" t="s">
        <v>48</v>
      </c>
      <c r="T134">
        <v>3</v>
      </c>
      <c r="V134">
        <v>2</v>
      </c>
      <c r="W134" t="s">
        <v>49</v>
      </c>
      <c r="AA134" t="s">
        <v>33</v>
      </c>
      <c r="AB134">
        <v>1</v>
      </c>
      <c r="AD134">
        <v>1</v>
      </c>
      <c r="AE134" t="s">
        <v>46</v>
      </c>
      <c r="AI134">
        <v>8</v>
      </c>
      <c r="AJ134">
        <v>22</v>
      </c>
    </row>
    <row r="135" spans="1:36" x14ac:dyDescent="0.25">
      <c r="A135" t="s">
        <v>727</v>
      </c>
      <c r="B135">
        <v>133</v>
      </c>
      <c r="C135" t="s">
        <v>53</v>
      </c>
      <c r="D135">
        <v>3</v>
      </c>
      <c r="E135">
        <v>1</v>
      </c>
      <c r="F135">
        <v>1</v>
      </c>
      <c r="G135" t="s">
        <v>111</v>
      </c>
      <c r="H135" t="s">
        <v>83</v>
      </c>
      <c r="K135" t="s">
        <v>38</v>
      </c>
      <c r="L135">
        <v>2</v>
      </c>
      <c r="M135">
        <v>1</v>
      </c>
      <c r="N135">
        <v>2</v>
      </c>
      <c r="O135" t="s">
        <v>67</v>
      </c>
      <c r="P135" t="s">
        <v>70</v>
      </c>
      <c r="S135" t="s">
        <v>48</v>
      </c>
      <c r="T135">
        <v>1</v>
      </c>
      <c r="V135">
        <v>2</v>
      </c>
      <c r="W135" t="s">
        <v>49</v>
      </c>
      <c r="X135" t="s">
        <v>84</v>
      </c>
      <c r="Y135" t="s">
        <v>127</v>
      </c>
      <c r="AA135" t="s">
        <v>43</v>
      </c>
      <c r="AB135">
        <v>1</v>
      </c>
      <c r="AD135">
        <v>1</v>
      </c>
      <c r="AE135" t="s">
        <v>73</v>
      </c>
      <c r="AF135" t="s">
        <v>99</v>
      </c>
      <c r="AI135">
        <v>10</v>
      </c>
      <c r="AJ135">
        <v>26</v>
      </c>
    </row>
    <row r="136" spans="1:36" x14ac:dyDescent="0.25">
      <c r="A136" t="s">
        <v>728</v>
      </c>
      <c r="B136">
        <v>134</v>
      </c>
      <c r="C136" t="s">
        <v>53</v>
      </c>
      <c r="D136">
        <v>3</v>
      </c>
      <c r="E136">
        <v>1</v>
      </c>
      <c r="F136">
        <v>1</v>
      </c>
      <c r="G136" t="s">
        <v>111</v>
      </c>
      <c r="H136" t="s">
        <v>83</v>
      </c>
      <c r="K136" t="s">
        <v>38</v>
      </c>
      <c r="L136">
        <v>2</v>
      </c>
      <c r="M136">
        <v>1</v>
      </c>
      <c r="N136">
        <v>2</v>
      </c>
      <c r="O136" t="s">
        <v>67</v>
      </c>
      <c r="S136" t="s">
        <v>48</v>
      </c>
      <c r="T136">
        <v>3</v>
      </c>
      <c r="V136">
        <v>2</v>
      </c>
      <c r="W136" t="s">
        <v>49</v>
      </c>
      <c r="AA136" t="s">
        <v>45</v>
      </c>
      <c r="AB136">
        <v>3</v>
      </c>
      <c r="AD136">
        <v>1</v>
      </c>
      <c r="AE136" t="s">
        <v>47</v>
      </c>
      <c r="AI136">
        <v>10</v>
      </c>
      <c r="AJ136">
        <v>27</v>
      </c>
    </row>
    <row r="137" spans="1:36" x14ac:dyDescent="0.25">
      <c r="A137" t="s">
        <v>729</v>
      </c>
      <c r="B137">
        <v>135</v>
      </c>
      <c r="C137" t="s">
        <v>53</v>
      </c>
      <c r="D137">
        <v>3</v>
      </c>
      <c r="E137">
        <v>1</v>
      </c>
      <c r="F137">
        <v>1</v>
      </c>
      <c r="G137" t="s">
        <v>54</v>
      </c>
      <c r="K137" t="s">
        <v>38</v>
      </c>
      <c r="L137">
        <v>1</v>
      </c>
      <c r="M137">
        <v>2</v>
      </c>
      <c r="N137">
        <v>2</v>
      </c>
      <c r="O137" t="s">
        <v>152</v>
      </c>
      <c r="S137" t="s">
        <v>48</v>
      </c>
      <c r="T137">
        <v>3</v>
      </c>
      <c r="V137">
        <v>1</v>
      </c>
      <c r="W137" t="s">
        <v>49</v>
      </c>
      <c r="AA137" t="s">
        <v>63</v>
      </c>
      <c r="AB137">
        <v>1</v>
      </c>
      <c r="AD137">
        <v>1</v>
      </c>
      <c r="AE137" t="s">
        <v>103</v>
      </c>
      <c r="AF137" t="s">
        <v>91</v>
      </c>
      <c r="AI137">
        <v>7</v>
      </c>
      <c r="AJ137">
        <v>23</v>
      </c>
    </row>
    <row r="138" spans="1:36" x14ac:dyDescent="0.25">
      <c r="A138" t="s">
        <v>730</v>
      </c>
      <c r="B138">
        <v>136</v>
      </c>
      <c r="C138" t="s">
        <v>53</v>
      </c>
      <c r="D138">
        <v>2</v>
      </c>
      <c r="E138">
        <v>1</v>
      </c>
      <c r="F138">
        <v>1</v>
      </c>
      <c r="G138" t="s">
        <v>54</v>
      </c>
      <c r="H138" t="s">
        <v>83</v>
      </c>
      <c r="K138" t="s">
        <v>38</v>
      </c>
      <c r="L138">
        <v>1</v>
      </c>
      <c r="M138">
        <v>1</v>
      </c>
      <c r="N138">
        <v>2</v>
      </c>
      <c r="O138" t="s">
        <v>67</v>
      </c>
      <c r="P138" t="s">
        <v>70</v>
      </c>
      <c r="S138" t="s">
        <v>48</v>
      </c>
      <c r="T138">
        <v>3</v>
      </c>
      <c r="V138">
        <v>2</v>
      </c>
      <c r="W138" t="s">
        <v>49</v>
      </c>
      <c r="AA138" t="s">
        <v>227</v>
      </c>
      <c r="AB138">
        <v>1</v>
      </c>
      <c r="AC138">
        <v>1</v>
      </c>
      <c r="AD138">
        <v>1</v>
      </c>
      <c r="AE138" t="s">
        <v>228</v>
      </c>
      <c r="AF138" t="s">
        <v>231</v>
      </c>
      <c r="AG138" t="s">
        <v>235</v>
      </c>
      <c r="AI138">
        <v>9</v>
      </c>
      <c r="AJ138">
        <v>35</v>
      </c>
    </row>
    <row r="139" spans="1:36" x14ac:dyDescent="0.25">
      <c r="A139" t="s">
        <v>731</v>
      </c>
      <c r="B139">
        <v>137</v>
      </c>
      <c r="C139" t="s">
        <v>53</v>
      </c>
      <c r="D139">
        <v>2</v>
      </c>
      <c r="E139">
        <v>1</v>
      </c>
      <c r="F139">
        <v>1</v>
      </c>
      <c r="G139" t="s">
        <v>111</v>
      </c>
      <c r="K139" t="s">
        <v>38</v>
      </c>
      <c r="L139">
        <v>1</v>
      </c>
      <c r="M139">
        <v>1</v>
      </c>
      <c r="N139">
        <v>2</v>
      </c>
      <c r="O139" t="s">
        <v>39</v>
      </c>
      <c r="P139" t="s">
        <v>70</v>
      </c>
      <c r="Q139" t="s">
        <v>41</v>
      </c>
      <c r="S139" t="s">
        <v>33</v>
      </c>
      <c r="T139">
        <v>1</v>
      </c>
      <c r="V139">
        <v>3</v>
      </c>
      <c r="W139" t="s">
        <v>34</v>
      </c>
      <c r="X139" t="s">
        <v>35</v>
      </c>
      <c r="AA139" t="s">
        <v>43</v>
      </c>
      <c r="AB139">
        <v>1</v>
      </c>
      <c r="AD139">
        <v>1</v>
      </c>
      <c r="AE139" t="s">
        <v>73</v>
      </c>
      <c r="AF139" t="s">
        <v>99</v>
      </c>
      <c r="AI139">
        <v>8</v>
      </c>
      <c r="AJ139">
        <v>23</v>
      </c>
    </row>
    <row r="140" spans="1:36" x14ac:dyDescent="0.25">
      <c r="A140" t="s">
        <v>732</v>
      </c>
      <c r="B140">
        <v>138</v>
      </c>
      <c r="C140" t="s">
        <v>53</v>
      </c>
      <c r="D140">
        <v>3</v>
      </c>
      <c r="E140">
        <v>1</v>
      </c>
      <c r="F140">
        <v>1</v>
      </c>
      <c r="G140" t="s">
        <v>111</v>
      </c>
      <c r="H140" t="s">
        <v>83</v>
      </c>
      <c r="K140" t="s">
        <v>38</v>
      </c>
      <c r="L140">
        <v>2</v>
      </c>
      <c r="M140">
        <v>1</v>
      </c>
      <c r="N140">
        <v>2</v>
      </c>
      <c r="O140" t="s">
        <v>39</v>
      </c>
      <c r="P140" t="s">
        <v>70</v>
      </c>
      <c r="S140" t="s">
        <v>33</v>
      </c>
      <c r="T140">
        <v>2</v>
      </c>
      <c r="V140">
        <v>3</v>
      </c>
      <c r="W140" t="s">
        <v>34</v>
      </c>
      <c r="AA140" t="s">
        <v>45</v>
      </c>
      <c r="AB140">
        <v>2</v>
      </c>
      <c r="AD140">
        <v>1</v>
      </c>
      <c r="AE140" t="s">
        <v>86</v>
      </c>
      <c r="AI140">
        <v>10</v>
      </c>
      <c r="AJ140">
        <v>23</v>
      </c>
    </row>
    <row r="141" spans="1:36" x14ac:dyDescent="0.25">
      <c r="A141" t="s">
        <v>733</v>
      </c>
      <c r="B141">
        <v>139</v>
      </c>
      <c r="C141" t="s">
        <v>33</v>
      </c>
      <c r="D141">
        <v>1</v>
      </c>
      <c r="F141">
        <v>3</v>
      </c>
      <c r="G141" t="s">
        <v>65</v>
      </c>
      <c r="K141" t="s">
        <v>63</v>
      </c>
      <c r="L141">
        <v>1</v>
      </c>
      <c r="N141">
        <v>1</v>
      </c>
      <c r="O141" t="s">
        <v>103</v>
      </c>
      <c r="P141" t="s">
        <v>91</v>
      </c>
      <c r="Q141" t="s">
        <v>147</v>
      </c>
      <c r="S141" t="s">
        <v>53</v>
      </c>
      <c r="T141">
        <v>2</v>
      </c>
      <c r="U141">
        <v>1</v>
      </c>
      <c r="V141">
        <v>1</v>
      </c>
      <c r="W141" t="s">
        <v>111</v>
      </c>
      <c r="AA141" t="s">
        <v>38</v>
      </c>
      <c r="AB141">
        <v>3</v>
      </c>
      <c r="AC141">
        <v>1</v>
      </c>
      <c r="AD141">
        <v>2</v>
      </c>
      <c r="AE141" t="s">
        <v>67</v>
      </c>
      <c r="AI141">
        <v>8</v>
      </c>
      <c r="AJ141">
        <v>26</v>
      </c>
    </row>
    <row r="142" spans="1:36" x14ac:dyDescent="0.25">
      <c r="A142" t="s">
        <v>734</v>
      </c>
      <c r="B142">
        <v>140</v>
      </c>
      <c r="C142" t="s">
        <v>53</v>
      </c>
      <c r="D142">
        <v>1</v>
      </c>
      <c r="E142">
        <v>1</v>
      </c>
      <c r="F142">
        <v>1</v>
      </c>
      <c r="G142" t="s">
        <v>111</v>
      </c>
      <c r="H142" t="s">
        <v>83</v>
      </c>
      <c r="I142" t="s">
        <v>114</v>
      </c>
      <c r="K142" t="s">
        <v>38</v>
      </c>
      <c r="L142">
        <v>1</v>
      </c>
      <c r="M142">
        <v>1</v>
      </c>
      <c r="N142">
        <v>1</v>
      </c>
      <c r="O142" t="s">
        <v>67</v>
      </c>
      <c r="P142" t="s">
        <v>70</v>
      </c>
      <c r="S142" t="s">
        <v>33</v>
      </c>
      <c r="T142">
        <v>1</v>
      </c>
      <c r="V142">
        <v>2</v>
      </c>
      <c r="W142" t="s">
        <v>46</v>
      </c>
      <c r="AA142" t="s">
        <v>227</v>
      </c>
      <c r="AB142">
        <v>2</v>
      </c>
      <c r="AC142">
        <v>1</v>
      </c>
      <c r="AD142">
        <v>1</v>
      </c>
      <c r="AE142" t="s">
        <v>228</v>
      </c>
      <c r="AI142">
        <v>5</v>
      </c>
      <c r="AJ142">
        <v>30</v>
      </c>
    </row>
    <row r="143" spans="1:36" x14ac:dyDescent="0.25">
      <c r="A143" s="39" t="s">
        <v>735</v>
      </c>
      <c r="B143">
        <v>141</v>
      </c>
      <c r="C143" t="s">
        <v>53</v>
      </c>
      <c r="D143">
        <v>1</v>
      </c>
      <c r="E143">
        <v>1</v>
      </c>
      <c r="F143">
        <v>1</v>
      </c>
      <c r="G143" t="s">
        <v>111</v>
      </c>
      <c r="H143" t="s">
        <v>83</v>
      </c>
      <c r="I143" t="s">
        <v>105</v>
      </c>
      <c r="K143" t="s">
        <v>38</v>
      </c>
      <c r="L143">
        <v>1</v>
      </c>
      <c r="M143">
        <v>1</v>
      </c>
      <c r="N143">
        <v>3</v>
      </c>
      <c r="O143" t="s">
        <v>67</v>
      </c>
      <c r="P143" t="s">
        <v>70</v>
      </c>
      <c r="S143" t="s">
        <v>43</v>
      </c>
      <c r="T143">
        <v>1</v>
      </c>
      <c r="V143">
        <v>1</v>
      </c>
      <c r="W143" t="s">
        <v>73</v>
      </c>
      <c r="X143" t="s">
        <v>99</v>
      </c>
      <c r="Y143" t="s">
        <v>100</v>
      </c>
      <c r="Z143" t="s">
        <v>101</v>
      </c>
      <c r="AA143" t="s">
        <v>45</v>
      </c>
      <c r="AB143">
        <v>2</v>
      </c>
      <c r="AD143">
        <v>1</v>
      </c>
      <c r="AE143" t="s">
        <v>140</v>
      </c>
      <c r="AI143">
        <v>9</v>
      </c>
      <c r="AJ143">
        <v>37</v>
      </c>
    </row>
    <row r="144" spans="1:36" x14ac:dyDescent="0.25">
      <c r="A144" t="s">
        <v>736</v>
      </c>
      <c r="B144">
        <v>142</v>
      </c>
      <c r="C144" t="s">
        <v>43</v>
      </c>
      <c r="D144">
        <v>1</v>
      </c>
      <c r="F144">
        <v>1</v>
      </c>
      <c r="G144" t="s">
        <v>73</v>
      </c>
      <c r="H144" t="s">
        <v>74</v>
      </c>
      <c r="I144" t="s">
        <v>100</v>
      </c>
      <c r="K144" t="s">
        <v>63</v>
      </c>
      <c r="L144">
        <v>2</v>
      </c>
      <c r="N144">
        <v>1</v>
      </c>
      <c r="O144" t="s">
        <v>103</v>
      </c>
      <c r="P144" t="s">
        <v>95</v>
      </c>
      <c r="S144" t="s">
        <v>53</v>
      </c>
      <c r="T144">
        <v>2</v>
      </c>
      <c r="U144">
        <v>1</v>
      </c>
      <c r="V144">
        <v>2</v>
      </c>
      <c r="W144" t="s">
        <v>111</v>
      </c>
      <c r="X144" t="s">
        <v>83</v>
      </c>
      <c r="Y144" t="s">
        <v>97</v>
      </c>
      <c r="AA144" t="s">
        <v>38</v>
      </c>
      <c r="AB144">
        <v>1</v>
      </c>
      <c r="AC144">
        <v>1</v>
      </c>
      <c r="AD144">
        <v>2</v>
      </c>
      <c r="AE144" t="s">
        <v>67</v>
      </c>
      <c r="AF144" t="s">
        <v>70</v>
      </c>
      <c r="AG144" t="s">
        <v>41</v>
      </c>
      <c r="AI144">
        <v>11</v>
      </c>
      <c r="AJ144">
        <v>41</v>
      </c>
    </row>
    <row r="145" spans="1:36" x14ac:dyDescent="0.25">
      <c r="A145" t="s">
        <v>737</v>
      </c>
      <c r="B145">
        <v>143</v>
      </c>
      <c r="C145" t="s">
        <v>53</v>
      </c>
      <c r="D145">
        <v>2</v>
      </c>
      <c r="E145">
        <v>1</v>
      </c>
      <c r="F145">
        <v>2</v>
      </c>
      <c r="G145" t="s">
        <v>111</v>
      </c>
      <c r="H145" t="s">
        <v>83</v>
      </c>
      <c r="I145" t="s">
        <v>105</v>
      </c>
      <c r="J145" t="s">
        <v>115</v>
      </c>
      <c r="K145" t="s">
        <v>38</v>
      </c>
      <c r="L145">
        <v>1</v>
      </c>
      <c r="M145">
        <v>1</v>
      </c>
      <c r="N145">
        <v>1</v>
      </c>
      <c r="O145" t="s">
        <v>67</v>
      </c>
      <c r="P145" t="s">
        <v>70</v>
      </c>
      <c r="S145" t="s">
        <v>43</v>
      </c>
      <c r="T145">
        <v>1</v>
      </c>
      <c r="V145">
        <v>1</v>
      </c>
      <c r="W145" t="s">
        <v>73</v>
      </c>
      <c r="X145" t="s">
        <v>74</v>
      </c>
      <c r="Y145" t="s">
        <v>75</v>
      </c>
      <c r="AA145" t="s">
        <v>227</v>
      </c>
      <c r="AB145">
        <v>1</v>
      </c>
      <c r="AC145">
        <v>1</v>
      </c>
      <c r="AD145">
        <v>2</v>
      </c>
      <c r="AE145" t="s">
        <v>228</v>
      </c>
      <c r="AF145" t="s">
        <v>231</v>
      </c>
      <c r="AI145">
        <v>10</v>
      </c>
      <c r="AJ145">
        <v>27</v>
      </c>
    </row>
    <row r="146" spans="1:36" x14ac:dyDescent="0.25">
      <c r="A146" s="39" t="s">
        <v>738</v>
      </c>
      <c r="B146">
        <v>144</v>
      </c>
      <c r="C146" t="s">
        <v>53</v>
      </c>
      <c r="D146">
        <v>3</v>
      </c>
      <c r="E146">
        <v>3</v>
      </c>
      <c r="F146">
        <v>1</v>
      </c>
      <c r="G146" t="s">
        <v>111</v>
      </c>
      <c r="H146" t="s">
        <v>55</v>
      </c>
      <c r="K146" t="s">
        <v>38</v>
      </c>
      <c r="L146">
        <v>1</v>
      </c>
      <c r="M146">
        <v>1</v>
      </c>
      <c r="N146">
        <v>2</v>
      </c>
      <c r="O146" t="s">
        <v>67</v>
      </c>
      <c r="S146" t="s">
        <v>45</v>
      </c>
      <c r="T146">
        <v>2</v>
      </c>
      <c r="V146">
        <v>1</v>
      </c>
      <c r="W146" t="s">
        <v>86</v>
      </c>
      <c r="AA146" t="s">
        <v>63</v>
      </c>
      <c r="AB146">
        <v>3</v>
      </c>
      <c r="AD146">
        <v>1</v>
      </c>
      <c r="AE146" t="s">
        <v>72</v>
      </c>
      <c r="AF146" t="s">
        <v>95</v>
      </c>
      <c r="AG146" t="s">
        <v>104</v>
      </c>
      <c r="AI146">
        <v>11</v>
      </c>
      <c r="AJ146">
        <v>27</v>
      </c>
    </row>
    <row r="147" spans="1:36" x14ac:dyDescent="0.25">
      <c r="A147" t="s">
        <v>739</v>
      </c>
      <c r="B147">
        <v>145</v>
      </c>
      <c r="C147" t="s">
        <v>53</v>
      </c>
      <c r="D147">
        <v>3</v>
      </c>
      <c r="E147">
        <v>1</v>
      </c>
      <c r="F147">
        <v>1</v>
      </c>
      <c r="G147" t="s">
        <v>54</v>
      </c>
      <c r="H147" t="s">
        <v>83</v>
      </c>
      <c r="K147" t="s">
        <v>38</v>
      </c>
      <c r="L147">
        <v>1</v>
      </c>
      <c r="M147">
        <v>1</v>
      </c>
      <c r="N147">
        <v>1</v>
      </c>
      <c r="O147" t="s">
        <v>67</v>
      </c>
      <c r="P147" t="s">
        <v>70</v>
      </c>
      <c r="S147" t="s">
        <v>45</v>
      </c>
      <c r="T147">
        <v>3</v>
      </c>
      <c r="V147">
        <v>1</v>
      </c>
      <c r="W147" t="s">
        <v>86</v>
      </c>
      <c r="AA147" t="s">
        <v>227</v>
      </c>
      <c r="AB147">
        <v>1</v>
      </c>
      <c r="AC147">
        <v>1</v>
      </c>
      <c r="AD147">
        <v>1</v>
      </c>
      <c r="AE147" t="s">
        <v>228</v>
      </c>
      <c r="AF147" t="s">
        <v>231</v>
      </c>
      <c r="AI147">
        <v>7</v>
      </c>
      <c r="AJ147">
        <v>23</v>
      </c>
    </row>
    <row r="148" spans="1:36" x14ac:dyDescent="0.25">
      <c r="A148" t="s">
        <v>740</v>
      </c>
      <c r="B148">
        <v>146</v>
      </c>
      <c r="C148" t="s">
        <v>53</v>
      </c>
      <c r="D148">
        <v>2</v>
      </c>
      <c r="E148">
        <v>1</v>
      </c>
      <c r="F148">
        <v>1</v>
      </c>
      <c r="G148" t="s">
        <v>54</v>
      </c>
      <c r="K148" t="s">
        <v>38</v>
      </c>
      <c r="L148">
        <v>1</v>
      </c>
      <c r="M148">
        <v>1</v>
      </c>
      <c r="N148">
        <v>1</v>
      </c>
      <c r="O148" t="s">
        <v>152</v>
      </c>
      <c r="P148" t="s">
        <v>70</v>
      </c>
      <c r="S148" t="s">
        <v>63</v>
      </c>
      <c r="T148">
        <v>2</v>
      </c>
      <c r="V148">
        <v>1</v>
      </c>
      <c r="W148" t="s">
        <v>72</v>
      </c>
      <c r="AA148" t="s">
        <v>227</v>
      </c>
      <c r="AB148">
        <v>1</v>
      </c>
      <c r="AC148">
        <v>1</v>
      </c>
      <c r="AD148">
        <v>1</v>
      </c>
      <c r="AE148" t="s">
        <v>228</v>
      </c>
      <c r="AF148" t="s">
        <v>232</v>
      </c>
      <c r="AI148">
        <v>4</v>
      </c>
      <c r="AJ148">
        <v>24</v>
      </c>
    </row>
    <row r="149" spans="1:36" x14ac:dyDescent="0.25">
      <c r="A149" t="s">
        <v>741</v>
      </c>
      <c r="B149">
        <v>147</v>
      </c>
      <c r="C149" t="s">
        <v>56</v>
      </c>
      <c r="D149">
        <v>2</v>
      </c>
      <c r="F149">
        <v>1</v>
      </c>
      <c r="G149" t="s">
        <v>57</v>
      </c>
      <c r="H149" t="s">
        <v>69</v>
      </c>
      <c r="I149" t="s">
        <v>85</v>
      </c>
      <c r="K149" t="s">
        <v>48</v>
      </c>
      <c r="L149">
        <v>1</v>
      </c>
      <c r="N149">
        <v>1</v>
      </c>
      <c r="O149" t="s">
        <v>89</v>
      </c>
      <c r="P149" t="s">
        <v>84</v>
      </c>
      <c r="S149" t="s">
        <v>53</v>
      </c>
      <c r="T149">
        <v>1</v>
      </c>
      <c r="U149">
        <v>1</v>
      </c>
      <c r="V149">
        <v>1</v>
      </c>
      <c r="W149" t="s">
        <v>111</v>
      </c>
      <c r="X149" t="s">
        <v>113</v>
      </c>
      <c r="AA149" t="s">
        <v>227</v>
      </c>
      <c r="AB149">
        <v>2</v>
      </c>
      <c r="AC149">
        <v>1</v>
      </c>
      <c r="AD149">
        <v>3</v>
      </c>
      <c r="AE149" t="s">
        <v>228</v>
      </c>
      <c r="AI149">
        <v>8</v>
      </c>
      <c r="AJ149">
        <v>38</v>
      </c>
    </row>
    <row r="150" spans="1:36" x14ac:dyDescent="0.25">
      <c r="A150" t="s">
        <v>742</v>
      </c>
      <c r="B150">
        <v>148</v>
      </c>
      <c r="C150" t="s">
        <v>53</v>
      </c>
      <c r="D150">
        <v>2</v>
      </c>
      <c r="E150">
        <v>2</v>
      </c>
      <c r="F150">
        <v>2</v>
      </c>
      <c r="G150" t="s">
        <v>111</v>
      </c>
      <c r="K150" t="s">
        <v>227</v>
      </c>
      <c r="L150">
        <v>2</v>
      </c>
      <c r="M150">
        <v>1</v>
      </c>
      <c r="N150">
        <v>1</v>
      </c>
      <c r="O150" t="s">
        <v>228</v>
      </c>
      <c r="S150" t="s">
        <v>56</v>
      </c>
      <c r="T150">
        <v>3</v>
      </c>
      <c r="V150">
        <v>1</v>
      </c>
      <c r="W150" t="s">
        <v>57</v>
      </c>
      <c r="X150" t="s">
        <v>122</v>
      </c>
      <c r="AA150" t="s">
        <v>33</v>
      </c>
      <c r="AB150">
        <v>1</v>
      </c>
      <c r="AD150">
        <v>2</v>
      </c>
      <c r="AE150" t="s">
        <v>34</v>
      </c>
      <c r="AI150">
        <v>8</v>
      </c>
      <c r="AJ150">
        <v>19</v>
      </c>
    </row>
    <row r="151" spans="1:36" x14ac:dyDescent="0.25">
      <c r="A151" t="s">
        <v>743</v>
      </c>
      <c r="B151">
        <v>149</v>
      </c>
      <c r="C151" t="s">
        <v>56</v>
      </c>
      <c r="D151">
        <v>2</v>
      </c>
      <c r="F151">
        <v>1</v>
      </c>
      <c r="G151" t="s">
        <v>57</v>
      </c>
      <c r="H151" t="s">
        <v>122</v>
      </c>
      <c r="K151" t="s">
        <v>43</v>
      </c>
      <c r="L151">
        <v>1</v>
      </c>
      <c r="N151">
        <v>1</v>
      </c>
      <c r="O151" t="s">
        <v>73</v>
      </c>
      <c r="P151" t="s">
        <v>99</v>
      </c>
      <c r="Q151" t="s">
        <v>75</v>
      </c>
      <c r="S151" t="s">
        <v>53</v>
      </c>
      <c r="T151">
        <v>2</v>
      </c>
      <c r="U151">
        <v>3</v>
      </c>
      <c r="V151">
        <v>2</v>
      </c>
      <c r="W151" t="s">
        <v>111</v>
      </c>
      <c r="AA151" t="s">
        <v>227</v>
      </c>
      <c r="AB151">
        <v>1</v>
      </c>
      <c r="AC151">
        <v>1</v>
      </c>
      <c r="AD151">
        <v>1</v>
      </c>
      <c r="AE151" t="s">
        <v>228</v>
      </c>
      <c r="AI151">
        <v>8</v>
      </c>
      <c r="AJ151">
        <v>23</v>
      </c>
    </row>
    <row r="152" spans="1:36" x14ac:dyDescent="0.25">
      <c r="A152" t="s">
        <v>744</v>
      </c>
      <c r="B152">
        <v>150</v>
      </c>
      <c r="C152" t="s">
        <v>53</v>
      </c>
      <c r="D152">
        <v>2</v>
      </c>
      <c r="E152">
        <v>2</v>
      </c>
      <c r="F152">
        <v>1</v>
      </c>
      <c r="G152" t="s">
        <v>54</v>
      </c>
      <c r="K152" t="s">
        <v>227</v>
      </c>
      <c r="L152">
        <v>2</v>
      </c>
      <c r="M152">
        <v>1</v>
      </c>
      <c r="N152">
        <v>1</v>
      </c>
      <c r="O152" t="s">
        <v>228</v>
      </c>
      <c r="P152" t="s">
        <v>231</v>
      </c>
      <c r="S152" t="s">
        <v>56</v>
      </c>
      <c r="T152">
        <v>2</v>
      </c>
      <c r="V152">
        <v>1</v>
      </c>
      <c r="W152" t="s">
        <v>57</v>
      </c>
      <c r="X152" t="s">
        <v>122</v>
      </c>
      <c r="AA152" t="s">
        <v>45</v>
      </c>
      <c r="AB152">
        <v>2</v>
      </c>
      <c r="AD152">
        <v>1</v>
      </c>
      <c r="AE152" t="s">
        <v>47</v>
      </c>
      <c r="AI152">
        <v>7</v>
      </c>
      <c r="AJ152">
        <v>19</v>
      </c>
    </row>
    <row r="153" spans="1:36" x14ac:dyDescent="0.25">
      <c r="A153" t="s">
        <v>745</v>
      </c>
      <c r="B153">
        <v>151</v>
      </c>
      <c r="C153" t="s">
        <v>56</v>
      </c>
      <c r="D153">
        <v>3</v>
      </c>
      <c r="F153">
        <v>1</v>
      </c>
      <c r="G153" t="s">
        <v>57</v>
      </c>
      <c r="H153" t="s">
        <v>122</v>
      </c>
      <c r="I153" t="s">
        <v>85</v>
      </c>
      <c r="K153" t="s">
        <v>63</v>
      </c>
      <c r="L153">
        <v>2</v>
      </c>
      <c r="N153">
        <v>1</v>
      </c>
      <c r="O153" t="s">
        <v>103</v>
      </c>
      <c r="P153" t="s">
        <v>95</v>
      </c>
      <c r="Q153" t="s">
        <v>104</v>
      </c>
      <c r="S153" t="s">
        <v>53</v>
      </c>
      <c r="T153">
        <v>3</v>
      </c>
      <c r="U153">
        <v>3</v>
      </c>
      <c r="V153">
        <v>2</v>
      </c>
      <c r="W153" t="s">
        <v>111</v>
      </c>
      <c r="AA153" t="s">
        <v>227</v>
      </c>
      <c r="AB153">
        <v>1</v>
      </c>
      <c r="AC153">
        <v>1</v>
      </c>
      <c r="AD153">
        <v>1</v>
      </c>
      <c r="AE153" t="s">
        <v>228</v>
      </c>
      <c r="AI153">
        <v>12</v>
      </c>
      <c r="AJ153">
        <v>32</v>
      </c>
    </row>
    <row r="154" spans="1:36" x14ac:dyDescent="0.25">
      <c r="A154" t="s">
        <v>746</v>
      </c>
      <c r="B154">
        <v>152</v>
      </c>
      <c r="C154" t="s">
        <v>56</v>
      </c>
      <c r="D154">
        <v>2</v>
      </c>
      <c r="F154">
        <v>1</v>
      </c>
      <c r="G154" t="s">
        <v>57</v>
      </c>
      <c r="H154" t="s">
        <v>122</v>
      </c>
      <c r="K154" t="s">
        <v>38</v>
      </c>
      <c r="L154">
        <v>1</v>
      </c>
      <c r="M154">
        <v>1</v>
      </c>
      <c r="N154">
        <v>1</v>
      </c>
      <c r="O154" t="s">
        <v>152</v>
      </c>
      <c r="P154" t="s">
        <v>70</v>
      </c>
      <c r="S154" t="s">
        <v>53</v>
      </c>
      <c r="T154">
        <v>2</v>
      </c>
      <c r="U154">
        <v>1</v>
      </c>
      <c r="V154">
        <v>1</v>
      </c>
      <c r="W154" t="s">
        <v>111</v>
      </c>
      <c r="X154" t="s">
        <v>55</v>
      </c>
      <c r="Y154" t="s">
        <v>97</v>
      </c>
      <c r="AA154" t="s">
        <v>227</v>
      </c>
      <c r="AB154">
        <v>1</v>
      </c>
      <c r="AC154">
        <v>1</v>
      </c>
      <c r="AD154">
        <v>1</v>
      </c>
      <c r="AE154" t="s">
        <v>228</v>
      </c>
      <c r="AI154">
        <v>6</v>
      </c>
      <c r="AJ154">
        <v>21</v>
      </c>
    </row>
    <row r="155" spans="1:36" x14ac:dyDescent="0.25">
      <c r="A155" t="s">
        <v>747</v>
      </c>
      <c r="B155">
        <v>153</v>
      </c>
      <c r="C155" t="s">
        <v>48</v>
      </c>
      <c r="D155">
        <v>3</v>
      </c>
      <c r="F155">
        <v>2</v>
      </c>
      <c r="G155" t="s">
        <v>89</v>
      </c>
      <c r="K155" t="s">
        <v>33</v>
      </c>
      <c r="L155">
        <v>2</v>
      </c>
      <c r="N155">
        <v>2</v>
      </c>
      <c r="O155" t="s">
        <v>34</v>
      </c>
      <c r="S155" t="s">
        <v>53</v>
      </c>
      <c r="T155">
        <v>3</v>
      </c>
      <c r="U155">
        <v>1</v>
      </c>
      <c r="V155">
        <v>1</v>
      </c>
      <c r="W155" t="s">
        <v>111</v>
      </c>
      <c r="X155" t="s">
        <v>83</v>
      </c>
      <c r="AA155" t="s">
        <v>227</v>
      </c>
      <c r="AB155">
        <v>1</v>
      </c>
      <c r="AC155">
        <v>1</v>
      </c>
      <c r="AD155">
        <v>1</v>
      </c>
      <c r="AE155" t="s">
        <v>228</v>
      </c>
      <c r="AI155">
        <v>8</v>
      </c>
      <c r="AJ155">
        <v>24</v>
      </c>
    </row>
    <row r="156" spans="1:36" x14ac:dyDescent="0.25">
      <c r="A156" t="s">
        <v>748</v>
      </c>
      <c r="B156">
        <v>154</v>
      </c>
      <c r="C156" t="s">
        <v>48</v>
      </c>
      <c r="D156">
        <v>3</v>
      </c>
      <c r="F156">
        <v>2</v>
      </c>
      <c r="G156" t="s">
        <v>49</v>
      </c>
      <c r="H156" t="s">
        <v>71</v>
      </c>
      <c r="I156" t="s">
        <v>127</v>
      </c>
      <c r="J156" t="s">
        <v>52</v>
      </c>
      <c r="K156" t="s">
        <v>43</v>
      </c>
      <c r="L156">
        <v>2</v>
      </c>
      <c r="N156">
        <v>1</v>
      </c>
      <c r="O156" t="s">
        <v>73</v>
      </c>
      <c r="P156" t="s">
        <v>99</v>
      </c>
      <c r="Q156" t="s">
        <v>75</v>
      </c>
      <c r="R156" t="s">
        <v>101</v>
      </c>
      <c r="S156" t="s">
        <v>53</v>
      </c>
      <c r="T156">
        <v>2</v>
      </c>
      <c r="U156">
        <v>3</v>
      </c>
      <c r="V156">
        <v>3</v>
      </c>
      <c r="W156" t="s">
        <v>111</v>
      </c>
      <c r="X156" t="s">
        <v>83</v>
      </c>
      <c r="Y156" t="s">
        <v>105</v>
      </c>
      <c r="Z156" t="s">
        <v>115</v>
      </c>
      <c r="AA156" t="s">
        <v>227</v>
      </c>
      <c r="AB156">
        <v>1</v>
      </c>
      <c r="AC156">
        <v>1</v>
      </c>
      <c r="AD156">
        <v>1</v>
      </c>
      <c r="AE156" t="s">
        <v>228</v>
      </c>
      <c r="AI156">
        <v>18</v>
      </c>
      <c r="AJ156">
        <v>50</v>
      </c>
    </row>
    <row r="157" spans="1:36" x14ac:dyDescent="0.25">
      <c r="A157" t="s">
        <v>749</v>
      </c>
      <c r="B157">
        <v>155</v>
      </c>
      <c r="C157" t="s">
        <v>48</v>
      </c>
      <c r="D157">
        <v>2</v>
      </c>
      <c r="F157">
        <v>1</v>
      </c>
      <c r="G157" t="s">
        <v>89</v>
      </c>
      <c r="H157" t="s">
        <v>84</v>
      </c>
      <c r="K157" t="s">
        <v>45</v>
      </c>
      <c r="L157">
        <v>2</v>
      </c>
      <c r="N157">
        <v>1</v>
      </c>
      <c r="O157" t="s">
        <v>140</v>
      </c>
      <c r="P157" t="s">
        <v>141</v>
      </c>
      <c r="Q157" t="s">
        <v>102</v>
      </c>
      <c r="S157" t="s">
        <v>53</v>
      </c>
      <c r="T157">
        <v>3</v>
      </c>
      <c r="U157">
        <v>1</v>
      </c>
      <c r="V157">
        <v>1</v>
      </c>
      <c r="W157" t="s">
        <v>54</v>
      </c>
      <c r="X157" t="s">
        <v>55</v>
      </c>
      <c r="AA157" t="s">
        <v>227</v>
      </c>
      <c r="AB157">
        <v>1</v>
      </c>
      <c r="AC157">
        <v>1</v>
      </c>
      <c r="AD157">
        <v>2</v>
      </c>
      <c r="AE157" t="s">
        <v>228</v>
      </c>
      <c r="AI157">
        <v>9</v>
      </c>
      <c r="AJ157">
        <v>36</v>
      </c>
    </row>
    <row r="158" spans="1:36" x14ac:dyDescent="0.25">
      <c r="A158" t="s">
        <v>750</v>
      </c>
      <c r="B158">
        <v>156</v>
      </c>
      <c r="C158" t="s">
        <v>48</v>
      </c>
      <c r="D158">
        <v>3</v>
      </c>
      <c r="F158">
        <v>2</v>
      </c>
      <c r="G158" t="s">
        <v>89</v>
      </c>
      <c r="H158" t="s">
        <v>71</v>
      </c>
      <c r="I158" t="s">
        <v>127</v>
      </c>
      <c r="K158" t="s">
        <v>63</v>
      </c>
      <c r="L158">
        <v>2</v>
      </c>
      <c r="N158">
        <v>1</v>
      </c>
      <c r="O158" t="s">
        <v>103</v>
      </c>
      <c r="P158" t="s">
        <v>95</v>
      </c>
      <c r="S158" t="s">
        <v>53</v>
      </c>
      <c r="T158">
        <v>3</v>
      </c>
      <c r="U158">
        <v>3</v>
      </c>
      <c r="V158">
        <v>1</v>
      </c>
      <c r="W158" t="s">
        <v>111</v>
      </c>
      <c r="X158" t="s">
        <v>83</v>
      </c>
      <c r="Y158" t="s">
        <v>105</v>
      </c>
      <c r="AA158" t="s">
        <v>227</v>
      </c>
      <c r="AB158">
        <v>2</v>
      </c>
      <c r="AC158">
        <v>1</v>
      </c>
      <c r="AD158">
        <v>1</v>
      </c>
      <c r="AE158" t="s">
        <v>228</v>
      </c>
      <c r="AI158">
        <v>14</v>
      </c>
      <c r="AJ158">
        <v>33</v>
      </c>
    </row>
    <row r="159" spans="1:36" x14ac:dyDescent="0.25">
      <c r="A159" t="s">
        <v>751</v>
      </c>
      <c r="B159">
        <v>157</v>
      </c>
      <c r="C159" t="s">
        <v>48</v>
      </c>
      <c r="D159">
        <v>3</v>
      </c>
      <c r="F159">
        <v>1</v>
      </c>
      <c r="G159" t="s">
        <v>89</v>
      </c>
      <c r="H159" t="s">
        <v>71</v>
      </c>
      <c r="I159" t="s">
        <v>127</v>
      </c>
      <c r="K159" t="s">
        <v>38</v>
      </c>
      <c r="L159">
        <v>1</v>
      </c>
      <c r="M159">
        <v>1</v>
      </c>
      <c r="N159">
        <v>1</v>
      </c>
      <c r="O159" t="s">
        <v>152</v>
      </c>
      <c r="P159" t="s">
        <v>40</v>
      </c>
      <c r="Q159" t="s">
        <v>41</v>
      </c>
      <c r="S159" t="s">
        <v>53</v>
      </c>
      <c r="T159">
        <v>2</v>
      </c>
      <c r="U159">
        <v>3</v>
      </c>
      <c r="V159">
        <v>2</v>
      </c>
      <c r="W159" t="s">
        <v>111</v>
      </c>
      <c r="AA159" t="s">
        <v>227</v>
      </c>
      <c r="AB159">
        <v>1</v>
      </c>
      <c r="AC159">
        <v>1</v>
      </c>
      <c r="AD159">
        <v>1</v>
      </c>
      <c r="AE159" t="s">
        <v>228</v>
      </c>
      <c r="AI159">
        <v>10</v>
      </c>
      <c r="AJ159">
        <v>29</v>
      </c>
    </row>
    <row r="160" spans="1:36" x14ac:dyDescent="0.25">
      <c r="A160" t="s">
        <v>752</v>
      </c>
      <c r="B160">
        <v>158</v>
      </c>
      <c r="C160" t="s">
        <v>33</v>
      </c>
      <c r="D160">
        <v>2</v>
      </c>
      <c r="F160">
        <v>1</v>
      </c>
      <c r="G160" t="s">
        <v>34</v>
      </c>
      <c r="H160" t="s">
        <v>35</v>
      </c>
      <c r="K160" t="s">
        <v>43</v>
      </c>
      <c r="L160">
        <v>1</v>
      </c>
      <c r="N160">
        <v>1</v>
      </c>
      <c r="O160" t="s">
        <v>73</v>
      </c>
      <c r="P160" t="s">
        <v>99</v>
      </c>
      <c r="Q160" t="s">
        <v>137</v>
      </c>
      <c r="R160" t="s">
        <v>101</v>
      </c>
      <c r="S160" t="s">
        <v>53</v>
      </c>
      <c r="T160">
        <v>2</v>
      </c>
      <c r="U160">
        <v>1</v>
      </c>
      <c r="V160">
        <v>1</v>
      </c>
      <c r="W160" t="s">
        <v>111</v>
      </c>
      <c r="X160" t="s">
        <v>83</v>
      </c>
      <c r="Y160" t="s">
        <v>105</v>
      </c>
      <c r="AA160" t="s">
        <v>227</v>
      </c>
      <c r="AB160">
        <v>1</v>
      </c>
      <c r="AC160">
        <v>1</v>
      </c>
      <c r="AD160">
        <v>1</v>
      </c>
      <c r="AE160" t="s">
        <v>228</v>
      </c>
      <c r="AI160">
        <v>8</v>
      </c>
      <c r="AJ160">
        <v>22</v>
      </c>
    </row>
    <row r="161" spans="1:36" x14ac:dyDescent="0.25">
      <c r="A161" t="s">
        <v>753</v>
      </c>
      <c r="B161">
        <v>159</v>
      </c>
      <c r="C161" t="s">
        <v>33</v>
      </c>
      <c r="D161">
        <v>1</v>
      </c>
      <c r="F161">
        <v>2</v>
      </c>
      <c r="G161" t="s">
        <v>34</v>
      </c>
      <c r="K161" t="s">
        <v>45</v>
      </c>
      <c r="L161">
        <v>3</v>
      </c>
      <c r="N161">
        <v>1</v>
      </c>
      <c r="O161" t="s">
        <v>140</v>
      </c>
      <c r="S161" t="s">
        <v>53</v>
      </c>
      <c r="T161">
        <v>2</v>
      </c>
      <c r="U161">
        <v>3</v>
      </c>
      <c r="V161">
        <v>1</v>
      </c>
      <c r="W161" t="s">
        <v>111</v>
      </c>
      <c r="AA161" t="s">
        <v>227</v>
      </c>
      <c r="AB161">
        <v>2</v>
      </c>
      <c r="AC161">
        <v>1</v>
      </c>
      <c r="AD161">
        <v>1</v>
      </c>
      <c r="AE161" t="s">
        <v>228</v>
      </c>
      <c r="AI161">
        <v>7</v>
      </c>
      <c r="AJ161">
        <v>21</v>
      </c>
    </row>
    <row r="162" spans="1:36" x14ac:dyDescent="0.25">
      <c r="A162" t="s">
        <v>754</v>
      </c>
      <c r="B162">
        <v>160</v>
      </c>
      <c r="C162" t="s">
        <v>33</v>
      </c>
      <c r="D162">
        <v>1</v>
      </c>
      <c r="F162">
        <v>3</v>
      </c>
      <c r="G162" t="s">
        <v>34</v>
      </c>
      <c r="K162" t="s">
        <v>63</v>
      </c>
      <c r="L162">
        <v>1</v>
      </c>
      <c r="N162">
        <v>1</v>
      </c>
      <c r="O162" t="s">
        <v>103</v>
      </c>
      <c r="P162" t="s">
        <v>91</v>
      </c>
      <c r="Q162" t="s">
        <v>147</v>
      </c>
      <c r="S162" t="s">
        <v>53</v>
      </c>
      <c r="T162">
        <v>3</v>
      </c>
      <c r="U162">
        <v>1</v>
      </c>
      <c r="V162">
        <v>2</v>
      </c>
      <c r="W162" t="s">
        <v>111</v>
      </c>
      <c r="X162" t="s">
        <v>83</v>
      </c>
      <c r="Y162" t="s">
        <v>97</v>
      </c>
      <c r="Z162" t="s">
        <v>115</v>
      </c>
      <c r="AA162" t="s">
        <v>227</v>
      </c>
      <c r="AB162">
        <v>2</v>
      </c>
      <c r="AC162">
        <v>1</v>
      </c>
      <c r="AD162">
        <v>1</v>
      </c>
      <c r="AE162" t="s">
        <v>228</v>
      </c>
      <c r="AI162">
        <v>11</v>
      </c>
      <c r="AJ162">
        <v>33</v>
      </c>
    </row>
    <row r="163" spans="1:36" x14ac:dyDescent="0.25">
      <c r="A163" t="s">
        <v>755</v>
      </c>
      <c r="B163">
        <v>161</v>
      </c>
      <c r="C163" t="s">
        <v>33</v>
      </c>
      <c r="D163">
        <v>1</v>
      </c>
      <c r="F163">
        <v>3</v>
      </c>
      <c r="G163" t="s">
        <v>34</v>
      </c>
      <c r="H163" t="s">
        <v>130</v>
      </c>
      <c r="I163" t="s">
        <v>132</v>
      </c>
      <c r="K163" t="s">
        <v>38</v>
      </c>
      <c r="L163">
        <v>1</v>
      </c>
      <c r="M163">
        <v>1</v>
      </c>
      <c r="N163">
        <v>1</v>
      </c>
      <c r="O163" t="s">
        <v>152</v>
      </c>
      <c r="P163" t="s">
        <v>70</v>
      </c>
      <c r="S163" t="s">
        <v>53</v>
      </c>
      <c r="T163">
        <v>3</v>
      </c>
      <c r="U163">
        <v>1</v>
      </c>
      <c r="V163">
        <v>1</v>
      </c>
      <c r="W163" t="s">
        <v>111</v>
      </c>
      <c r="X163" t="s">
        <v>83</v>
      </c>
      <c r="AA163" t="s">
        <v>227</v>
      </c>
      <c r="AB163">
        <v>1</v>
      </c>
      <c r="AC163">
        <v>1</v>
      </c>
      <c r="AD163">
        <v>1</v>
      </c>
      <c r="AE163" t="s">
        <v>228</v>
      </c>
      <c r="AI163">
        <v>8</v>
      </c>
      <c r="AJ163">
        <v>23</v>
      </c>
    </row>
    <row r="164" spans="1:36" x14ac:dyDescent="0.25">
      <c r="A164" t="s">
        <v>756</v>
      </c>
      <c r="B164">
        <v>162</v>
      </c>
      <c r="C164" t="s">
        <v>43</v>
      </c>
      <c r="D164">
        <v>1</v>
      </c>
      <c r="F164">
        <v>1</v>
      </c>
      <c r="G164" t="s">
        <v>73</v>
      </c>
      <c r="H164" t="s">
        <v>74</v>
      </c>
      <c r="I164" t="s">
        <v>75</v>
      </c>
      <c r="J164" t="s">
        <v>101</v>
      </c>
      <c r="K164" t="s">
        <v>45</v>
      </c>
      <c r="L164">
        <v>3</v>
      </c>
      <c r="N164">
        <v>2</v>
      </c>
      <c r="O164" t="s">
        <v>47</v>
      </c>
      <c r="S164" t="s">
        <v>53</v>
      </c>
      <c r="T164">
        <v>1</v>
      </c>
      <c r="U164">
        <v>3</v>
      </c>
      <c r="V164">
        <v>3</v>
      </c>
      <c r="W164" t="s">
        <v>111</v>
      </c>
      <c r="AA164" t="s">
        <v>227</v>
      </c>
      <c r="AB164">
        <v>2</v>
      </c>
      <c r="AC164">
        <v>1</v>
      </c>
      <c r="AD164">
        <v>1</v>
      </c>
      <c r="AE164" t="s">
        <v>228</v>
      </c>
      <c r="AI164">
        <v>11</v>
      </c>
      <c r="AJ164">
        <v>30</v>
      </c>
    </row>
    <row r="165" spans="1:36" x14ac:dyDescent="0.25">
      <c r="A165" t="s">
        <v>757</v>
      </c>
      <c r="B165">
        <v>163</v>
      </c>
      <c r="C165" t="s">
        <v>43</v>
      </c>
      <c r="D165">
        <v>1</v>
      </c>
      <c r="F165">
        <v>2</v>
      </c>
      <c r="G165" t="s">
        <v>73</v>
      </c>
      <c r="H165" t="s">
        <v>99</v>
      </c>
      <c r="I165" t="s">
        <v>100</v>
      </c>
      <c r="J165" t="s">
        <v>138</v>
      </c>
      <c r="K165" t="s">
        <v>63</v>
      </c>
      <c r="L165">
        <v>2</v>
      </c>
      <c r="N165">
        <v>1</v>
      </c>
      <c r="O165" t="s">
        <v>103</v>
      </c>
      <c r="P165" t="s">
        <v>95</v>
      </c>
      <c r="Q165" t="s">
        <v>104</v>
      </c>
      <c r="S165" t="s">
        <v>53</v>
      </c>
      <c r="T165">
        <v>1</v>
      </c>
      <c r="U165">
        <v>3</v>
      </c>
      <c r="V165">
        <v>1</v>
      </c>
      <c r="W165" t="s">
        <v>111</v>
      </c>
      <c r="X165" t="s">
        <v>83</v>
      </c>
      <c r="Y165" t="s">
        <v>105</v>
      </c>
      <c r="AA165" t="s">
        <v>227</v>
      </c>
      <c r="AB165">
        <v>2</v>
      </c>
      <c r="AC165">
        <v>1</v>
      </c>
      <c r="AD165">
        <v>1</v>
      </c>
      <c r="AE165" t="s">
        <v>228</v>
      </c>
      <c r="AI165">
        <v>12</v>
      </c>
      <c r="AJ165">
        <v>32</v>
      </c>
    </row>
    <row r="166" spans="1:36" x14ac:dyDescent="0.25">
      <c r="A166" t="s">
        <v>758</v>
      </c>
      <c r="B166">
        <v>164</v>
      </c>
      <c r="C166" t="s">
        <v>43</v>
      </c>
      <c r="D166">
        <v>2</v>
      </c>
      <c r="F166">
        <v>1</v>
      </c>
      <c r="G166" t="s">
        <v>73</v>
      </c>
      <c r="H166" t="s">
        <v>74</v>
      </c>
      <c r="I166" t="s">
        <v>75</v>
      </c>
      <c r="J166" t="s">
        <v>138</v>
      </c>
      <c r="K166" t="s">
        <v>38</v>
      </c>
      <c r="L166">
        <v>1</v>
      </c>
      <c r="M166">
        <v>1</v>
      </c>
      <c r="N166">
        <v>1</v>
      </c>
      <c r="O166" t="s">
        <v>152</v>
      </c>
      <c r="P166" t="s">
        <v>70</v>
      </c>
      <c r="Q166" t="s">
        <v>41</v>
      </c>
      <c r="S166" t="s">
        <v>53</v>
      </c>
      <c r="T166">
        <v>1</v>
      </c>
      <c r="U166">
        <v>1</v>
      </c>
      <c r="V166">
        <v>1</v>
      </c>
      <c r="W166" t="s">
        <v>111</v>
      </c>
      <c r="X166" t="s">
        <v>83</v>
      </c>
      <c r="AA166" t="s">
        <v>227</v>
      </c>
      <c r="AB166">
        <v>1</v>
      </c>
      <c r="AC166">
        <v>1</v>
      </c>
      <c r="AD166">
        <v>1</v>
      </c>
      <c r="AE166" t="s">
        <v>228</v>
      </c>
      <c r="AI166">
        <v>7</v>
      </c>
      <c r="AJ166">
        <v>33</v>
      </c>
    </row>
    <row r="167" spans="1:36" x14ac:dyDescent="0.25">
      <c r="A167" t="s">
        <v>759</v>
      </c>
      <c r="B167">
        <v>165</v>
      </c>
      <c r="C167" t="s">
        <v>45</v>
      </c>
      <c r="D167">
        <v>3</v>
      </c>
      <c r="F167">
        <v>1</v>
      </c>
      <c r="G167" t="s">
        <v>86</v>
      </c>
      <c r="K167" t="s">
        <v>63</v>
      </c>
      <c r="L167">
        <v>1</v>
      </c>
      <c r="N167">
        <v>1</v>
      </c>
      <c r="O167" t="s">
        <v>72</v>
      </c>
      <c r="P167" t="s">
        <v>95</v>
      </c>
      <c r="S167" t="s">
        <v>53</v>
      </c>
      <c r="T167">
        <v>2</v>
      </c>
      <c r="U167">
        <v>3</v>
      </c>
      <c r="V167">
        <v>1</v>
      </c>
      <c r="W167" t="s">
        <v>111</v>
      </c>
      <c r="AA167" t="s">
        <v>227</v>
      </c>
      <c r="AB167">
        <v>2</v>
      </c>
      <c r="AC167">
        <v>1</v>
      </c>
      <c r="AD167">
        <v>1</v>
      </c>
      <c r="AE167" t="s">
        <v>228</v>
      </c>
      <c r="AI167">
        <v>7</v>
      </c>
      <c r="AJ167">
        <v>22</v>
      </c>
    </row>
    <row r="168" spans="1:36" x14ac:dyDescent="0.25">
      <c r="A168" t="s">
        <v>760</v>
      </c>
      <c r="B168">
        <v>166</v>
      </c>
      <c r="C168" t="s">
        <v>45</v>
      </c>
      <c r="D168">
        <v>2</v>
      </c>
      <c r="F168">
        <v>1</v>
      </c>
      <c r="G168" t="s">
        <v>86</v>
      </c>
      <c r="K168" t="s">
        <v>38</v>
      </c>
      <c r="L168">
        <v>2</v>
      </c>
      <c r="M168">
        <v>1</v>
      </c>
      <c r="N168">
        <v>1</v>
      </c>
      <c r="O168" t="s">
        <v>152</v>
      </c>
      <c r="P168" t="s">
        <v>70</v>
      </c>
      <c r="S168" t="s">
        <v>53</v>
      </c>
      <c r="T168">
        <v>2</v>
      </c>
      <c r="U168">
        <v>1</v>
      </c>
      <c r="V168">
        <v>1</v>
      </c>
      <c r="W168" t="s">
        <v>54</v>
      </c>
      <c r="X168" t="s">
        <v>55</v>
      </c>
      <c r="AA168" t="s">
        <v>227</v>
      </c>
      <c r="AB168">
        <v>1</v>
      </c>
      <c r="AC168">
        <v>1</v>
      </c>
      <c r="AD168">
        <v>1</v>
      </c>
      <c r="AE168" t="s">
        <v>228</v>
      </c>
      <c r="AI168">
        <v>5</v>
      </c>
      <c r="AJ168">
        <v>26</v>
      </c>
    </row>
    <row r="169" spans="1:36" x14ac:dyDescent="0.25">
      <c r="A169" t="s">
        <v>761</v>
      </c>
      <c r="B169">
        <v>167</v>
      </c>
      <c r="C169" t="s">
        <v>63</v>
      </c>
      <c r="D169">
        <v>2</v>
      </c>
      <c r="F169">
        <v>1</v>
      </c>
      <c r="G169" t="s">
        <v>72</v>
      </c>
      <c r="H169" t="s">
        <v>95</v>
      </c>
      <c r="I169" t="s">
        <v>104</v>
      </c>
      <c r="K169" t="s">
        <v>38</v>
      </c>
      <c r="L169">
        <v>2</v>
      </c>
      <c r="M169">
        <v>1</v>
      </c>
      <c r="N169">
        <v>2</v>
      </c>
      <c r="O169" t="s">
        <v>152</v>
      </c>
      <c r="P169" t="s">
        <v>70</v>
      </c>
      <c r="S169" t="s">
        <v>53</v>
      </c>
      <c r="T169">
        <v>2</v>
      </c>
      <c r="U169">
        <v>1</v>
      </c>
      <c r="V169">
        <v>2</v>
      </c>
      <c r="W169" t="s">
        <v>111</v>
      </c>
      <c r="X169" t="s">
        <v>83</v>
      </c>
      <c r="Y169" t="s">
        <v>97</v>
      </c>
      <c r="AA169" t="s">
        <v>227</v>
      </c>
      <c r="AB169">
        <v>1</v>
      </c>
      <c r="AC169">
        <v>1</v>
      </c>
      <c r="AD169">
        <v>1</v>
      </c>
      <c r="AE169" t="s">
        <v>228</v>
      </c>
      <c r="AI169">
        <v>10</v>
      </c>
      <c r="AJ169">
        <v>30</v>
      </c>
    </row>
    <row r="170" spans="1:36" x14ac:dyDescent="0.25">
      <c r="A170" t="s">
        <v>762</v>
      </c>
      <c r="B170">
        <v>168</v>
      </c>
      <c r="C170" t="s">
        <v>33</v>
      </c>
      <c r="D170">
        <v>1</v>
      </c>
      <c r="F170">
        <v>2</v>
      </c>
      <c r="G170" t="s">
        <v>46</v>
      </c>
      <c r="H170" t="s">
        <v>35</v>
      </c>
      <c r="K170" t="s">
        <v>43</v>
      </c>
      <c r="L170">
        <v>1</v>
      </c>
      <c r="N170">
        <v>1</v>
      </c>
      <c r="O170" t="s">
        <v>73</v>
      </c>
      <c r="P170" t="s">
        <v>99</v>
      </c>
      <c r="S170" t="s">
        <v>56</v>
      </c>
      <c r="T170">
        <v>2</v>
      </c>
      <c r="V170">
        <v>1</v>
      </c>
      <c r="W170" t="s">
        <v>68</v>
      </c>
      <c r="AA170" t="s">
        <v>48</v>
      </c>
      <c r="AB170">
        <v>1</v>
      </c>
      <c r="AD170">
        <v>1</v>
      </c>
      <c r="AE170" t="s">
        <v>89</v>
      </c>
      <c r="AF170" t="s">
        <v>50</v>
      </c>
      <c r="AI170">
        <v>6</v>
      </c>
      <c r="AJ170">
        <v>18</v>
      </c>
    </row>
    <row r="171" spans="1:36" x14ac:dyDescent="0.25">
      <c r="A171" t="s">
        <v>763</v>
      </c>
      <c r="B171">
        <v>169</v>
      </c>
      <c r="C171" t="s">
        <v>33</v>
      </c>
      <c r="D171">
        <v>1</v>
      </c>
      <c r="F171">
        <v>3</v>
      </c>
      <c r="G171" t="s">
        <v>46</v>
      </c>
      <c r="K171" t="s">
        <v>45</v>
      </c>
      <c r="L171">
        <v>3</v>
      </c>
      <c r="N171">
        <v>1</v>
      </c>
      <c r="O171" t="s">
        <v>140</v>
      </c>
      <c r="S171" t="s">
        <v>56</v>
      </c>
      <c r="T171">
        <v>1</v>
      </c>
      <c r="V171">
        <v>2</v>
      </c>
      <c r="W171" t="s">
        <v>68</v>
      </c>
      <c r="AA171" t="s">
        <v>48</v>
      </c>
      <c r="AB171">
        <v>3</v>
      </c>
      <c r="AD171">
        <v>1</v>
      </c>
      <c r="AE171" t="s">
        <v>89</v>
      </c>
      <c r="AI171">
        <v>7</v>
      </c>
      <c r="AJ171">
        <v>19</v>
      </c>
    </row>
    <row r="172" spans="1:36" x14ac:dyDescent="0.25">
      <c r="A172" t="s">
        <v>764</v>
      </c>
      <c r="B172">
        <v>170</v>
      </c>
      <c r="C172" t="s">
        <v>56</v>
      </c>
      <c r="D172">
        <v>3</v>
      </c>
      <c r="F172">
        <v>1</v>
      </c>
      <c r="G172" t="s">
        <v>68</v>
      </c>
      <c r="H172" t="s">
        <v>69</v>
      </c>
      <c r="K172" t="s">
        <v>48</v>
      </c>
      <c r="L172">
        <v>3</v>
      </c>
      <c r="N172">
        <v>3</v>
      </c>
      <c r="O172" t="s">
        <v>89</v>
      </c>
      <c r="S172" t="s">
        <v>33</v>
      </c>
      <c r="T172">
        <v>1</v>
      </c>
      <c r="V172">
        <v>2</v>
      </c>
      <c r="W172" t="s">
        <v>46</v>
      </c>
      <c r="AA172" t="s">
        <v>63</v>
      </c>
      <c r="AB172">
        <v>2</v>
      </c>
      <c r="AD172">
        <v>1</v>
      </c>
      <c r="AE172" t="s">
        <v>103</v>
      </c>
      <c r="AF172" t="s">
        <v>91</v>
      </c>
      <c r="AG172" t="s">
        <v>147</v>
      </c>
      <c r="AI172">
        <v>11</v>
      </c>
      <c r="AJ172">
        <v>26</v>
      </c>
    </row>
    <row r="173" spans="1:36" x14ac:dyDescent="0.25">
      <c r="A173" t="s">
        <v>765</v>
      </c>
      <c r="B173">
        <v>171</v>
      </c>
      <c r="C173" t="s">
        <v>33</v>
      </c>
      <c r="D173">
        <v>1</v>
      </c>
      <c r="F173">
        <v>3</v>
      </c>
      <c r="G173" t="s">
        <v>46</v>
      </c>
      <c r="H173" t="s">
        <v>35</v>
      </c>
      <c r="K173" t="s">
        <v>38</v>
      </c>
      <c r="L173">
        <v>1</v>
      </c>
      <c r="M173">
        <v>1</v>
      </c>
      <c r="N173">
        <v>2</v>
      </c>
      <c r="O173" t="s">
        <v>152</v>
      </c>
      <c r="P173" t="s">
        <v>70</v>
      </c>
      <c r="S173" t="s">
        <v>56</v>
      </c>
      <c r="T173">
        <v>2</v>
      </c>
      <c r="V173">
        <v>2</v>
      </c>
      <c r="W173" t="s">
        <v>68</v>
      </c>
      <c r="AA173" t="s">
        <v>48</v>
      </c>
      <c r="AB173">
        <v>2</v>
      </c>
      <c r="AD173">
        <v>1</v>
      </c>
      <c r="AE173" t="s">
        <v>89</v>
      </c>
      <c r="AI173">
        <v>8</v>
      </c>
      <c r="AJ173">
        <v>27</v>
      </c>
    </row>
    <row r="174" spans="1:36" x14ac:dyDescent="0.25">
      <c r="A174" t="s">
        <v>766</v>
      </c>
      <c r="B174">
        <v>172</v>
      </c>
      <c r="C174" t="s">
        <v>56</v>
      </c>
      <c r="D174">
        <v>2</v>
      </c>
      <c r="F174">
        <v>1</v>
      </c>
      <c r="G174" t="s">
        <v>57</v>
      </c>
      <c r="H174" t="s">
        <v>122</v>
      </c>
      <c r="K174" t="s">
        <v>48</v>
      </c>
      <c r="L174">
        <v>3</v>
      </c>
      <c r="N174">
        <v>1</v>
      </c>
      <c r="O174" t="s">
        <v>89</v>
      </c>
      <c r="S174" t="s">
        <v>33</v>
      </c>
      <c r="T174">
        <v>1</v>
      </c>
      <c r="V174">
        <v>3</v>
      </c>
      <c r="W174" t="s">
        <v>46</v>
      </c>
      <c r="AA174" t="s">
        <v>227</v>
      </c>
      <c r="AB174">
        <v>1</v>
      </c>
      <c r="AC174">
        <v>1</v>
      </c>
      <c r="AD174">
        <v>1</v>
      </c>
      <c r="AE174" t="s">
        <v>228</v>
      </c>
      <c r="AI174">
        <v>6</v>
      </c>
      <c r="AJ174">
        <v>25</v>
      </c>
    </row>
    <row r="175" spans="1:36" x14ac:dyDescent="0.25">
      <c r="A175" t="s">
        <v>767</v>
      </c>
      <c r="B175">
        <v>173</v>
      </c>
      <c r="C175" t="s">
        <v>43</v>
      </c>
      <c r="D175">
        <v>1</v>
      </c>
      <c r="F175">
        <v>1</v>
      </c>
      <c r="G175" t="s">
        <v>73</v>
      </c>
      <c r="H175" t="s">
        <v>99</v>
      </c>
      <c r="I175" t="s">
        <v>75</v>
      </c>
      <c r="J175" t="s">
        <v>101</v>
      </c>
      <c r="K175" t="s">
        <v>45</v>
      </c>
      <c r="L175">
        <v>2</v>
      </c>
      <c r="N175">
        <v>1</v>
      </c>
      <c r="O175" t="s">
        <v>47</v>
      </c>
      <c r="S175" t="s">
        <v>56</v>
      </c>
      <c r="T175">
        <v>1</v>
      </c>
      <c r="V175">
        <v>1</v>
      </c>
      <c r="W175" t="s">
        <v>68</v>
      </c>
      <c r="AA175" t="s">
        <v>48</v>
      </c>
      <c r="AB175">
        <v>2</v>
      </c>
      <c r="AD175">
        <v>1</v>
      </c>
      <c r="AE175" t="s">
        <v>89</v>
      </c>
      <c r="AF175" t="s">
        <v>50</v>
      </c>
      <c r="AI175">
        <v>6</v>
      </c>
      <c r="AJ175">
        <v>20</v>
      </c>
    </row>
    <row r="176" spans="1:36" x14ac:dyDescent="0.25">
      <c r="A176" t="s">
        <v>768</v>
      </c>
      <c r="B176">
        <v>174</v>
      </c>
      <c r="C176" t="s">
        <v>43</v>
      </c>
      <c r="D176">
        <v>3</v>
      </c>
      <c r="F176">
        <v>1</v>
      </c>
      <c r="G176" t="s">
        <v>73</v>
      </c>
      <c r="H176" t="s">
        <v>99</v>
      </c>
      <c r="I176" t="s">
        <v>100</v>
      </c>
      <c r="J176" t="s">
        <v>139</v>
      </c>
      <c r="K176" t="s">
        <v>63</v>
      </c>
      <c r="L176">
        <v>1</v>
      </c>
      <c r="N176">
        <v>1</v>
      </c>
      <c r="O176" t="s">
        <v>72</v>
      </c>
      <c r="P176" t="s">
        <v>91</v>
      </c>
      <c r="S176" t="s">
        <v>56</v>
      </c>
      <c r="T176">
        <v>3</v>
      </c>
      <c r="V176">
        <v>2</v>
      </c>
      <c r="W176" t="s">
        <v>68</v>
      </c>
      <c r="AA176" t="s">
        <v>48</v>
      </c>
      <c r="AB176">
        <v>1</v>
      </c>
      <c r="AD176">
        <v>1</v>
      </c>
      <c r="AE176" t="s">
        <v>89</v>
      </c>
      <c r="AF176" t="s">
        <v>50</v>
      </c>
      <c r="AG176" t="s">
        <v>90</v>
      </c>
      <c r="AH176" t="s">
        <v>129</v>
      </c>
      <c r="AI176">
        <v>12</v>
      </c>
      <c r="AJ176">
        <v>35</v>
      </c>
    </row>
    <row r="177" spans="1:36" x14ac:dyDescent="0.25">
      <c r="A177" t="s">
        <v>769</v>
      </c>
      <c r="B177">
        <v>175</v>
      </c>
      <c r="C177" t="s">
        <v>43</v>
      </c>
      <c r="D177">
        <v>3</v>
      </c>
      <c r="F177">
        <v>1</v>
      </c>
      <c r="G177" t="s">
        <v>73</v>
      </c>
      <c r="H177" t="s">
        <v>74</v>
      </c>
      <c r="I177" t="s">
        <v>100</v>
      </c>
      <c r="J177" t="s">
        <v>101</v>
      </c>
      <c r="K177" t="s">
        <v>38</v>
      </c>
      <c r="L177">
        <v>1</v>
      </c>
      <c r="M177">
        <v>1</v>
      </c>
      <c r="N177">
        <v>1</v>
      </c>
      <c r="O177" t="s">
        <v>152</v>
      </c>
      <c r="S177" t="s">
        <v>56</v>
      </c>
      <c r="T177">
        <v>3</v>
      </c>
      <c r="V177">
        <v>3</v>
      </c>
      <c r="W177" t="s">
        <v>68</v>
      </c>
      <c r="X177" t="s">
        <v>121</v>
      </c>
      <c r="Y177" t="s">
        <v>87</v>
      </c>
      <c r="Z177" t="s">
        <v>88</v>
      </c>
      <c r="AA177" t="s">
        <v>48</v>
      </c>
      <c r="AB177">
        <v>2</v>
      </c>
      <c r="AD177">
        <v>1</v>
      </c>
      <c r="AE177" t="s">
        <v>89</v>
      </c>
      <c r="AI177">
        <v>13</v>
      </c>
      <c r="AJ177">
        <v>40</v>
      </c>
    </row>
    <row r="178" spans="1:36" x14ac:dyDescent="0.25">
      <c r="A178" t="s">
        <v>770</v>
      </c>
      <c r="B178">
        <v>176</v>
      </c>
      <c r="C178" t="s">
        <v>43</v>
      </c>
      <c r="D178">
        <v>3</v>
      </c>
      <c r="F178">
        <v>1</v>
      </c>
      <c r="G178" t="s">
        <v>73</v>
      </c>
      <c r="H178" t="s">
        <v>99</v>
      </c>
      <c r="I178" t="s">
        <v>100</v>
      </c>
      <c r="J178" t="s">
        <v>138</v>
      </c>
      <c r="K178" t="s">
        <v>227</v>
      </c>
      <c r="L178">
        <v>3</v>
      </c>
      <c r="M178">
        <v>1</v>
      </c>
      <c r="N178">
        <v>1</v>
      </c>
      <c r="O178" t="s">
        <v>228</v>
      </c>
      <c r="S178" t="s">
        <v>56</v>
      </c>
      <c r="T178">
        <v>3</v>
      </c>
      <c r="V178">
        <v>2</v>
      </c>
      <c r="W178" t="s">
        <v>68</v>
      </c>
      <c r="AA178" t="s">
        <v>48</v>
      </c>
      <c r="AB178">
        <v>2</v>
      </c>
      <c r="AD178">
        <v>1</v>
      </c>
      <c r="AE178" t="s">
        <v>89</v>
      </c>
      <c r="AI178">
        <v>11</v>
      </c>
      <c r="AJ178">
        <v>33</v>
      </c>
    </row>
    <row r="179" spans="1:36" x14ac:dyDescent="0.25">
      <c r="A179" t="s">
        <v>771</v>
      </c>
      <c r="B179">
        <v>177</v>
      </c>
      <c r="C179" t="s">
        <v>56</v>
      </c>
      <c r="D179">
        <v>1</v>
      </c>
      <c r="F179">
        <v>1</v>
      </c>
      <c r="G179" t="s">
        <v>57</v>
      </c>
      <c r="K179" t="s">
        <v>48</v>
      </c>
      <c r="L179">
        <v>3</v>
      </c>
      <c r="N179">
        <v>3</v>
      </c>
      <c r="O179" t="s">
        <v>49</v>
      </c>
      <c r="P179" t="s">
        <v>71</v>
      </c>
      <c r="S179" t="s">
        <v>45</v>
      </c>
      <c r="T179">
        <v>3</v>
      </c>
      <c r="V179">
        <v>1</v>
      </c>
      <c r="W179" t="s">
        <v>86</v>
      </c>
      <c r="AA179" t="s">
        <v>63</v>
      </c>
      <c r="AB179">
        <v>2</v>
      </c>
      <c r="AD179">
        <v>1</v>
      </c>
      <c r="AE179" t="s">
        <v>72</v>
      </c>
      <c r="AI179">
        <v>8</v>
      </c>
      <c r="AJ179">
        <v>24</v>
      </c>
    </row>
    <row r="180" spans="1:36" x14ac:dyDescent="0.25">
      <c r="A180" t="s">
        <v>772</v>
      </c>
      <c r="B180">
        <v>178</v>
      </c>
      <c r="C180" t="s">
        <v>56</v>
      </c>
      <c r="D180">
        <v>1</v>
      </c>
      <c r="F180">
        <v>1</v>
      </c>
      <c r="G180" t="s">
        <v>68</v>
      </c>
      <c r="K180" t="s">
        <v>48</v>
      </c>
      <c r="L180">
        <v>3</v>
      </c>
      <c r="N180">
        <v>3</v>
      </c>
      <c r="O180" t="s">
        <v>89</v>
      </c>
      <c r="P180" t="s">
        <v>71</v>
      </c>
      <c r="S180" t="s">
        <v>45</v>
      </c>
      <c r="T180">
        <v>3</v>
      </c>
      <c r="V180">
        <v>2</v>
      </c>
      <c r="W180" t="s">
        <v>86</v>
      </c>
      <c r="X180" t="s">
        <v>141</v>
      </c>
      <c r="Y180" t="s">
        <v>93</v>
      </c>
      <c r="Z180" t="s">
        <v>144</v>
      </c>
      <c r="AA180" t="s">
        <v>38</v>
      </c>
      <c r="AB180">
        <v>1</v>
      </c>
      <c r="AC180">
        <v>1</v>
      </c>
      <c r="AD180">
        <v>1</v>
      </c>
      <c r="AE180" t="s">
        <v>152</v>
      </c>
      <c r="AI180">
        <v>11</v>
      </c>
      <c r="AJ180">
        <v>27</v>
      </c>
    </row>
    <row r="181" spans="1:36" x14ac:dyDescent="0.25">
      <c r="A181" t="s">
        <v>773</v>
      </c>
      <c r="B181">
        <v>179</v>
      </c>
      <c r="C181" t="s">
        <v>56</v>
      </c>
      <c r="D181">
        <v>3</v>
      </c>
      <c r="F181">
        <v>1</v>
      </c>
      <c r="G181" t="s">
        <v>68</v>
      </c>
      <c r="H181" t="s">
        <v>121</v>
      </c>
      <c r="I181" t="s">
        <v>85</v>
      </c>
      <c r="K181" t="s">
        <v>48</v>
      </c>
      <c r="L181">
        <v>1</v>
      </c>
      <c r="N181">
        <v>1</v>
      </c>
      <c r="O181" t="s">
        <v>89</v>
      </c>
      <c r="P181" t="s">
        <v>50</v>
      </c>
      <c r="Q181" t="s">
        <v>90</v>
      </c>
      <c r="S181" t="s">
        <v>45</v>
      </c>
      <c r="T181">
        <v>2</v>
      </c>
      <c r="V181">
        <v>1</v>
      </c>
      <c r="W181" t="s">
        <v>47</v>
      </c>
      <c r="AA181" t="s">
        <v>227</v>
      </c>
      <c r="AB181">
        <v>1</v>
      </c>
      <c r="AC181">
        <v>1</v>
      </c>
      <c r="AD181">
        <v>3</v>
      </c>
      <c r="AE181" t="s">
        <v>228</v>
      </c>
      <c r="AF181" t="s">
        <v>231</v>
      </c>
      <c r="AG181" t="s">
        <v>235</v>
      </c>
      <c r="AI181">
        <v>12</v>
      </c>
      <c r="AJ181">
        <v>31</v>
      </c>
    </row>
    <row r="182" spans="1:36" x14ac:dyDescent="0.25">
      <c r="A182" t="s">
        <v>774</v>
      </c>
      <c r="B182">
        <v>180</v>
      </c>
      <c r="C182" t="s">
        <v>56</v>
      </c>
      <c r="D182">
        <v>2</v>
      </c>
      <c r="F182">
        <v>1</v>
      </c>
      <c r="G182" t="s">
        <v>57</v>
      </c>
      <c r="H182" t="s">
        <v>122</v>
      </c>
      <c r="I182" t="s">
        <v>85</v>
      </c>
      <c r="K182" t="s">
        <v>48</v>
      </c>
      <c r="L182">
        <v>3</v>
      </c>
      <c r="N182">
        <v>1</v>
      </c>
      <c r="O182" t="s">
        <v>49</v>
      </c>
      <c r="S182" t="s">
        <v>63</v>
      </c>
      <c r="T182">
        <v>1</v>
      </c>
      <c r="V182">
        <v>1</v>
      </c>
      <c r="W182" t="s">
        <v>72</v>
      </c>
      <c r="X182" t="s">
        <v>95</v>
      </c>
      <c r="Y182" t="s">
        <v>147</v>
      </c>
      <c r="AA182" t="s">
        <v>38</v>
      </c>
      <c r="AB182">
        <v>1</v>
      </c>
      <c r="AC182">
        <v>1</v>
      </c>
      <c r="AD182">
        <v>2</v>
      </c>
      <c r="AE182" t="s">
        <v>152</v>
      </c>
      <c r="AI182">
        <v>8</v>
      </c>
      <c r="AJ182">
        <v>27</v>
      </c>
    </row>
    <row r="183" spans="1:36" x14ac:dyDescent="0.25">
      <c r="A183" t="s">
        <v>775</v>
      </c>
      <c r="B183">
        <v>181</v>
      </c>
      <c r="C183" t="s">
        <v>56</v>
      </c>
      <c r="D183">
        <v>1</v>
      </c>
      <c r="F183">
        <v>1</v>
      </c>
      <c r="G183" t="s">
        <v>57</v>
      </c>
      <c r="H183" t="s">
        <v>122</v>
      </c>
      <c r="K183" t="s">
        <v>48</v>
      </c>
      <c r="L183">
        <v>1</v>
      </c>
      <c r="N183">
        <v>1</v>
      </c>
      <c r="O183" t="s">
        <v>89</v>
      </c>
      <c r="P183" t="s">
        <v>50</v>
      </c>
      <c r="Q183" t="s">
        <v>51</v>
      </c>
      <c r="S183" t="s">
        <v>63</v>
      </c>
      <c r="T183">
        <v>2</v>
      </c>
      <c r="V183">
        <v>1</v>
      </c>
      <c r="W183" t="s">
        <v>72</v>
      </c>
      <c r="X183" t="s">
        <v>91</v>
      </c>
      <c r="Y183" t="s">
        <v>147</v>
      </c>
      <c r="AA183" t="s">
        <v>227</v>
      </c>
      <c r="AB183">
        <v>1</v>
      </c>
      <c r="AC183">
        <v>1</v>
      </c>
      <c r="AD183">
        <v>1</v>
      </c>
      <c r="AE183" t="s">
        <v>228</v>
      </c>
      <c r="AF183" t="s">
        <v>233</v>
      </c>
      <c r="AI183">
        <v>7</v>
      </c>
      <c r="AJ183">
        <v>26</v>
      </c>
    </row>
    <row r="184" spans="1:36" x14ac:dyDescent="0.25">
      <c r="A184" t="s">
        <v>776</v>
      </c>
      <c r="B184">
        <v>182</v>
      </c>
      <c r="C184" t="s">
        <v>38</v>
      </c>
      <c r="D184">
        <v>3</v>
      </c>
      <c r="E184">
        <v>1</v>
      </c>
      <c r="F184">
        <v>2</v>
      </c>
      <c r="G184" t="s">
        <v>67</v>
      </c>
      <c r="K184" t="s">
        <v>227</v>
      </c>
      <c r="L184">
        <v>2</v>
      </c>
      <c r="M184">
        <v>1</v>
      </c>
      <c r="N184">
        <v>2</v>
      </c>
      <c r="O184" t="s">
        <v>228</v>
      </c>
      <c r="P184" t="s">
        <v>231</v>
      </c>
      <c r="S184" t="s">
        <v>56</v>
      </c>
      <c r="T184">
        <v>1</v>
      </c>
      <c r="V184">
        <v>2</v>
      </c>
      <c r="W184" t="s">
        <v>68</v>
      </c>
      <c r="X184" t="s">
        <v>122</v>
      </c>
      <c r="AA184" t="s">
        <v>48</v>
      </c>
      <c r="AB184">
        <v>1</v>
      </c>
      <c r="AD184">
        <v>2</v>
      </c>
      <c r="AE184" t="s">
        <v>89</v>
      </c>
      <c r="AF184" t="s">
        <v>84</v>
      </c>
      <c r="AI184">
        <v>10</v>
      </c>
      <c r="AJ184">
        <v>28</v>
      </c>
    </row>
    <row r="185" spans="1:36" x14ac:dyDescent="0.25">
      <c r="A185" t="s">
        <v>777</v>
      </c>
      <c r="B185">
        <v>183</v>
      </c>
      <c r="C185" t="s">
        <v>56</v>
      </c>
      <c r="D185">
        <v>1</v>
      </c>
      <c r="F185">
        <v>1</v>
      </c>
      <c r="G185" t="s">
        <v>68</v>
      </c>
      <c r="K185" t="s">
        <v>33</v>
      </c>
      <c r="L185">
        <v>2</v>
      </c>
      <c r="N185">
        <v>3</v>
      </c>
      <c r="O185" t="s">
        <v>34</v>
      </c>
      <c r="P185" t="s">
        <v>66</v>
      </c>
      <c r="S185" t="s">
        <v>48</v>
      </c>
      <c r="T185">
        <v>3</v>
      </c>
      <c r="V185">
        <v>1</v>
      </c>
      <c r="W185" t="s">
        <v>89</v>
      </c>
      <c r="X185" t="s">
        <v>50</v>
      </c>
      <c r="AA185" t="s">
        <v>43</v>
      </c>
      <c r="AB185">
        <v>3</v>
      </c>
      <c r="AD185">
        <v>1</v>
      </c>
      <c r="AE185" t="s">
        <v>73</v>
      </c>
      <c r="AF185" t="s">
        <v>136</v>
      </c>
      <c r="AI185">
        <v>10</v>
      </c>
      <c r="AJ185">
        <v>24</v>
      </c>
    </row>
    <row r="186" spans="1:36" x14ac:dyDescent="0.25">
      <c r="A186" t="s">
        <v>778</v>
      </c>
      <c r="B186">
        <v>184</v>
      </c>
      <c r="C186" t="s">
        <v>48</v>
      </c>
      <c r="D186">
        <v>3</v>
      </c>
      <c r="F186">
        <v>1</v>
      </c>
      <c r="G186" t="s">
        <v>89</v>
      </c>
      <c r="K186" t="s">
        <v>45</v>
      </c>
      <c r="L186">
        <v>2</v>
      </c>
      <c r="N186">
        <v>1</v>
      </c>
      <c r="O186" t="s">
        <v>140</v>
      </c>
      <c r="P186" t="s">
        <v>141</v>
      </c>
      <c r="Q186" t="s">
        <v>102</v>
      </c>
      <c r="R186" t="s">
        <v>94</v>
      </c>
      <c r="S186" t="s">
        <v>56</v>
      </c>
      <c r="T186">
        <v>1</v>
      </c>
      <c r="V186">
        <v>2</v>
      </c>
      <c r="W186" t="s">
        <v>68</v>
      </c>
      <c r="AA186" t="s">
        <v>33</v>
      </c>
      <c r="AB186">
        <v>1</v>
      </c>
      <c r="AD186">
        <v>3</v>
      </c>
      <c r="AE186" t="s">
        <v>46</v>
      </c>
      <c r="AI186">
        <v>9</v>
      </c>
      <c r="AJ186">
        <v>26</v>
      </c>
    </row>
    <row r="187" spans="1:36" x14ac:dyDescent="0.25">
      <c r="A187" t="s">
        <v>779</v>
      </c>
      <c r="B187">
        <v>185</v>
      </c>
      <c r="C187" t="s">
        <v>56</v>
      </c>
      <c r="D187">
        <v>2</v>
      </c>
      <c r="F187">
        <v>1</v>
      </c>
      <c r="G187" t="s">
        <v>57</v>
      </c>
      <c r="H187" t="s">
        <v>122</v>
      </c>
      <c r="I187" t="s">
        <v>85</v>
      </c>
      <c r="K187" t="s">
        <v>33</v>
      </c>
      <c r="L187">
        <v>1</v>
      </c>
      <c r="N187">
        <v>2</v>
      </c>
      <c r="O187" t="s">
        <v>46</v>
      </c>
      <c r="S187" t="s">
        <v>48</v>
      </c>
      <c r="T187">
        <v>2</v>
      </c>
      <c r="V187">
        <v>1</v>
      </c>
      <c r="W187" t="s">
        <v>89</v>
      </c>
      <c r="AA187" t="s">
        <v>63</v>
      </c>
      <c r="AB187">
        <v>3</v>
      </c>
      <c r="AD187">
        <v>1</v>
      </c>
      <c r="AE187" t="s">
        <v>72</v>
      </c>
      <c r="AF187" t="s">
        <v>91</v>
      </c>
      <c r="AI187">
        <v>8</v>
      </c>
      <c r="AJ187">
        <v>21</v>
      </c>
    </row>
    <row r="188" spans="1:36" x14ac:dyDescent="0.25">
      <c r="A188" t="s">
        <v>780</v>
      </c>
      <c r="B188">
        <v>186</v>
      </c>
      <c r="C188" t="s">
        <v>48</v>
      </c>
      <c r="D188">
        <v>3</v>
      </c>
      <c r="F188">
        <v>2</v>
      </c>
      <c r="G188" t="s">
        <v>89</v>
      </c>
      <c r="H188" t="s">
        <v>84</v>
      </c>
      <c r="K188" t="s">
        <v>38</v>
      </c>
      <c r="L188">
        <v>1</v>
      </c>
      <c r="M188">
        <v>1</v>
      </c>
      <c r="N188">
        <v>2</v>
      </c>
      <c r="O188" t="s">
        <v>67</v>
      </c>
      <c r="S188" t="s">
        <v>56</v>
      </c>
      <c r="T188">
        <v>3</v>
      </c>
      <c r="V188">
        <v>2</v>
      </c>
      <c r="W188" t="s">
        <v>68</v>
      </c>
      <c r="AA188" t="s">
        <v>33</v>
      </c>
      <c r="AB188">
        <v>1</v>
      </c>
      <c r="AD188">
        <v>2</v>
      </c>
      <c r="AE188" t="s">
        <v>46</v>
      </c>
      <c r="AI188">
        <v>9</v>
      </c>
      <c r="AJ188">
        <v>29</v>
      </c>
    </row>
    <row r="189" spans="1:36" x14ac:dyDescent="0.25">
      <c r="A189" t="s">
        <v>781</v>
      </c>
      <c r="B189">
        <v>187</v>
      </c>
      <c r="C189" t="s">
        <v>48</v>
      </c>
      <c r="D189">
        <v>3</v>
      </c>
      <c r="F189">
        <v>1</v>
      </c>
      <c r="G189" t="s">
        <v>89</v>
      </c>
      <c r="H189" t="s">
        <v>71</v>
      </c>
      <c r="K189" t="s">
        <v>227</v>
      </c>
      <c r="L189">
        <v>2</v>
      </c>
      <c r="M189">
        <v>1</v>
      </c>
      <c r="N189">
        <v>1</v>
      </c>
      <c r="O189" t="s">
        <v>228</v>
      </c>
      <c r="S189" t="s">
        <v>56</v>
      </c>
      <c r="T189">
        <v>3</v>
      </c>
      <c r="V189">
        <v>1</v>
      </c>
      <c r="W189" t="s">
        <v>57</v>
      </c>
      <c r="AA189" t="s">
        <v>33</v>
      </c>
      <c r="AB189">
        <v>1</v>
      </c>
      <c r="AD189">
        <v>2</v>
      </c>
      <c r="AE189" t="s">
        <v>46</v>
      </c>
      <c r="AI189">
        <v>7</v>
      </c>
      <c r="AJ189">
        <v>21</v>
      </c>
    </row>
    <row r="190" spans="1:36" x14ac:dyDescent="0.25">
      <c r="A190" t="s">
        <v>782</v>
      </c>
      <c r="B190">
        <v>188</v>
      </c>
      <c r="C190" t="s">
        <v>43</v>
      </c>
      <c r="D190">
        <v>2</v>
      </c>
      <c r="F190">
        <v>1</v>
      </c>
      <c r="G190" t="s">
        <v>135</v>
      </c>
      <c r="H190" t="s">
        <v>136</v>
      </c>
      <c r="K190" t="s">
        <v>45</v>
      </c>
      <c r="L190">
        <v>2</v>
      </c>
      <c r="N190">
        <v>1</v>
      </c>
      <c r="O190" t="s">
        <v>140</v>
      </c>
      <c r="S190" t="s">
        <v>56</v>
      </c>
      <c r="T190">
        <v>2</v>
      </c>
      <c r="V190">
        <v>1</v>
      </c>
      <c r="W190" t="s">
        <v>68</v>
      </c>
      <c r="AA190" t="s">
        <v>33</v>
      </c>
      <c r="AB190">
        <v>1</v>
      </c>
      <c r="AD190">
        <v>3</v>
      </c>
      <c r="AE190" t="s">
        <v>34</v>
      </c>
      <c r="AI190">
        <v>6</v>
      </c>
      <c r="AJ190">
        <v>27</v>
      </c>
    </row>
    <row r="191" spans="1:36" x14ac:dyDescent="0.25">
      <c r="A191" t="s">
        <v>783</v>
      </c>
      <c r="B191">
        <v>189</v>
      </c>
      <c r="C191" t="s">
        <v>56</v>
      </c>
      <c r="D191">
        <v>2</v>
      </c>
      <c r="F191">
        <v>1</v>
      </c>
      <c r="G191" t="s">
        <v>68</v>
      </c>
      <c r="K191" t="s">
        <v>33</v>
      </c>
      <c r="L191">
        <v>1</v>
      </c>
      <c r="N191">
        <v>3</v>
      </c>
      <c r="O191" t="s">
        <v>34</v>
      </c>
      <c r="S191" t="s">
        <v>43</v>
      </c>
      <c r="T191">
        <v>1</v>
      </c>
      <c r="V191">
        <v>1</v>
      </c>
      <c r="W191" t="s">
        <v>73</v>
      </c>
      <c r="X191" t="s">
        <v>136</v>
      </c>
      <c r="Y191" t="s">
        <v>75</v>
      </c>
      <c r="AA191" t="s">
        <v>63</v>
      </c>
      <c r="AB191">
        <v>2</v>
      </c>
      <c r="AD191">
        <v>1</v>
      </c>
      <c r="AE191" t="s">
        <v>72</v>
      </c>
      <c r="AF191" t="s">
        <v>95</v>
      </c>
      <c r="AI191">
        <v>7</v>
      </c>
      <c r="AJ191">
        <v>20</v>
      </c>
    </row>
    <row r="192" spans="1:36" x14ac:dyDescent="0.25">
      <c r="A192" t="s">
        <v>784</v>
      </c>
      <c r="B192">
        <v>190</v>
      </c>
      <c r="C192" t="s">
        <v>43</v>
      </c>
      <c r="D192">
        <v>2</v>
      </c>
      <c r="F192">
        <v>1</v>
      </c>
      <c r="G192" t="s">
        <v>73</v>
      </c>
      <c r="H192" t="s">
        <v>74</v>
      </c>
      <c r="I192" t="s">
        <v>100</v>
      </c>
      <c r="J192" t="s">
        <v>139</v>
      </c>
      <c r="K192" t="s">
        <v>38</v>
      </c>
      <c r="L192">
        <v>1</v>
      </c>
      <c r="M192">
        <v>1</v>
      </c>
      <c r="N192">
        <v>2</v>
      </c>
      <c r="O192" t="s">
        <v>67</v>
      </c>
      <c r="S192" t="s">
        <v>56</v>
      </c>
      <c r="T192">
        <v>3</v>
      </c>
      <c r="V192">
        <v>1</v>
      </c>
      <c r="W192" t="s">
        <v>68</v>
      </c>
      <c r="AA192" t="s">
        <v>33</v>
      </c>
      <c r="AB192">
        <v>1</v>
      </c>
      <c r="AD192">
        <v>2</v>
      </c>
      <c r="AE192" t="s">
        <v>34</v>
      </c>
      <c r="AI192">
        <v>8</v>
      </c>
      <c r="AJ192">
        <v>21</v>
      </c>
    </row>
    <row r="193" spans="1:36" x14ac:dyDescent="0.25">
      <c r="A193" t="s">
        <v>785</v>
      </c>
      <c r="B193">
        <v>191</v>
      </c>
      <c r="C193" t="s">
        <v>43</v>
      </c>
      <c r="D193">
        <v>3</v>
      </c>
      <c r="F193">
        <v>1</v>
      </c>
      <c r="G193" t="s">
        <v>73</v>
      </c>
      <c r="H193" t="s">
        <v>99</v>
      </c>
      <c r="I193" t="s">
        <v>100</v>
      </c>
      <c r="K193" t="s">
        <v>227</v>
      </c>
      <c r="L193">
        <v>2</v>
      </c>
      <c r="M193">
        <v>1</v>
      </c>
      <c r="N193">
        <v>1</v>
      </c>
      <c r="O193" t="s">
        <v>228</v>
      </c>
      <c r="S193" t="s">
        <v>56</v>
      </c>
      <c r="T193">
        <v>2</v>
      </c>
      <c r="V193">
        <v>1</v>
      </c>
      <c r="W193" t="s">
        <v>57</v>
      </c>
      <c r="X193" t="s">
        <v>122</v>
      </c>
      <c r="Y193" t="s">
        <v>85</v>
      </c>
      <c r="Z193" t="s">
        <v>124</v>
      </c>
      <c r="AA193" t="s">
        <v>33</v>
      </c>
      <c r="AB193">
        <v>1</v>
      </c>
      <c r="AD193">
        <v>2</v>
      </c>
      <c r="AE193" t="s">
        <v>34</v>
      </c>
      <c r="AI193">
        <v>10</v>
      </c>
      <c r="AJ193">
        <v>21</v>
      </c>
    </row>
    <row r="194" spans="1:36" x14ac:dyDescent="0.25">
      <c r="A194" t="s">
        <v>786</v>
      </c>
      <c r="B194">
        <v>192</v>
      </c>
      <c r="C194" t="s">
        <v>45</v>
      </c>
      <c r="D194">
        <v>2</v>
      </c>
      <c r="F194">
        <v>1</v>
      </c>
      <c r="G194" t="s">
        <v>140</v>
      </c>
      <c r="K194" t="s">
        <v>63</v>
      </c>
      <c r="L194">
        <v>2</v>
      </c>
      <c r="N194">
        <v>1</v>
      </c>
      <c r="O194" t="s">
        <v>72</v>
      </c>
      <c r="P194" t="s">
        <v>95</v>
      </c>
      <c r="Q194" t="s">
        <v>104</v>
      </c>
      <c r="S194" t="s">
        <v>56</v>
      </c>
      <c r="T194">
        <v>1</v>
      </c>
      <c r="V194">
        <v>3</v>
      </c>
      <c r="W194" t="s">
        <v>68</v>
      </c>
      <c r="AA194" t="s">
        <v>33</v>
      </c>
      <c r="AB194">
        <v>1</v>
      </c>
      <c r="AD194">
        <v>3</v>
      </c>
      <c r="AE194" t="s">
        <v>34</v>
      </c>
      <c r="AI194">
        <v>8</v>
      </c>
      <c r="AJ194">
        <v>27</v>
      </c>
    </row>
    <row r="195" spans="1:36" x14ac:dyDescent="0.25">
      <c r="A195" s="39" t="s">
        <v>787</v>
      </c>
      <c r="B195">
        <v>193</v>
      </c>
      <c r="C195" t="s">
        <v>45</v>
      </c>
      <c r="D195">
        <v>2</v>
      </c>
      <c r="F195">
        <v>1</v>
      </c>
      <c r="G195" t="s">
        <v>140</v>
      </c>
      <c r="H195" t="s">
        <v>141</v>
      </c>
      <c r="I195" t="s">
        <v>102</v>
      </c>
      <c r="K195" t="s">
        <v>38</v>
      </c>
      <c r="L195">
        <v>1</v>
      </c>
      <c r="M195">
        <v>1</v>
      </c>
      <c r="N195">
        <v>2</v>
      </c>
      <c r="O195" t="s">
        <v>39</v>
      </c>
      <c r="P195" t="s">
        <v>70</v>
      </c>
      <c r="Q195" t="s">
        <v>153</v>
      </c>
      <c r="R195" t="s">
        <v>155</v>
      </c>
      <c r="S195" t="s">
        <v>56</v>
      </c>
      <c r="T195">
        <v>2</v>
      </c>
      <c r="V195">
        <v>1</v>
      </c>
      <c r="W195" t="s">
        <v>68</v>
      </c>
      <c r="X195" t="s">
        <v>121</v>
      </c>
      <c r="Y195" t="s">
        <v>123</v>
      </c>
      <c r="Z195" t="s">
        <v>88</v>
      </c>
      <c r="AA195" t="s">
        <v>33</v>
      </c>
      <c r="AB195">
        <v>1</v>
      </c>
      <c r="AD195">
        <v>2</v>
      </c>
      <c r="AE195" t="s">
        <v>46</v>
      </c>
      <c r="AI195">
        <v>12</v>
      </c>
      <c r="AJ195">
        <v>45</v>
      </c>
    </row>
    <row r="196" spans="1:36" x14ac:dyDescent="0.25">
      <c r="A196" t="s">
        <v>788</v>
      </c>
      <c r="B196">
        <v>194</v>
      </c>
      <c r="C196" t="s">
        <v>45</v>
      </c>
      <c r="D196">
        <v>3</v>
      </c>
      <c r="F196">
        <v>1</v>
      </c>
      <c r="G196" t="s">
        <v>140</v>
      </c>
      <c r="K196" t="s">
        <v>227</v>
      </c>
      <c r="L196">
        <v>2</v>
      </c>
      <c r="M196">
        <v>1</v>
      </c>
      <c r="N196">
        <v>2</v>
      </c>
      <c r="O196" t="s">
        <v>228</v>
      </c>
      <c r="P196" t="s">
        <v>231</v>
      </c>
      <c r="S196" t="s">
        <v>56</v>
      </c>
      <c r="T196">
        <v>3</v>
      </c>
      <c r="V196">
        <v>1</v>
      </c>
      <c r="W196" t="s">
        <v>57</v>
      </c>
      <c r="X196" t="s">
        <v>122</v>
      </c>
      <c r="AA196" t="s">
        <v>33</v>
      </c>
      <c r="AB196">
        <v>1</v>
      </c>
      <c r="AD196">
        <v>2</v>
      </c>
      <c r="AE196" t="s">
        <v>34</v>
      </c>
      <c r="AI196">
        <v>9</v>
      </c>
      <c r="AJ196">
        <v>20</v>
      </c>
    </row>
    <row r="197" spans="1:36" x14ac:dyDescent="0.25">
      <c r="A197" t="s">
        <v>789</v>
      </c>
      <c r="B197">
        <v>195</v>
      </c>
      <c r="C197" t="s">
        <v>63</v>
      </c>
      <c r="D197">
        <v>1</v>
      </c>
      <c r="F197">
        <v>1</v>
      </c>
      <c r="G197" t="s">
        <v>72</v>
      </c>
      <c r="H197" t="s">
        <v>146</v>
      </c>
      <c r="K197" t="s">
        <v>38</v>
      </c>
      <c r="L197">
        <v>1</v>
      </c>
      <c r="M197">
        <v>1</v>
      </c>
      <c r="N197">
        <v>2</v>
      </c>
      <c r="O197" t="s">
        <v>67</v>
      </c>
      <c r="P197" t="s">
        <v>70</v>
      </c>
      <c r="S197" t="s">
        <v>56</v>
      </c>
      <c r="T197">
        <v>2</v>
      </c>
      <c r="V197">
        <v>1</v>
      </c>
      <c r="W197" t="s">
        <v>57</v>
      </c>
      <c r="X197" t="s">
        <v>122</v>
      </c>
      <c r="AA197" t="s">
        <v>33</v>
      </c>
      <c r="AB197">
        <v>1</v>
      </c>
      <c r="AD197">
        <v>2</v>
      </c>
      <c r="AE197" t="s">
        <v>46</v>
      </c>
      <c r="AI197">
        <v>6</v>
      </c>
      <c r="AJ197">
        <v>23</v>
      </c>
    </row>
    <row r="198" spans="1:36" x14ac:dyDescent="0.25">
      <c r="A198" t="s">
        <v>790</v>
      </c>
      <c r="B198">
        <v>196</v>
      </c>
      <c r="C198" t="s">
        <v>56</v>
      </c>
      <c r="D198">
        <v>3</v>
      </c>
      <c r="F198">
        <v>1</v>
      </c>
      <c r="G198" t="s">
        <v>57</v>
      </c>
      <c r="H198" t="s">
        <v>122</v>
      </c>
      <c r="I198" t="s">
        <v>85</v>
      </c>
      <c r="J198" t="s">
        <v>124</v>
      </c>
      <c r="K198" t="s">
        <v>33</v>
      </c>
      <c r="L198">
        <v>1</v>
      </c>
      <c r="N198">
        <v>3</v>
      </c>
      <c r="O198" t="s">
        <v>34</v>
      </c>
      <c r="S198" t="s">
        <v>63</v>
      </c>
      <c r="T198">
        <v>3</v>
      </c>
      <c r="V198">
        <v>1</v>
      </c>
      <c r="W198" t="s">
        <v>72</v>
      </c>
      <c r="X198" t="s">
        <v>146</v>
      </c>
      <c r="AA198" t="s">
        <v>227</v>
      </c>
      <c r="AB198">
        <v>2</v>
      </c>
      <c r="AC198">
        <v>1</v>
      </c>
      <c r="AD198">
        <v>1</v>
      </c>
      <c r="AE198" t="s">
        <v>228</v>
      </c>
      <c r="AI198">
        <v>11</v>
      </c>
      <c r="AJ198">
        <v>30</v>
      </c>
    </row>
    <row r="199" spans="1:36" x14ac:dyDescent="0.25">
      <c r="A199" t="s">
        <v>791</v>
      </c>
      <c r="B199">
        <v>197</v>
      </c>
      <c r="C199" t="s">
        <v>38</v>
      </c>
      <c r="D199">
        <v>1</v>
      </c>
      <c r="E199">
        <v>1</v>
      </c>
      <c r="F199">
        <v>2</v>
      </c>
      <c r="G199" t="s">
        <v>67</v>
      </c>
      <c r="H199" t="s">
        <v>70</v>
      </c>
      <c r="K199" t="s">
        <v>227</v>
      </c>
      <c r="L199">
        <v>2</v>
      </c>
      <c r="M199">
        <v>1</v>
      </c>
      <c r="N199">
        <v>3</v>
      </c>
      <c r="O199" t="s">
        <v>228</v>
      </c>
      <c r="P199" t="s">
        <v>231</v>
      </c>
      <c r="S199" t="s">
        <v>56</v>
      </c>
      <c r="T199">
        <v>2</v>
      </c>
      <c r="V199">
        <v>1</v>
      </c>
      <c r="W199" t="s">
        <v>57</v>
      </c>
      <c r="X199" t="s">
        <v>121</v>
      </c>
      <c r="Y199" t="s">
        <v>85</v>
      </c>
      <c r="Z199" t="s">
        <v>125</v>
      </c>
      <c r="AA199" t="s">
        <v>33</v>
      </c>
      <c r="AB199">
        <v>1</v>
      </c>
      <c r="AD199">
        <v>3</v>
      </c>
      <c r="AE199" t="s">
        <v>65</v>
      </c>
      <c r="AF199" t="s">
        <v>35</v>
      </c>
      <c r="AI199">
        <v>13</v>
      </c>
      <c r="AJ199">
        <v>31</v>
      </c>
    </row>
    <row r="200" spans="1:36" x14ac:dyDescent="0.25">
      <c r="A200" t="s">
        <v>792</v>
      </c>
      <c r="B200">
        <v>198</v>
      </c>
      <c r="C200" t="s">
        <v>48</v>
      </c>
      <c r="D200">
        <v>3</v>
      </c>
      <c r="F200">
        <v>1</v>
      </c>
      <c r="G200" t="s">
        <v>89</v>
      </c>
      <c r="H200" t="s">
        <v>71</v>
      </c>
      <c r="K200" t="s">
        <v>33</v>
      </c>
      <c r="L200">
        <v>1</v>
      </c>
      <c r="N200">
        <v>3</v>
      </c>
      <c r="O200" t="s">
        <v>34</v>
      </c>
      <c r="S200" t="s">
        <v>56</v>
      </c>
      <c r="T200">
        <v>1</v>
      </c>
      <c r="V200">
        <v>1</v>
      </c>
      <c r="W200" t="s">
        <v>68</v>
      </c>
      <c r="AA200" t="s">
        <v>43</v>
      </c>
      <c r="AB200">
        <v>2</v>
      </c>
      <c r="AD200">
        <v>1</v>
      </c>
      <c r="AE200" t="s">
        <v>73</v>
      </c>
      <c r="AF200" t="s">
        <v>136</v>
      </c>
      <c r="AG200" t="s">
        <v>75</v>
      </c>
      <c r="AI200">
        <v>8</v>
      </c>
      <c r="AJ200">
        <v>24</v>
      </c>
    </row>
    <row r="201" spans="1:36" x14ac:dyDescent="0.25">
      <c r="A201" s="39" t="s">
        <v>793</v>
      </c>
      <c r="B201">
        <v>199</v>
      </c>
      <c r="C201" t="s">
        <v>56</v>
      </c>
      <c r="D201">
        <v>2</v>
      </c>
      <c r="F201">
        <v>3</v>
      </c>
      <c r="G201" t="s">
        <v>68</v>
      </c>
      <c r="K201" t="s">
        <v>43</v>
      </c>
      <c r="L201">
        <v>1</v>
      </c>
      <c r="N201">
        <v>1</v>
      </c>
      <c r="O201" t="s">
        <v>73</v>
      </c>
      <c r="P201" t="s">
        <v>99</v>
      </c>
      <c r="Q201" t="s">
        <v>137</v>
      </c>
      <c r="S201" t="s">
        <v>48</v>
      </c>
      <c r="T201">
        <v>3</v>
      </c>
      <c r="V201">
        <v>1</v>
      </c>
      <c r="W201" t="s">
        <v>89</v>
      </c>
      <c r="AA201" t="s">
        <v>45</v>
      </c>
      <c r="AB201">
        <v>3</v>
      </c>
      <c r="AD201">
        <v>2</v>
      </c>
      <c r="AE201" t="s">
        <v>86</v>
      </c>
      <c r="AI201">
        <v>10</v>
      </c>
      <c r="AJ201">
        <v>28</v>
      </c>
    </row>
    <row r="202" spans="1:36" x14ac:dyDescent="0.25">
      <c r="A202" t="s">
        <v>794</v>
      </c>
      <c r="B202">
        <v>200</v>
      </c>
      <c r="C202" t="s">
        <v>48</v>
      </c>
      <c r="D202">
        <v>3</v>
      </c>
      <c r="F202">
        <v>3</v>
      </c>
      <c r="G202" t="s">
        <v>89</v>
      </c>
      <c r="H202" t="s">
        <v>84</v>
      </c>
      <c r="I202" t="s">
        <v>90</v>
      </c>
      <c r="J202" t="s">
        <v>128</v>
      </c>
      <c r="K202" t="s">
        <v>63</v>
      </c>
      <c r="L202">
        <v>1</v>
      </c>
      <c r="N202">
        <v>1</v>
      </c>
      <c r="O202" t="s">
        <v>72</v>
      </c>
      <c r="P202" t="s">
        <v>146</v>
      </c>
      <c r="S202" t="s">
        <v>56</v>
      </c>
      <c r="T202">
        <v>3</v>
      </c>
      <c r="V202">
        <v>1</v>
      </c>
      <c r="W202" t="s">
        <v>57</v>
      </c>
      <c r="X202" t="s">
        <v>122</v>
      </c>
      <c r="AA202" t="s">
        <v>43</v>
      </c>
      <c r="AB202">
        <v>3</v>
      </c>
      <c r="AD202">
        <v>1</v>
      </c>
      <c r="AE202" t="s">
        <v>73</v>
      </c>
      <c r="AF202" t="s">
        <v>74</v>
      </c>
      <c r="AG202" t="s">
        <v>75</v>
      </c>
      <c r="AH202" t="s">
        <v>101</v>
      </c>
      <c r="AI202">
        <v>16</v>
      </c>
      <c r="AJ202">
        <v>42</v>
      </c>
    </row>
    <row r="203" spans="1:36" x14ac:dyDescent="0.25">
      <c r="A203" t="s">
        <v>795</v>
      </c>
      <c r="B203">
        <v>201</v>
      </c>
      <c r="C203" t="s">
        <v>48</v>
      </c>
      <c r="D203">
        <v>3</v>
      </c>
      <c r="F203">
        <v>1</v>
      </c>
      <c r="G203" t="s">
        <v>89</v>
      </c>
      <c r="K203" t="s">
        <v>38</v>
      </c>
      <c r="L203">
        <v>1</v>
      </c>
      <c r="M203">
        <v>1</v>
      </c>
      <c r="N203">
        <v>2</v>
      </c>
      <c r="O203" t="s">
        <v>67</v>
      </c>
      <c r="P203" t="s">
        <v>70</v>
      </c>
      <c r="S203" t="s">
        <v>56</v>
      </c>
      <c r="T203">
        <v>2</v>
      </c>
      <c r="V203">
        <v>1</v>
      </c>
      <c r="W203" t="s">
        <v>57</v>
      </c>
      <c r="X203" t="s">
        <v>122</v>
      </c>
      <c r="AA203" t="s">
        <v>43</v>
      </c>
      <c r="AB203">
        <v>1</v>
      </c>
      <c r="AD203">
        <v>1</v>
      </c>
      <c r="AE203" t="s">
        <v>73</v>
      </c>
      <c r="AF203" t="s">
        <v>74</v>
      </c>
      <c r="AG203" t="s">
        <v>100</v>
      </c>
      <c r="AI203">
        <v>9</v>
      </c>
      <c r="AJ203">
        <v>32</v>
      </c>
    </row>
    <row r="204" spans="1:36" x14ac:dyDescent="0.25">
      <c r="A204" t="s">
        <v>796</v>
      </c>
      <c r="B204">
        <v>202</v>
      </c>
      <c r="C204" t="s">
        <v>56</v>
      </c>
      <c r="D204">
        <v>1</v>
      </c>
      <c r="F204">
        <v>1</v>
      </c>
      <c r="G204" t="s">
        <v>68</v>
      </c>
      <c r="K204" t="s">
        <v>43</v>
      </c>
      <c r="L204">
        <v>3</v>
      </c>
      <c r="N204">
        <v>1</v>
      </c>
      <c r="O204" t="s">
        <v>73</v>
      </c>
      <c r="P204" t="s">
        <v>99</v>
      </c>
      <c r="Q204" t="s">
        <v>75</v>
      </c>
      <c r="S204" t="s">
        <v>48</v>
      </c>
      <c r="T204">
        <v>3</v>
      </c>
      <c r="V204">
        <v>2</v>
      </c>
      <c r="W204" t="s">
        <v>89</v>
      </c>
      <c r="AA204" t="s">
        <v>227</v>
      </c>
      <c r="AB204">
        <v>1</v>
      </c>
      <c r="AC204">
        <v>1</v>
      </c>
      <c r="AD204">
        <v>1</v>
      </c>
      <c r="AE204" t="s">
        <v>228</v>
      </c>
      <c r="AI204">
        <v>7</v>
      </c>
      <c r="AJ204">
        <v>20</v>
      </c>
    </row>
    <row r="205" spans="1:36" x14ac:dyDescent="0.25">
      <c r="A205" t="s">
        <v>797</v>
      </c>
      <c r="B205">
        <v>203</v>
      </c>
      <c r="C205" t="s">
        <v>33</v>
      </c>
      <c r="D205">
        <v>2</v>
      </c>
      <c r="F205">
        <v>2</v>
      </c>
      <c r="G205" t="s">
        <v>34</v>
      </c>
      <c r="H205" t="s">
        <v>66</v>
      </c>
      <c r="K205" t="s">
        <v>45</v>
      </c>
      <c r="L205">
        <v>2</v>
      </c>
      <c r="N205">
        <v>1</v>
      </c>
      <c r="O205" t="s">
        <v>140</v>
      </c>
      <c r="S205" t="s">
        <v>56</v>
      </c>
      <c r="T205">
        <v>2</v>
      </c>
      <c r="V205">
        <v>2</v>
      </c>
      <c r="W205" t="s">
        <v>68</v>
      </c>
      <c r="X205" t="s">
        <v>121</v>
      </c>
      <c r="AA205" t="s">
        <v>43</v>
      </c>
      <c r="AB205">
        <v>1</v>
      </c>
      <c r="AD205">
        <v>1</v>
      </c>
      <c r="AE205" t="s">
        <v>73</v>
      </c>
      <c r="AF205" t="s">
        <v>136</v>
      </c>
      <c r="AG205" t="s">
        <v>100</v>
      </c>
      <c r="AH205" t="s">
        <v>101</v>
      </c>
      <c r="AI205">
        <v>10</v>
      </c>
      <c r="AJ205">
        <v>33</v>
      </c>
    </row>
    <row r="206" spans="1:36" x14ac:dyDescent="0.25">
      <c r="A206" t="s">
        <v>798</v>
      </c>
      <c r="B206">
        <v>204</v>
      </c>
      <c r="C206" t="s">
        <v>56</v>
      </c>
      <c r="D206">
        <v>2</v>
      </c>
      <c r="F206">
        <v>1</v>
      </c>
      <c r="G206" t="s">
        <v>68</v>
      </c>
      <c r="H206" t="s">
        <v>122</v>
      </c>
      <c r="K206" t="s">
        <v>43</v>
      </c>
      <c r="L206">
        <v>2</v>
      </c>
      <c r="N206">
        <v>1</v>
      </c>
      <c r="O206" t="s">
        <v>73</v>
      </c>
      <c r="P206" t="s">
        <v>136</v>
      </c>
      <c r="Q206" t="s">
        <v>100</v>
      </c>
      <c r="R206" t="s">
        <v>139</v>
      </c>
      <c r="S206" t="s">
        <v>33</v>
      </c>
      <c r="T206">
        <v>1</v>
      </c>
      <c r="V206">
        <v>2</v>
      </c>
      <c r="W206" t="s">
        <v>34</v>
      </c>
      <c r="AA206" t="s">
        <v>63</v>
      </c>
      <c r="AB206">
        <v>3</v>
      </c>
      <c r="AD206">
        <v>1</v>
      </c>
      <c r="AE206" t="s">
        <v>72</v>
      </c>
      <c r="AF206" t="s">
        <v>95</v>
      </c>
      <c r="AI206">
        <v>10</v>
      </c>
      <c r="AJ206">
        <v>30</v>
      </c>
    </row>
    <row r="207" spans="1:36" x14ac:dyDescent="0.25">
      <c r="A207" t="s">
        <v>799</v>
      </c>
      <c r="B207">
        <v>205</v>
      </c>
      <c r="C207" t="s">
        <v>33</v>
      </c>
      <c r="D207">
        <v>3</v>
      </c>
      <c r="F207">
        <v>3</v>
      </c>
      <c r="G207" t="s">
        <v>34</v>
      </c>
      <c r="H207" t="s">
        <v>66</v>
      </c>
      <c r="K207" t="s">
        <v>38</v>
      </c>
      <c r="L207">
        <v>1</v>
      </c>
      <c r="M207">
        <v>1</v>
      </c>
      <c r="N207">
        <v>1</v>
      </c>
      <c r="O207" t="s">
        <v>67</v>
      </c>
      <c r="S207" t="s">
        <v>56</v>
      </c>
      <c r="T207">
        <v>1</v>
      </c>
      <c r="V207">
        <v>1</v>
      </c>
      <c r="W207" t="s">
        <v>68</v>
      </c>
      <c r="AA207" t="s">
        <v>43</v>
      </c>
      <c r="AB207">
        <v>3</v>
      </c>
      <c r="AD207">
        <v>1</v>
      </c>
      <c r="AE207" t="s">
        <v>73</v>
      </c>
      <c r="AF207" t="s">
        <v>136</v>
      </c>
      <c r="AG207" t="s">
        <v>137</v>
      </c>
      <c r="AH207" t="s">
        <v>101</v>
      </c>
      <c r="AI207">
        <v>10</v>
      </c>
      <c r="AJ207">
        <v>29</v>
      </c>
    </row>
    <row r="208" spans="1:36" x14ac:dyDescent="0.25">
      <c r="A208" t="s">
        <v>800</v>
      </c>
      <c r="B208">
        <v>206</v>
      </c>
      <c r="C208" t="s">
        <v>56</v>
      </c>
      <c r="D208">
        <v>2</v>
      </c>
      <c r="F208">
        <v>1</v>
      </c>
      <c r="G208" t="s">
        <v>68</v>
      </c>
      <c r="K208" t="s">
        <v>43</v>
      </c>
      <c r="L208">
        <v>1</v>
      </c>
      <c r="N208">
        <v>1</v>
      </c>
      <c r="O208" t="s">
        <v>73</v>
      </c>
      <c r="P208" t="s">
        <v>136</v>
      </c>
      <c r="Q208" t="s">
        <v>137</v>
      </c>
      <c r="R208" t="s">
        <v>101</v>
      </c>
      <c r="S208" t="s">
        <v>33</v>
      </c>
      <c r="T208">
        <v>2</v>
      </c>
      <c r="V208">
        <v>3</v>
      </c>
      <c r="W208" t="s">
        <v>34</v>
      </c>
      <c r="AA208" t="s">
        <v>227</v>
      </c>
      <c r="AB208">
        <v>1</v>
      </c>
      <c r="AC208">
        <v>1</v>
      </c>
      <c r="AD208">
        <v>1</v>
      </c>
      <c r="AE208" t="s">
        <v>228</v>
      </c>
      <c r="AI208">
        <v>7</v>
      </c>
      <c r="AJ208">
        <v>19</v>
      </c>
    </row>
    <row r="209" spans="1:36" x14ac:dyDescent="0.25">
      <c r="A209" t="s">
        <v>801</v>
      </c>
      <c r="B209">
        <v>207</v>
      </c>
      <c r="C209" t="s">
        <v>56</v>
      </c>
      <c r="D209">
        <v>1</v>
      </c>
      <c r="F209">
        <v>1</v>
      </c>
      <c r="G209" t="s">
        <v>68</v>
      </c>
      <c r="H209" t="s">
        <v>122</v>
      </c>
      <c r="K209" t="s">
        <v>43</v>
      </c>
      <c r="L209">
        <v>2</v>
      </c>
      <c r="N209">
        <v>1</v>
      </c>
      <c r="O209" t="s">
        <v>73</v>
      </c>
      <c r="P209" t="s">
        <v>99</v>
      </c>
      <c r="Q209" t="s">
        <v>75</v>
      </c>
      <c r="R209" t="s">
        <v>139</v>
      </c>
      <c r="S209" t="s">
        <v>45</v>
      </c>
      <c r="T209">
        <v>3</v>
      </c>
      <c r="V209">
        <v>1</v>
      </c>
      <c r="W209" t="s">
        <v>86</v>
      </c>
      <c r="AA209" t="s">
        <v>63</v>
      </c>
      <c r="AB209">
        <v>2</v>
      </c>
      <c r="AD209">
        <v>1</v>
      </c>
      <c r="AE209" t="s">
        <v>72</v>
      </c>
      <c r="AF209" t="s">
        <v>91</v>
      </c>
      <c r="AG209" t="s">
        <v>148</v>
      </c>
      <c r="AI209">
        <v>10</v>
      </c>
      <c r="AJ209">
        <v>29</v>
      </c>
    </row>
    <row r="210" spans="1:36" x14ac:dyDescent="0.25">
      <c r="A210" t="s">
        <v>802</v>
      </c>
      <c r="B210">
        <v>208</v>
      </c>
      <c r="C210" t="s">
        <v>45</v>
      </c>
      <c r="D210">
        <v>3</v>
      </c>
      <c r="F210">
        <v>2</v>
      </c>
      <c r="G210" t="s">
        <v>140</v>
      </c>
      <c r="K210" t="s">
        <v>38</v>
      </c>
      <c r="L210">
        <v>2</v>
      </c>
      <c r="M210">
        <v>1</v>
      </c>
      <c r="N210">
        <v>1</v>
      </c>
      <c r="O210" t="s">
        <v>152</v>
      </c>
      <c r="P210" t="s">
        <v>70</v>
      </c>
      <c r="S210" t="s">
        <v>56</v>
      </c>
      <c r="T210">
        <v>2</v>
      </c>
      <c r="V210">
        <v>1</v>
      </c>
      <c r="W210" t="s">
        <v>68</v>
      </c>
      <c r="AA210" t="s">
        <v>43</v>
      </c>
      <c r="AB210">
        <v>1</v>
      </c>
      <c r="AD210">
        <v>2</v>
      </c>
      <c r="AE210" t="s">
        <v>73</v>
      </c>
      <c r="AF210" t="s">
        <v>74</v>
      </c>
      <c r="AG210" t="s">
        <v>100</v>
      </c>
      <c r="AI210">
        <v>9</v>
      </c>
      <c r="AJ210">
        <v>29</v>
      </c>
    </row>
    <row r="211" spans="1:36" x14ac:dyDescent="0.25">
      <c r="A211" t="s">
        <v>803</v>
      </c>
      <c r="B211">
        <v>209</v>
      </c>
      <c r="C211" t="s">
        <v>45</v>
      </c>
      <c r="D211">
        <v>3</v>
      </c>
      <c r="F211">
        <v>1</v>
      </c>
      <c r="G211" t="s">
        <v>86</v>
      </c>
      <c r="K211" t="s">
        <v>227</v>
      </c>
      <c r="L211">
        <v>1</v>
      </c>
      <c r="M211">
        <v>1</v>
      </c>
      <c r="N211">
        <v>1</v>
      </c>
      <c r="O211" t="s">
        <v>228</v>
      </c>
      <c r="S211" t="s">
        <v>56</v>
      </c>
      <c r="T211">
        <v>1</v>
      </c>
      <c r="V211">
        <v>1</v>
      </c>
      <c r="W211" t="s">
        <v>68</v>
      </c>
      <c r="AA211" t="s">
        <v>43</v>
      </c>
      <c r="AB211">
        <v>1</v>
      </c>
      <c r="AD211">
        <v>1</v>
      </c>
      <c r="AE211" t="s">
        <v>73</v>
      </c>
      <c r="AF211" t="s">
        <v>99</v>
      </c>
      <c r="AG211" t="s">
        <v>100</v>
      </c>
      <c r="AH211" t="s">
        <v>101</v>
      </c>
      <c r="AI211">
        <v>5</v>
      </c>
      <c r="AJ211">
        <v>18</v>
      </c>
    </row>
    <row r="212" spans="1:36" x14ac:dyDescent="0.25">
      <c r="A212" t="s">
        <v>804</v>
      </c>
      <c r="B212">
        <v>210</v>
      </c>
      <c r="C212" t="s">
        <v>63</v>
      </c>
      <c r="D212">
        <v>2</v>
      </c>
      <c r="F212">
        <v>1</v>
      </c>
      <c r="G212" t="s">
        <v>72</v>
      </c>
      <c r="H212" t="s">
        <v>95</v>
      </c>
      <c r="K212" t="s">
        <v>38</v>
      </c>
      <c r="L212">
        <v>2</v>
      </c>
      <c r="M212">
        <v>1</v>
      </c>
      <c r="N212">
        <v>3</v>
      </c>
      <c r="O212" t="s">
        <v>67</v>
      </c>
      <c r="P212" t="s">
        <v>70</v>
      </c>
      <c r="Q212" t="s">
        <v>154</v>
      </c>
      <c r="R212" t="s">
        <v>42</v>
      </c>
      <c r="S212" t="s">
        <v>56</v>
      </c>
      <c r="T212">
        <v>2</v>
      </c>
      <c r="V212">
        <v>1</v>
      </c>
      <c r="W212" t="s">
        <v>57</v>
      </c>
      <c r="X212" t="s">
        <v>122</v>
      </c>
      <c r="AA212" t="s">
        <v>43</v>
      </c>
      <c r="AB212">
        <v>1</v>
      </c>
      <c r="AD212">
        <v>1</v>
      </c>
      <c r="AE212" t="s">
        <v>73</v>
      </c>
      <c r="AF212" t="s">
        <v>74</v>
      </c>
      <c r="AG212" t="s">
        <v>100</v>
      </c>
      <c r="AH212" t="s">
        <v>101</v>
      </c>
      <c r="AI212">
        <v>13</v>
      </c>
      <c r="AJ212">
        <v>39</v>
      </c>
    </row>
    <row r="213" spans="1:36" x14ac:dyDescent="0.25">
      <c r="A213" t="s">
        <v>805</v>
      </c>
      <c r="B213">
        <v>211</v>
      </c>
      <c r="C213" t="s">
        <v>56</v>
      </c>
      <c r="D213">
        <v>1</v>
      </c>
      <c r="F213">
        <v>1</v>
      </c>
      <c r="G213" t="s">
        <v>57</v>
      </c>
      <c r="K213" t="s">
        <v>43</v>
      </c>
      <c r="L213">
        <v>1</v>
      </c>
      <c r="N213">
        <v>1</v>
      </c>
      <c r="O213" t="s">
        <v>73</v>
      </c>
      <c r="P213" t="s">
        <v>99</v>
      </c>
      <c r="Q213" t="s">
        <v>100</v>
      </c>
      <c r="R213" t="s">
        <v>101</v>
      </c>
      <c r="S213" t="s">
        <v>63</v>
      </c>
      <c r="T213">
        <v>3</v>
      </c>
      <c r="V213">
        <v>1</v>
      </c>
      <c r="W213" t="s">
        <v>72</v>
      </c>
      <c r="AA213" t="s">
        <v>227</v>
      </c>
      <c r="AB213">
        <v>3</v>
      </c>
      <c r="AC213">
        <v>1</v>
      </c>
      <c r="AD213">
        <v>1</v>
      </c>
      <c r="AE213" t="s">
        <v>228</v>
      </c>
      <c r="AI213">
        <v>7</v>
      </c>
      <c r="AJ213">
        <v>22</v>
      </c>
    </row>
    <row r="214" spans="1:36" x14ac:dyDescent="0.25">
      <c r="A214" t="s">
        <v>806</v>
      </c>
      <c r="B214">
        <v>212</v>
      </c>
      <c r="C214" t="s">
        <v>56</v>
      </c>
      <c r="D214">
        <v>2</v>
      </c>
      <c r="F214">
        <v>2</v>
      </c>
      <c r="G214" t="s">
        <v>68</v>
      </c>
      <c r="K214" t="s">
        <v>43</v>
      </c>
      <c r="L214">
        <v>1</v>
      </c>
      <c r="N214">
        <v>1</v>
      </c>
      <c r="O214" t="s">
        <v>73</v>
      </c>
      <c r="P214" t="s">
        <v>99</v>
      </c>
      <c r="S214" t="s">
        <v>38</v>
      </c>
      <c r="T214">
        <v>3</v>
      </c>
      <c r="U214">
        <v>1</v>
      </c>
      <c r="V214">
        <v>2</v>
      </c>
      <c r="W214" t="s">
        <v>67</v>
      </c>
      <c r="AA214" t="s">
        <v>227</v>
      </c>
      <c r="AB214">
        <v>1</v>
      </c>
      <c r="AC214">
        <v>1</v>
      </c>
      <c r="AD214">
        <v>1</v>
      </c>
      <c r="AE214" t="s">
        <v>228</v>
      </c>
      <c r="AI214">
        <v>6</v>
      </c>
      <c r="AJ214">
        <v>18</v>
      </c>
    </row>
    <row r="215" spans="1:36" x14ac:dyDescent="0.25">
      <c r="A215" t="s">
        <v>807</v>
      </c>
      <c r="B215">
        <v>213</v>
      </c>
      <c r="C215" t="s">
        <v>48</v>
      </c>
      <c r="D215">
        <v>3</v>
      </c>
      <c r="F215">
        <v>2</v>
      </c>
      <c r="G215" t="s">
        <v>89</v>
      </c>
      <c r="H215" t="s">
        <v>84</v>
      </c>
      <c r="I215" t="s">
        <v>127</v>
      </c>
      <c r="K215" t="s">
        <v>33</v>
      </c>
      <c r="L215">
        <v>1</v>
      </c>
      <c r="N215">
        <v>2</v>
      </c>
      <c r="O215" t="s">
        <v>34</v>
      </c>
      <c r="S215" t="s">
        <v>56</v>
      </c>
      <c r="T215">
        <v>3</v>
      </c>
      <c r="V215">
        <v>2</v>
      </c>
      <c r="W215" t="s">
        <v>68</v>
      </c>
      <c r="AA215" t="s">
        <v>45</v>
      </c>
      <c r="AB215">
        <v>3</v>
      </c>
      <c r="AD215">
        <v>1</v>
      </c>
      <c r="AE215" t="s">
        <v>86</v>
      </c>
      <c r="AI215">
        <v>11</v>
      </c>
      <c r="AJ215">
        <v>29</v>
      </c>
    </row>
    <row r="216" spans="1:36" x14ac:dyDescent="0.25">
      <c r="A216" t="s">
        <v>808</v>
      </c>
      <c r="B216">
        <v>214</v>
      </c>
      <c r="C216" t="s">
        <v>56</v>
      </c>
      <c r="D216">
        <v>3</v>
      </c>
      <c r="F216">
        <v>2</v>
      </c>
      <c r="G216" t="s">
        <v>68</v>
      </c>
      <c r="K216" t="s">
        <v>45</v>
      </c>
      <c r="L216">
        <v>2</v>
      </c>
      <c r="N216">
        <v>1</v>
      </c>
      <c r="O216" t="s">
        <v>86</v>
      </c>
      <c r="S216" t="s">
        <v>48</v>
      </c>
      <c r="T216">
        <v>3</v>
      </c>
      <c r="V216">
        <v>2</v>
      </c>
      <c r="W216" t="s">
        <v>89</v>
      </c>
      <c r="AA216" t="s">
        <v>43</v>
      </c>
      <c r="AB216">
        <v>2</v>
      </c>
      <c r="AD216">
        <v>2</v>
      </c>
      <c r="AE216" t="s">
        <v>73</v>
      </c>
      <c r="AF216" t="s">
        <v>74</v>
      </c>
      <c r="AI216">
        <v>10</v>
      </c>
      <c r="AJ216">
        <v>25</v>
      </c>
    </row>
    <row r="217" spans="1:36" x14ac:dyDescent="0.25">
      <c r="A217" t="s">
        <v>809</v>
      </c>
      <c r="B217">
        <v>215</v>
      </c>
      <c r="C217" t="s">
        <v>56</v>
      </c>
      <c r="D217">
        <v>3</v>
      </c>
      <c r="F217">
        <v>2</v>
      </c>
      <c r="G217" t="s">
        <v>57</v>
      </c>
      <c r="H217" t="s">
        <v>122</v>
      </c>
      <c r="K217" t="s">
        <v>45</v>
      </c>
      <c r="L217">
        <v>3</v>
      </c>
      <c r="N217">
        <v>1</v>
      </c>
      <c r="O217" t="s">
        <v>86</v>
      </c>
      <c r="S217" t="s">
        <v>48</v>
      </c>
      <c r="T217">
        <v>2</v>
      </c>
      <c r="V217">
        <v>1</v>
      </c>
      <c r="W217" t="s">
        <v>89</v>
      </c>
      <c r="X217" t="s">
        <v>50</v>
      </c>
      <c r="AA217" t="s">
        <v>63</v>
      </c>
      <c r="AB217">
        <v>3</v>
      </c>
      <c r="AD217">
        <v>1</v>
      </c>
      <c r="AE217" t="s">
        <v>72</v>
      </c>
      <c r="AF217" t="s">
        <v>146</v>
      </c>
      <c r="AG217" t="s">
        <v>147</v>
      </c>
      <c r="AI217">
        <v>12</v>
      </c>
      <c r="AJ217">
        <v>33</v>
      </c>
    </row>
    <row r="218" spans="1:36" x14ac:dyDescent="0.25">
      <c r="A218" t="s">
        <v>810</v>
      </c>
      <c r="B218">
        <v>216</v>
      </c>
      <c r="C218" t="s">
        <v>48</v>
      </c>
      <c r="D218">
        <v>2</v>
      </c>
      <c r="F218">
        <v>1</v>
      </c>
      <c r="G218" t="s">
        <v>89</v>
      </c>
      <c r="K218" t="s">
        <v>38</v>
      </c>
      <c r="L218">
        <v>1</v>
      </c>
      <c r="M218">
        <v>1</v>
      </c>
      <c r="N218">
        <v>2</v>
      </c>
      <c r="O218" t="s">
        <v>67</v>
      </c>
      <c r="P218" t="s">
        <v>70</v>
      </c>
      <c r="S218" t="s">
        <v>56</v>
      </c>
      <c r="T218">
        <v>2</v>
      </c>
      <c r="V218">
        <v>2</v>
      </c>
      <c r="W218" t="s">
        <v>57</v>
      </c>
      <c r="AA218" t="s">
        <v>45</v>
      </c>
      <c r="AB218">
        <v>2</v>
      </c>
      <c r="AD218">
        <v>1</v>
      </c>
      <c r="AE218" t="s">
        <v>86</v>
      </c>
      <c r="AI218">
        <v>6</v>
      </c>
      <c r="AJ218">
        <v>28</v>
      </c>
    </row>
    <row r="219" spans="1:36" x14ac:dyDescent="0.25">
      <c r="A219" t="s">
        <v>811</v>
      </c>
      <c r="B219">
        <v>217</v>
      </c>
      <c r="C219" t="s">
        <v>48</v>
      </c>
      <c r="D219">
        <v>2</v>
      </c>
      <c r="F219">
        <v>2</v>
      </c>
      <c r="G219" t="s">
        <v>89</v>
      </c>
      <c r="K219" t="s">
        <v>227</v>
      </c>
      <c r="L219">
        <v>3</v>
      </c>
      <c r="M219">
        <v>1</v>
      </c>
      <c r="N219">
        <v>1</v>
      </c>
      <c r="O219" t="s">
        <v>228</v>
      </c>
      <c r="S219" t="s">
        <v>56</v>
      </c>
      <c r="T219">
        <v>2</v>
      </c>
      <c r="V219">
        <v>1</v>
      </c>
      <c r="W219" t="s">
        <v>57</v>
      </c>
      <c r="X219" t="s">
        <v>122</v>
      </c>
      <c r="AA219" t="s">
        <v>45</v>
      </c>
      <c r="AB219">
        <v>2</v>
      </c>
      <c r="AD219">
        <v>1</v>
      </c>
      <c r="AE219" t="s">
        <v>86</v>
      </c>
      <c r="AI219">
        <v>7</v>
      </c>
      <c r="AJ219">
        <v>20</v>
      </c>
    </row>
    <row r="220" spans="1:36" x14ac:dyDescent="0.25">
      <c r="A220" t="s">
        <v>812</v>
      </c>
      <c r="B220">
        <v>218</v>
      </c>
      <c r="C220" t="s">
        <v>33</v>
      </c>
      <c r="D220">
        <v>2</v>
      </c>
      <c r="F220">
        <v>3</v>
      </c>
      <c r="G220" t="s">
        <v>34</v>
      </c>
      <c r="K220" t="s">
        <v>43</v>
      </c>
      <c r="L220">
        <v>2</v>
      </c>
      <c r="N220">
        <v>1</v>
      </c>
      <c r="O220" t="s">
        <v>73</v>
      </c>
      <c r="P220" t="s">
        <v>136</v>
      </c>
      <c r="S220" t="s">
        <v>56</v>
      </c>
      <c r="T220">
        <v>2</v>
      </c>
      <c r="V220">
        <v>2</v>
      </c>
      <c r="W220" t="s">
        <v>68</v>
      </c>
      <c r="AA220" t="s">
        <v>45</v>
      </c>
      <c r="AB220">
        <v>2</v>
      </c>
      <c r="AD220">
        <v>1</v>
      </c>
      <c r="AE220" t="s">
        <v>140</v>
      </c>
      <c r="AI220">
        <v>8</v>
      </c>
      <c r="AJ220">
        <v>28</v>
      </c>
    </row>
    <row r="221" spans="1:36" x14ac:dyDescent="0.25">
      <c r="A221" t="s">
        <v>813</v>
      </c>
      <c r="B221">
        <v>219</v>
      </c>
      <c r="C221" t="s">
        <v>56</v>
      </c>
      <c r="D221">
        <v>3</v>
      </c>
      <c r="F221">
        <v>1</v>
      </c>
      <c r="G221" t="s">
        <v>68</v>
      </c>
      <c r="K221" t="s">
        <v>45</v>
      </c>
      <c r="L221">
        <v>3</v>
      </c>
      <c r="N221">
        <v>1</v>
      </c>
      <c r="O221" t="s">
        <v>140</v>
      </c>
      <c r="S221" t="s">
        <v>33</v>
      </c>
      <c r="T221">
        <v>1</v>
      </c>
      <c r="V221">
        <v>3</v>
      </c>
      <c r="W221" t="s">
        <v>34</v>
      </c>
      <c r="AA221" t="s">
        <v>63</v>
      </c>
      <c r="AB221">
        <v>3</v>
      </c>
      <c r="AD221">
        <v>1</v>
      </c>
      <c r="AE221" t="s">
        <v>72</v>
      </c>
      <c r="AF221" t="s">
        <v>146</v>
      </c>
      <c r="AI221">
        <v>9</v>
      </c>
      <c r="AJ221">
        <v>26</v>
      </c>
    </row>
    <row r="222" spans="1:36" x14ac:dyDescent="0.25">
      <c r="A222" t="s">
        <v>814</v>
      </c>
      <c r="B222">
        <v>220</v>
      </c>
      <c r="C222" t="s">
        <v>33</v>
      </c>
      <c r="D222">
        <v>2</v>
      </c>
      <c r="F222">
        <v>3</v>
      </c>
      <c r="G222" t="s">
        <v>34</v>
      </c>
      <c r="K222" t="s">
        <v>38</v>
      </c>
      <c r="L222">
        <v>2</v>
      </c>
      <c r="M222">
        <v>1</v>
      </c>
      <c r="N222">
        <v>2</v>
      </c>
      <c r="O222" t="s">
        <v>39</v>
      </c>
      <c r="P222" t="s">
        <v>96</v>
      </c>
      <c r="S222" t="s">
        <v>56</v>
      </c>
      <c r="T222">
        <v>3</v>
      </c>
      <c r="V222">
        <v>2</v>
      </c>
      <c r="W222" t="s">
        <v>68</v>
      </c>
      <c r="AA222" t="s">
        <v>45</v>
      </c>
      <c r="AB222">
        <v>3</v>
      </c>
      <c r="AD222">
        <v>1</v>
      </c>
      <c r="AE222" t="s">
        <v>140</v>
      </c>
      <c r="AI222">
        <v>11</v>
      </c>
      <c r="AJ222">
        <v>27</v>
      </c>
    </row>
    <row r="223" spans="1:36" x14ac:dyDescent="0.25">
      <c r="A223" t="s">
        <v>815</v>
      </c>
      <c r="B223">
        <v>221</v>
      </c>
      <c r="C223" t="s">
        <v>33</v>
      </c>
      <c r="D223">
        <v>1</v>
      </c>
      <c r="F223">
        <v>2</v>
      </c>
      <c r="G223" t="s">
        <v>34</v>
      </c>
      <c r="H223" t="s">
        <v>66</v>
      </c>
      <c r="K223" t="s">
        <v>227</v>
      </c>
      <c r="L223">
        <v>1</v>
      </c>
      <c r="M223">
        <v>1</v>
      </c>
      <c r="N223">
        <v>3</v>
      </c>
      <c r="O223" t="s">
        <v>228</v>
      </c>
      <c r="S223" t="s">
        <v>56</v>
      </c>
      <c r="T223">
        <v>2</v>
      </c>
      <c r="V223">
        <v>1</v>
      </c>
      <c r="W223" t="s">
        <v>57</v>
      </c>
      <c r="X223" t="s">
        <v>121</v>
      </c>
      <c r="Y223" t="s">
        <v>85</v>
      </c>
      <c r="AA223" t="s">
        <v>45</v>
      </c>
      <c r="AB223">
        <v>2</v>
      </c>
      <c r="AD223">
        <v>1</v>
      </c>
      <c r="AE223" t="s">
        <v>140</v>
      </c>
      <c r="AI223">
        <v>8</v>
      </c>
      <c r="AJ223">
        <v>19</v>
      </c>
    </row>
    <row r="224" spans="1:36" x14ac:dyDescent="0.25">
      <c r="A224" t="s">
        <v>816</v>
      </c>
      <c r="B224">
        <v>222</v>
      </c>
      <c r="C224" t="s">
        <v>43</v>
      </c>
      <c r="D224">
        <v>1</v>
      </c>
      <c r="F224">
        <v>1</v>
      </c>
      <c r="G224" t="s">
        <v>73</v>
      </c>
      <c r="H224" t="s">
        <v>136</v>
      </c>
      <c r="K224" t="s">
        <v>63</v>
      </c>
      <c r="L224">
        <v>3</v>
      </c>
      <c r="N224">
        <v>1</v>
      </c>
      <c r="O224" t="s">
        <v>72</v>
      </c>
      <c r="P224" t="s">
        <v>146</v>
      </c>
      <c r="Q224" t="s">
        <v>104</v>
      </c>
      <c r="S224" t="s">
        <v>56</v>
      </c>
      <c r="T224">
        <v>2</v>
      </c>
      <c r="V224">
        <v>1</v>
      </c>
      <c r="W224" t="s">
        <v>68</v>
      </c>
      <c r="AA224" t="s">
        <v>45</v>
      </c>
      <c r="AB224">
        <v>3</v>
      </c>
      <c r="AD224">
        <v>1</v>
      </c>
      <c r="AE224" t="s">
        <v>140</v>
      </c>
      <c r="AI224">
        <v>8</v>
      </c>
      <c r="AJ224">
        <v>28</v>
      </c>
    </row>
    <row r="225" spans="1:36" x14ac:dyDescent="0.25">
      <c r="A225" t="s">
        <v>817</v>
      </c>
      <c r="B225">
        <v>223</v>
      </c>
      <c r="C225" t="s">
        <v>43</v>
      </c>
      <c r="D225">
        <v>2</v>
      </c>
      <c r="F225">
        <v>2</v>
      </c>
      <c r="G225" t="s">
        <v>73</v>
      </c>
      <c r="H225" t="s">
        <v>99</v>
      </c>
      <c r="I225" t="s">
        <v>100</v>
      </c>
      <c r="J225" t="s">
        <v>138</v>
      </c>
      <c r="K225" t="s">
        <v>38</v>
      </c>
      <c r="L225">
        <v>1</v>
      </c>
      <c r="M225">
        <v>1</v>
      </c>
      <c r="N225">
        <v>2</v>
      </c>
      <c r="O225" t="s">
        <v>67</v>
      </c>
      <c r="S225" t="s">
        <v>56</v>
      </c>
      <c r="T225">
        <v>2</v>
      </c>
      <c r="V225">
        <v>3</v>
      </c>
      <c r="W225" t="s">
        <v>68</v>
      </c>
      <c r="AA225" t="s">
        <v>45</v>
      </c>
      <c r="AB225">
        <v>2</v>
      </c>
      <c r="AD225">
        <v>1</v>
      </c>
      <c r="AE225" t="s">
        <v>140</v>
      </c>
      <c r="AI225">
        <v>10</v>
      </c>
      <c r="AJ225">
        <v>35</v>
      </c>
    </row>
    <row r="226" spans="1:36" x14ac:dyDescent="0.25">
      <c r="A226" t="s">
        <v>818</v>
      </c>
      <c r="B226">
        <v>224</v>
      </c>
      <c r="C226" t="s">
        <v>43</v>
      </c>
      <c r="D226">
        <v>1</v>
      </c>
      <c r="F226">
        <v>1</v>
      </c>
      <c r="G226" t="s">
        <v>73</v>
      </c>
      <c r="H226" t="s">
        <v>99</v>
      </c>
      <c r="I226" t="s">
        <v>100</v>
      </c>
      <c r="K226" t="s">
        <v>227</v>
      </c>
      <c r="L226">
        <v>1</v>
      </c>
      <c r="M226">
        <v>1</v>
      </c>
      <c r="N226">
        <v>3</v>
      </c>
      <c r="O226" t="s">
        <v>228</v>
      </c>
      <c r="P226" t="s">
        <v>231</v>
      </c>
      <c r="S226" t="s">
        <v>56</v>
      </c>
      <c r="T226">
        <v>2</v>
      </c>
      <c r="V226">
        <v>1</v>
      </c>
      <c r="W226" t="s">
        <v>57</v>
      </c>
      <c r="X226" t="s">
        <v>122</v>
      </c>
      <c r="Y226" t="s">
        <v>85</v>
      </c>
      <c r="AA226" t="s">
        <v>45</v>
      </c>
      <c r="AB226">
        <v>2</v>
      </c>
      <c r="AD226">
        <v>1</v>
      </c>
      <c r="AE226" t="s">
        <v>140</v>
      </c>
      <c r="AI226">
        <v>9</v>
      </c>
      <c r="AJ226">
        <v>27</v>
      </c>
    </row>
    <row r="227" spans="1:36" x14ac:dyDescent="0.25">
      <c r="A227" t="s">
        <v>819</v>
      </c>
      <c r="B227">
        <v>225</v>
      </c>
      <c r="C227" t="s">
        <v>63</v>
      </c>
      <c r="D227">
        <v>3</v>
      </c>
      <c r="F227">
        <v>1</v>
      </c>
      <c r="G227" t="s">
        <v>72</v>
      </c>
      <c r="H227" t="s">
        <v>146</v>
      </c>
      <c r="K227" t="s">
        <v>38</v>
      </c>
      <c r="L227">
        <v>1</v>
      </c>
      <c r="M227">
        <v>1</v>
      </c>
      <c r="N227">
        <v>2</v>
      </c>
      <c r="O227" t="s">
        <v>67</v>
      </c>
      <c r="S227" t="s">
        <v>56</v>
      </c>
      <c r="T227">
        <v>3</v>
      </c>
      <c r="V227">
        <v>2</v>
      </c>
      <c r="W227" t="s">
        <v>57</v>
      </c>
      <c r="X227" t="s">
        <v>122</v>
      </c>
      <c r="AA227" t="s">
        <v>45</v>
      </c>
      <c r="AB227">
        <v>2</v>
      </c>
      <c r="AD227">
        <v>1</v>
      </c>
      <c r="AE227" t="s">
        <v>86</v>
      </c>
      <c r="AI227">
        <v>9</v>
      </c>
      <c r="AJ227">
        <v>27</v>
      </c>
    </row>
    <row r="228" spans="1:36" x14ac:dyDescent="0.25">
      <c r="A228" t="s">
        <v>820</v>
      </c>
      <c r="B228">
        <v>226</v>
      </c>
      <c r="C228" t="s">
        <v>56</v>
      </c>
      <c r="D228">
        <v>2</v>
      </c>
      <c r="F228">
        <v>1</v>
      </c>
      <c r="G228" t="s">
        <v>57</v>
      </c>
      <c r="H228" t="s">
        <v>122</v>
      </c>
      <c r="K228" t="s">
        <v>45</v>
      </c>
      <c r="L228">
        <v>3</v>
      </c>
      <c r="N228">
        <v>1</v>
      </c>
      <c r="O228" t="s">
        <v>47</v>
      </c>
      <c r="S228" t="s">
        <v>63</v>
      </c>
      <c r="T228">
        <v>2</v>
      </c>
      <c r="V228">
        <v>1</v>
      </c>
      <c r="W228" t="s">
        <v>72</v>
      </c>
      <c r="X228" t="s">
        <v>91</v>
      </c>
      <c r="AA228" t="s">
        <v>227</v>
      </c>
      <c r="AB228">
        <v>2</v>
      </c>
      <c r="AC228">
        <v>1</v>
      </c>
      <c r="AD228">
        <v>3</v>
      </c>
      <c r="AE228" t="s">
        <v>228</v>
      </c>
      <c r="AI228">
        <v>9</v>
      </c>
      <c r="AJ228">
        <v>26</v>
      </c>
    </row>
    <row r="229" spans="1:36" x14ac:dyDescent="0.25">
      <c r="A229" t="s">
        <v>821</v>
      </c>
      <c r="B229">
        <v>227</v>
      </c>
      <c r="C229" t="s">
        <v>38</v>
      </c>
      <c r="D229">
        <v>1</v>
      </c>
      <c r="E229">
        <v>1</v>
      </c>
      <c r="F229">
        <v>2</v>
      </c>
      <c r="G229" t="s">
        <v>67</v>
      </c>
      <c r="H229" t="s">
        <v>40</v>
      </c>
      <c r="K229" t="s">
        <v>227</v>
      </c>
      <c r="L229">
        <v>1</v>
      </c>
      <c r="M229">
        <v>1</v>
      </c>
      <c r="N229">
        <v>3</v>
      </c>
      <c r="O229" t="s">
        <v>228</v>
      </c>
      <c r="S229" t="s">
        <v>56</v>
      </c>
      <c r="T229">
        <v>2</v>
      </c>
      <c r="V229">
        <v>1</v>
      </c>
      <c r="W229" t="s">
        <v>57</v>
      </c>
      <c r="X229" t="s">
        <v>122</v>
      </c>
      <c r="AA229" t="s">
        <v>45</v>
      </c>
      <c r="AB229">
        <v>2</v>
      </c>
      <c r="AD229">
        <v>1</v>
      </c>
      <c r="AE229" t="s">
        <v>140</v>
      </c>
      <c r="AI229">
        <v>7</v>
      </c>
      <c r="AJ229">
        <v>24</v>
      </c>
    </row>
    <row r="230" spans="1:36" x14ac:dyDescent="0.25">
      <c r="A230" t="s">
        <v>822</v>
      </c>
      <c r="B230">
        <v>228</v>
      </c>
      <c r="C230" t="s">
        <v>48</v>
      </c>
      <c r="D230">
        <v>3</v>
      </c>
      <c r="F230">
        <v>1</v>
      </c>
      <c r="G230" t="s">
        <v>49</v>
      </c>
      <c r="H230" t="s">
        <v>71</v>
      </c>
      <c r="I230" t="s">
        <v>127</v>
      </c>
      <c r="K230" t="s">
        <v>33</v>
      </c>
      <c r="L230">
        <v>1</v>
      </c>
      <c r="N230">
        <v>2</v>
      </c>
      <c r="O230" t="s">
        <v>46</v>
      </c>
      <c r="S230" t="s">
        <v>56</v>
      </c>
      <c r="T230">
        <v>1</v>
      </c>
      <c r="V230">
        <v>1</v>
      </c>
      <c r="W230" t="s">
        <v>68</v>
      </c>
      <c r="X230" t="s">
        <v>122</v>
      </c>
      <c r="AA230" t="s">
        <v>63</v>
      </c>
      <c r="AB230">
        <v>3</v>
      </c>
      <c r="AD230">
        <v>1</v>
      </c>
      <c r="AE230" t="s">
        <v>72</v>
      </c>
      <c r="AI230">
        <v>8</v>
      </c>
      <c r="AJ230">
        <v>27</v>
      </c>
    </row>
    <row r="231" spans="1:36" x14ac:dyDescent="0.25">
      <c r="A231" t="s">
        <v>823</v>
      </c>
      <c r="B231">
        <v>229</v>
      </c>
      <c r="C231" t="s">
        <v>48</v>
      </c>
      <c r="D231">
        <v>3</v>
      </c>
      <c r="F231">
        <v>1</v>
      </c>
      <c r="G231" t="s">
        <v>49</v>
      </c>
      <c r="K231" t="s">
        <v>43</v>
      </c>
      <c r="L231">
        <v>2</v>
      </c>
      <c r="N231">
        <v>1</v>
      </c>
      <c r="O231" t="s">
        <v>73</v>
      </c>
      <c r="P231" t="s">
        <v>74</v>
      </c>
      <c r="Q231" t="s">
        <v>75</v>
      </c>
      <c r="R231" t="s">
        <v>101</v>
      </c>
      <c r="S231" t="s">
        <v>56</v>
      </c>
      <c r="T231">
        <v>3</v>
      </c>
      <c r="V231">
        <v>1</v>
      </c>
      <c r="W231" t="s">
        <v>68</v>
      </c>
      <c r="AA231" t="s">
        <v>63</v>
      </c>
      <c r="AB231">
        <v>3</v>
      </c>
      <c r="AD231">
        <v>1</v>
      </c>
      <c r="AE231" t="s">
        <v>72</v>
      </c>
      <c r="AF231" t="s">
        <v>91</v>
      </c>
      <c r="AI231">
        <v>11</v>
      </c>
      <c r="AJ231">
        <v>28</v>
      </c>
    </row>
    <row r="232" spans="1:36" x14ac:dyDescent="0.25">
      <c r="A232" t="s">
        <v>824</v>
      </c>
      <c r="B232">
        <v>230</v>
      </c>
      <c r="C232" t="s">
        <v>48</v>
      </c>
      <c r="D232">
        <v>3</v>
      </c>
      <c r="F232">
        <v>1</v>
      </c>
      <c r="G232" t="s">
        <v>49</v>
      </c>
      <c r="K232" t="s">
        <v>45</v>
      </c>
      <c r="L232">
        <v>3</v>
      </c>
      <c r="N232">
        <v>1</v>
      </c>
      <c r="O232" t="s">
        <v>47</v>
      </c>
      <c r="S232" t="s">
        <v>56</v>
      </c>
      <c r="T232">
        <v>1</v>
      </c>
      <c r="V232">
        <v>1</v>
      </c>
      <c r="W232" t="s">
        <v>57</v>
      </c>
      <c r="AA232" t="s">
        <v>63</v>
      </c>
      <c r="AB232">
        <v>2</v>
      </c>
      <c r="AD232">
        <v>1</v>
      </c>
      <c r="AE232" t="s">
        <v>72</v>
      </c>
      <c r="AF232" t="s">
        <v>91</v>
      </c>
      <c r="AG232" t="s">
        <v>147</v>
      </c>
      <c r="AI232">
        <v>7</v>
      </c>
      <c r="AJ232">
        <v>25</v>
      </c>
    </row>
    <row r="233" spans="1:36" x14ac:dyDescent="0.25">
      <c r="A233" t="s">
        <v>825</v>
      </c>
      <c r="B233">
        <v>231</v>
      </c>
      <c r="C233" t="s">
        <v>48</v>
      </c>
      <c r="D233">
        <v>3</v>
      </c>
      <c r="F233">
        <v>2</v>
      </c>
      <c r="G233" t="s">
        <v>49</v>
      </c>
      <c r="H233" t="s">
        <v>84</v>
      </c>
      <c r="I233" t="s">
        <v>90</v>
      </c>
      <c r="J233" t="s">
        <v>128</v>
      </c>
      <c r="K233" t="s">
        <v>38</v>
      </c>
      <c r="L233">
        <v>1</v>
      </c>
      <c r="M233">
        <v>1</v>
      </c>
      <c r="N233">
        <v>1</v>
      </c>
      <c r="O233" t="s">
        <v>152</v>
      </c>
      <c r="S233" t="s">
        <v>56</v>
      </c>
      <c r="T233">
        <v>3</v>
      </c>
      <c r="V233">
        <v>1</v>
      </c>
      <c r="W233" t="s">
        <v>57</v>
      </c>
      <c r="AA233" t="s">
        <v>63</v>
      </c>
      <c r="AB233">
        <v>3</v>
      </c>
      <c r="AD233">
        <v>1</v>
      </c>
      <c r="AE233" t="s">
        <v>72</v>
      </c>
      <c r="AF233" t="s">
        <v>95</v>
      </c>
      <c r="AG233" t="s">
        <v>147</v>
      </c>
      <c r="AI233">
        <v>12</v>
      </c>
      <c r="AJ233">
        <v>33</v>
      </c>
    </row>
    <row r="234" spans="1:36" x14ac:dyDescent="0.25">
      <c r="A234" t="s">
        <v>826</v>
      </c>
      <c r="B234">
        <v>232</v>
      </c>
      <c r="C234" t="s">
        <v>56</v>
      </c>
      <c r="D234">
        <v>3</v>
      </c>
      <c r="F234">
        <v>1</v>
      </c>
      <c r="G234" t="s">
        <v>57</v>
      </c>
      <c r="K234" t="s">
        <v>63</v>
      </c>
      <c r="L234">
        <v>3</v>
      </c>
      <c r="N234">
        <v>1</v>
      </c>
      <c r="O234" t="s">
        <v>72</v>
      </c>
      <c r="P234" t="s">
        <v>95</v>
      </c>
      <c r="S234" t="s">
        <v>48</v>
      </c>
      <c r="T234">
        <v>3</v>
      </c>
      <c r="V234">
        <v>3</v>
      </c>
      <c r="W234" t="s">
        <v>49</v>
      </c>
      <c r="AA234" t="s">
        <v>227</v>
      </c>
      <c r="AB234">
        <v>1</v>
      </c>
      <c r="AC234">
        <v>1</v>
      </c>
      <c r="AD234">
        <v>1</v>
      </c>
      <c r="AE234" t="s">
        <v>228</v>
      </c>
      <c r="AI234">
        <v>9</v>
      </c>
      <c r="AJ234">
        <v>28</v>
      </c>
    </row>
    <row r="235" spans="1:36" x14ac:dyDescent="0.25">
      <c r="A235" t="s">
        <v>827</v>
      </c>
      <c r="B235">
        <v>233</v>
      </c>
      <c r="C235" t="s">
        <v>33</v>
      </c>
      <c r="D235">
        <v>1</v>
      </c>
      <c r="F235">
        <v>2</v>
      </c>
      <c r="G235" t="s">
        <v>34</v>
      </c>
      <c r="K235" t="s">
        <v>43</v>
      </c>
      <c r="L235">
        <v>1</v>
      </c>
      <c r="N235">
        <v>1</v>
      </c>
      <c r="O235" t="s">
        <v>73</v>
      </c>
      <c r="P235" t="s">
        <v>99</v>
      </c>
      <c r="Q235" t="s">
        <v>75</v>
      </c>
      <c r="R235" t="s">
        <v>101</v>
      </c>
      <c r="S235" t="s">
        <v>56</v>
      </c>
      <c r="T235">
        <v>1</v>
      </c>
      <c r="V235">
        <v>1</v>
      </c>
      <c r="W235" t="s">
        <v>68</v>
      </c>
      <c r="AA235" t="s">
        <v>63</v>
      </c>
      <c r="AB235">
        <v>2</v>
      </c>
      <c r="AD235">
        <v>1</v>
      </c>
      <c r="AE235" t="s">
        <v>72</v>
      </c>
      <c r="AF235" t="s">
        <v>91</v>
      </c>
      <c r="AI235">
        <v>6</v>
      </c>
      <c r="AJ235">
        <v>21</v>
      </c>
    </row>
    <row r="236" spans="1:36" x14ac:dyDescent="0.25">
      <c r="A236" t="s">
        <v>828</v>
      </c>
      <c r="B236">
        <v>234</v>
      </c>
      <c r="C236" t="s">
        <v>33</v>
      </c>
      <c r="D236">
        <v>2</v>
      </c>
      <c r="F236">
        <v>3</v>
      </c>
      <c r="G236" t="s">
        <v>46</v>
      </c>
      <c r="K236" t="s">
        <v>45</v>
      </c>
      <c r="L236">
        <v>3</v>
      </c>
      <c r="N236">
        <v>1</v>
      </c>
      <c r="O236" t="s">
        <v>140</v>
      </c>
      <c r="S236" t="s">
        <v>56</v>
      </c>
      <c r="T236">
        <v>1</v>
      </c>
      <c r="V236">
        <v>1</v>
      </c>
      <c r="W236" t="s">
        <v>68</v>
      </c>
      <c r="AA236" t="s">
        <v>63</v>
      </c>
      <c r="AB236">
        <v>3</v>
      </c>
      <c r="AD236">
        <v>1</v>
      </c>
      <c r="AE236" t="s">
        <v>72</v>
      </c>
      <c r="AF236" t="s">
        <v>146</v>
      </c>
      <c r="AI236">
        <v>8</v>
      </c>
      <c r="AJ236">
        <v>22</v>
      </c>
    </row>
    <row r="237" spans="1:36" x14ac:dyDescent="0.25">
      <c r="A237" t="s">
        <v>829</v>
      </c>
      <c r="B237">
        <v>235</v>
      </c>
      <c r="C237" t="s">
        <v>33</v>
      </c>
      <c r="D237">
        <v>2</v>
      </c>
      <c r="F237">
        <v>3</v>
      </c>
      <c r="G237" t="s">
        <v>34</v>
      </c>
      <c r="H237" t="s">
        <v>35</v>
      </c>
      <c r="K237" t="s">
        <v>38</v>
      </c>
      <c r="L237">
        <v>1</v>
      </c>
      <c r="M237">
        <v>1</v>
      </c>
      <c r="N237">
        <v>1</v>
      </c>
      <c r="O237" t="s">
        <v>152</v>
      </c>
      <c r="P237" t="s">
        <v>70</v>
      </c>
      <c r="S237" t="s">
        <v>56</v>
      </c>
      <c r="T237">
        <v>1</v>
      </c>
      <c r="V237">
        <v>1</v>
      </c>
      <c r="W237" t="s">
        <v>68</v>
      </c>
      <c r="AA237" t="s">
        <v>63</v>
      </c>
      <c r="AB237">
        <v>3</v>
      </c>
      <c r="AD237">
        <v>1</v>
      </c>
      <c r="AE237" t="s">
        <v>72</v>
      </c>
      <c r="AF237" t="s">
        <v>91</v>
      </c>
      <c r="AI237">
        <v>8</v>
      </c>
      <c r="AJ237">
        <v>23</v>
      </c>
    </row>
    <row r="238" spans="1:36" x14ac:dyDescent="0.25">
      <c r="A238" t="s">
        <v>830</v>
      </c>
      <c r="B238">
        <v>236</v>
      </c>
      <c r="C238" t="s">
        <v>33</v>
      </c>
      <c r="D238">
        <v>2</v>
      </c>
      <c r="F238">
        <v>3</v>
      </c>
      <c r="G238" t="s">
        <v>46</v>
      </c>
      <c r="H238" t="s">
        <v>35</v>
      </c>
      <c r="I238" t="s">
        <v>132</v>
      </c>
      <c r="J238" t="s">
        <v>37</v>
      </c>
      <c r="K238" t="s">
        <v>227</v>
      </c>
      <c r="L238">
        <v>2</v>
      </c>
      <c r="M238">
        <v>1</v>
      </c>
      <c r="N238">
        <v>1</v>
      </c>
      <c r="O238" t="s">
        <v>228</v>
      </c>
      <c r="S238" t="s">
        <v>56</v>
      </c>
      <c r="T238">
        <v>1</v>
      </c>
      <c r="V238">
        <v>1</v>
      </c>
      <c r="W238" t="s">
        <v>57</v>
      </c>
      <c r="AA238" t="s">
        <v>63</v>
      </c>
      <c r="AB238">
        <v>3</v>
      </c>
      <c r="AD238">
        <v>2</v>
      </c>
      <c r="AE238" t="s">
        <v>72</v>
      </c>
      <c r="AF238" t="s">
        <v>91</v>
      </c>
      <c r="AI238">
        <v>11</v>
      </c>
      <c r="AJ238">
        <v>35</v>
      </c>
    </row>
    <row r="239" spans="1:36" x14ac:dyDescent="0.25">
      <c r="A239" t="s">
        <v>831</v>
      </c>
      <c r="B239">
        <v>237</v>
      </c>
      <c r="C239" t="s">
        <v>56</v>
      </c>
      <c r="D239">
        <v>1</v>
      </c>
      <c r="F239">
        <v>1</v>
      </c>
      <c r="G239" t="s">
        <v>68</v>
      </c>
      <c r="H239" t="s">
        <v>121</v>
      </c>
      <c r="K239" t="s">
        <v>63</v>
      </c>
      <c r="L239">
        <v>3</v>
      </c>
      <c r="N239">
        <v>3</v>
      </c>
      <c r="O239" t="s">
        <v>72</v>
      </c>
      <c r="P239" t="s">
        <v>146</v>
      </c>
      <c r="Q239" t="s">
        <v>148</v>
      </c>
      <c r="R239" t="s">
        <v>149</v>
      </c>
      <c r="S239" t="s">
        <v>43</v>
      </c>
      <c r="T239">
        <v>2</v>
      </c>
      <c r="V239">
        <v>2</v>
      </c>
      <c r="W239" t="s">
        <v>73</v>
      </c>
      <c r="X239" t="s">
        <v>99</v>
      </c>
      <c r="Y239" t="s">
        <v>100</v>
      </c>
      <c r="Z239" t="s">
        <v>139</v>
      </c>
      <c r="AA239" t="s">
        <v>45</v>
      </c>
      <c r="AB239">
        <v>3</v>
      </c>
      <c r="AD239">
        <v>1</v>
      </c>
      <c r="AE239" t="s">
        <v>47</v>
      </c>
      <c r="AF239" t="s">
        <v>141</v>
      </c>
      <c r="AI239">
        <v>16</v>
      </c>
      <c r="AJ239">
        <v>44</v>
      </c>
    </row>
    <row r="240" spans="1:36" x14ac:dyDescent="0.25">
      <c r="A240" t="s">
        <v>832</v>
      </c>
      <c r="B240">
        <v>238</v>
      </c>
      <c r="C240" t="s">
        <v>56</v>
      </c>
      <c r="D240">
        <v>1</v>
      </c>
      <c r="F240">
        <v>1</v>
      </c>
      <c r="G240" t="s">
        <v>68</v>
      </c>
      <c r="K240" t="s">
        <v>63</v>
      </c>
      <c r="L240">
        <v>3</v>
      </c>
      <c r="N240">
        <v>3</v>
      </c>
      <c r="O240" t="s">
        <v>72</v>
      </c>
      <c r="P240" t="s">
        <v>146</v>
      </c>
      <c r="Q240" t="s">
        <v>148</v>
      </c>
      <c r="R240" t="s">
        <v>151</v>
      </c>
      <c r="S240" t="s">
        <v>43</v>
      </c>
      <c r="T240">
        <v>3</v>
      </c>
      <c r="V240">
        <v>3</v>
      </c>
      <c r="W240" t="s">
        <v>73</v>
      </c>
      <c r="X240" t="s">
        <v>74</v>
      </c>
      <c r="Y240" t="s">
        <v>100</v>
      </c>
      <c r="Z240" t="s">
        <v>139</v>
      </c>
      <c r="AA240" t="s">
        <v>38</v>
      </c>
      <c r="AB240">
        <v>2</v>
      </c>
      <c r="AC240">
        <v>2</v>
      </c>
      <c r="AD240">
        <v>2</v>
      </c>
      <c r="AE240" t="s">
        <v>152</v>
      </c>
      <c r="AF240" t="s">
        <v>96</v>
      </c>
      <c r="AG240" t="s">
        <v>153</v>
      </c>
      <c r="AH240" t="s">
        <v>42</v>
      </c>
      <c r="AI240">
        <v>20</v>
      </c>
      <c r="AJ240">
        <v>59</v>
      </c>
    </row>
    <row r="241" spans="1:36" x14ac:dyDescent="0.25">
      <c r="A241" t="s">
        <v>833</v>
      </c>
      <c r="B241">
        <v>239</v>
      </c>
      <c r="C241" t="s">
        <v>43</v>
      </c>
      <c r="D241">
        <v>2</v>
      </c>
      <c r="F241">
        <v>1</v>
      </c>
      <c r="G241" t="s">
        <v>73</v>
      </c>
      <c r="H241" t="s">
        <v>74</v>
      </c>
      <c r="I241" t="s">
        <v>75</v>
      </c>
      <c r="J241" t="s">
        <v>101</v>
      </c>
      <c r="K241" t="s">
        <v>227</v>
      </c>
      <c r="L241">
        <v>2</v>
      </c>
      <c r="M241">
        <v>1</v>
      </c>
      <c r="N241">
        <v>1</v>
      </c>
      <c r="O241" t="s">
        <v>228</v>
      </c>
      <c r="P241" t="s">
        <v>233</v>
      </c>
      <c r="Q241" t="s">
        <v>236</v>
      </c>
      <c r="R241" t="s">
        <v>239</v>
      </c>
      <c r="S241" t="s">
        <v>56</v>
      </c>
      <c r="T241">
        <v>1</v>
      </c>
      <c r="V241">
        <v>1</v>
      </c>
      <c r="W241" t="s">
        <v>68</v>
      </c>
      <c r="AA241" t="s">
        <v>63</v>
      </c>
      <c r="AB241">
        <v>1</v>
      </c>
      <c r="AD241">
        <v>2</v>
      </c>
      <c r="AE241" t="s">
        <v>72</v>
      </c>
      <c r="AF241" t="s">
        <v>95</v>
      </c>
      <c r="AG241" t="s">
        <v>147</v>
      </c>
      <c r="AH241" t="s">
        <v>151</v>
      </c>
      <c r="AI241">
        <v>12</v>
      </c>
      <c r="AJ241">
        <v>37</v>
      </c>
    </row>
    <row r="242" spans="1:36" x14ac:dyDescent="0.25">
      <c r="A242" t="s">
        <v>834</v>
      </c>
      <c r="B242">
        <v>240</v>
      </c>
      <c r="C242" t="s">
        <v>45</v>
      </c>
      <c r="D242">
        <v>3</v>
      </c>
      <c r="F242">
        <v>1</v>
      </c>
      <c r="G242" t="s">
        <v>86</v>
      </c>
      <c r="K242" t="s">
        <v>38</v>
      </c>
      <c r="L242">
        <v>1</v>
      </c>
      <c r="M242">
        <v>2</v>
      </c>
      <c r="N242">
        <v>1</v>
      </c>
      <c r="O242" t="s">
        <v>152</v>
      </c>
      <c r="S242" t="s">
        <v>56</v>
      </c>
      <c r="T242">
        <v>1</v>
      </c>
      <c r="V242">
        <v>1</v>
      </c>
      <c r="W242" t="s">
        <v>68</v>
      </c>
      <c r="AA242" t="s">
        <v>63</v>
      </c>
      <c r="AB242">
        <v>3</v>
      </c>
      <c r="AD242">
        <v>1</v>
      </c>
      <c r="AE242" t="s">
        <v>72</v>
      </c>
      <c r="AI242">
        <v>5</v>
      </c>
      <c r="AJ242">
        <v>19</v>
      </c>
    </row>
    <row r="243" spans="1:36" x14ac:dyDescent="0.25">
      <c r="A243" s="39" t="s">
        <v>835</v>
      </c>
      <c r="B243">
        <v>241</v>
      </c>
      <c r="C243" t="s">
        <v>56</v>
      </c>
      <c r="D243">
        <v>1</v>
      </c>
      <c r="F243">
        <v>1</v>
      </c>
      <c r="G243" t="s">
        <v>57</v>
      </c>
      <c r="K243" t="s">
        <v>63</v>
      </c>
      <c r="L243">
        <v>3</v>
      </c>
      <c r="N243">
        <v>1</v>
      </c>
      <c r="O243" t="s">
        <v>72</v>
      </c>
      <c r="P243" t="s">
        <v>91</v>
      </c>
      <c r="Q243" t="s">
        <v>147</v>
      </c>
      <c r="R243" t="s">
        <v>150</v>
      </c>
      <c r="S243" t="s">
        <v>45</v>
      </c>
      <c r="T243">
        <v>3</v>
      </c>
      <c r="V243">
        <v>2</v>
      </c>
      <c r="W243" t="s">
        <v>86</v>
      </c>
      <c r="X243" t="s">
        <v>76</v>
      </c>
      <c r="Y243" t="s">
        <v>93</v>
      </c>
      <c r="AA243" t="s">
        <v>227</v>
      </c>
      <c r="AB243">
        <v>3</v>
      </c>
      <c r="AC243">
        <v>1</v>
      </c>
      <c r="AD243">
        <v>1</v>
      </c>
      <c r="AE243" t="s">
        <v>228</v>
      </c>
      <c r="AF243" t="s">
        <v>231</v>
      </c>
      <c r="AI243">
        <v>13</v>
      </c>
      <c r="AJ243">
        <v>32</v>
      </c>
    </row>
    <row r="244" spans="1:36" x14ac:dyDescent="0.25">
      <c r="A244" t="s">
        <v>836</v>
      </c>
      <c r="B244">
        <v>242</v>
      </c>
      <c r="C244" t="s">
        <v>56</v>
      </c>
      <c r="D244">
        <v>1</v>
      </c>
      <c r="F244">
        <v>1</v>
      </c>
      <c r="G244" t="s">
        <v>57</v>
      </c>
      <c r="H244" t="s">
        <v>122</v>
      </c>
      <c r="K244" t="s">
        <v>63</v>
      </c>
      <c r="L244">
        <v>1</v>
      </c>
      <c r="N244">
        <v>3</v>
      </c>
      <c r="O244" t="s">
        <v>72</v>
      </c>
      <c r="P244" t="s">
        <v>95</v>
      </c>
      <c r="S244" t="s">
        <v>38</v>
      </c>
      <c r="T244">
        <v>2</v>
      </c>
      <c r="U244">
        <v>1</v>
      </c>
      <c r="V244">
        <v>2</v>
      </c>
      <c r="W244" t="s">
        <v>152</v>
      </c>
      <c r="X244" t="s">
        <v>40</v>
      </c>
      <c r="AA244" t="s">
        <v>227</v>
      </c>
      <c r="AB244">
        <v>2</v>
      </c>
      <c r="AC244">
        <v>1</v>
      </c>
      <c r="AD244">
        <v>3</v>
      </c>
      <c r="AE244" t="s">
        <v>228</v>
      </c>
      <c r="AI244">
        <v>11</v>
      </c>
      <c r="AJ244">
        <v>33</v>
      </c>
    </row>
    <row r="245" spans="1:36" x14ac:dyDescent="0.25">
      <c r="A245" t="s">
        <v>837</v>
      </c>
      <c r="B245">
        <v>243</v>
      </c>
      <c r="C245" t="s">
        <v>56</v>
      </c>
      <c r="D245">
        <v>1</v>
      </c>
      <c r="F245">
        <v>1</v>
      </c>
      <c r="G245" t="s">
        <v>68</v>
      </c>
      <c r="K245" t="s">
        <v>38</v>
      </c>
      <c r="L245">
        <v>1</v>
      </c>
      <c r="M245">
        <v>2</v>
      </c>
      <c r="N245">
        <v>3</v>
      </c>
      <c r="O245" t="s">
        <v>39</v>
      </c>
      <c r="P245" t="s">
        <v>40</v>
      </c>
      <c r="Q245" t="s">
        <v>153</v>
      </c>
      <c r="S245" t="s">
        <v>48</v>
      </c>
      <c r="T245">
        <v>3</v>
      </c>
      <c r="V245">
        <v>1</v>
      </c>
      <c r="W245" t="s">
        <v>89</v>
      </c>
      <c r="AA245" t="s">
        <v>33</v>
      </c>
      <c r="AB245">
        <v>2</v>
      </c>
      <c r="AD245">
        <v>3</v>
      </c>
      <c r="AE245" t="s">
        <v>46</v>
      </c>
      <c r="AI245">
        <v>10</v>
      </c>
      <c r="AJ245">
        <v>26</v>
      </c>
    </row>
    <row r="246" spans="1:36" x14ac:dyDescent="0.25">
      <c r="A246" t="s">
        <v>838</v>
      </c>
      <c r="B246">
        <v>244</v>
      </c>
      <c r="C246" t="s">
        <v>48</v>
      </c>
      <c r="D246">
        <v>3</v>
      </c>
      <c r="F246">
        <v>2</v>
      </c>
      <c r="G246" t="s">
        <v>49</v>
      </c>
      <c r="K246" t="s">
        <v>43</v>
      </c>
      <c r="L246">
        <v>1</v>
      </c>
      <c r="N246">
        <v>1</v>
      </c>
      <c r="O246" t="s">
        <v>73</v>
      </c>
      <c r="P246" t="s">
        <v>99</v>
      </c>
      <c r="S246" t="s">
        <v>56</v>
      </c>
      <c r="T246">
        <v>3</v>
      </c>
      <c r="V246">
        <v>2</v>
      </c>
      <c r="W246" t="s">
        <v>68</v>
      </c>
      <c r="AA246" t="s">
        <v>38</v>
      </c>
      <c r="AB246">
        <v>1</v>
      </c>
      <c r="AC246">
        <v>1</v>
      </c>
      <c r="AD246">
        <v>2</v>
      </c>
      <c r="AE246" t="s">
        <v>67</v>
      </c>
      <c r="AF246" t="s">
        <v>70</v>
      </c>
      <c r="AI246">
        <v>9</v>
      </c>
      <c r="AJ246">
        <v>32</v>
      </c>
    </row>
    <row r="247" spans="1:36" x14ac:dyDescent="0.25">
      <c r="A247" t="s">
        <v>839</v>
      </c>
      <c r="B247">
        <v>245</v>
      </c>
      <c r="C247" t="s">
        <v>56</v>
      </c>
      <c r="D247">
        <v>3</v>
      </c>
      <c r="F247">
        <v>2</v>
      </c>
      <c r="G247" t="s">
        <v>68</v>
      </c>
      <c r="H247" t="s">
        <v>69</v>
      </c>
      <c r="K247" t="s">
        <v>38</v>
      </c>
      <c r="L247">
        <v>2</v>
      </c>
      <c r="M247">
        <v>1</v>
      </c>
      <c r="N247">
        <v>2</v>
      </c>
      <c r="O247" t="s">
        <v>39</v>
      </c>
      <c r="P247" t="s">
        <v>70</v>
      </c>
      <c r="Q247" t="s">
        <v>41</v>
      </c>
      <c r="S247" t="s">
        <v>48</v>
      </c>
      <c r="T247">
        <v>3</v>
      </c>
      <c r="V247">
        <v>3</v>
      </c>
      <c r="W247" t="s">
        <v>89</v>
      </c>
      <c r="X247" t="s">
        <v>84</v>
      </c>
      <c r="AA247" t="s">
        <v>45</v>
      </c>
      <c r="AB247">
        <v>1</v>
      </c>
      <c r="AD247">
        <v>1</v>
      </c>
      <c r="AE247" t="s">
        <v>86</v>
      </c>
      <c r="AI247">
        <v>14</v>
      </c>
      <c r="AJ247">
        <v>37</v>
      </c>
    </row>
    <row r="248" spans="1:36" x14ac:dyDescent="0.25">
      <c r="A248" t="s">
        <v>840</v>
      </c>
      <c r="B248">
        <v>246</v>
      </c>
      <c r="C248" t="s">
        <v>56</v>
      </c>
      <c r="D248">
        <v>2</v>
      </c>
      <c r="F248">
        <v>1</v>
      </c>
      <c r="G248" t="s">
        <v>57</v>
      </c>
      <c r="K248" t="s">
        <v>38</v>
      </c>
      <c r="L248">
        <v>1</v>
      </c>
      <c r="M248">
        <v>1</v>
      </c>
      <c r="N248">
        <v>2</v>
      </c>
      <c r="O248" t="s">
        <v>152</v>
      </c>
      <c r="S248" t="s">
        <v>48</v>
      </c>
      <c r="T248">
        <v>3</v>
      </c>
      <c r="V248">
        <v>1</v>
      </c>
      <c r="W248" t="s">
        <v>49</v>
      </c>
      <c r="AA248" t="s">
        <v>63</v>
      </c>
      <c r="AB248">
        <v>1</v>
      </c>
      <c r="AD248">
        <v>1</v>
      </c>
      <c r="AE248" t="s">
        <v>72</v>
      </c>
      <c r="AF248" t="s">
        <v>95</v>
      </c>
      <c r="AG248" t="s">
        <v>147</v>
      </c>
      <c r="AI248">
        <v>6</v>
      </c>
      <c r="AJ248">
        <v>23</v>
      </c>
    </row>
    <row r="249" spans="1:36" x14ac:dyDescent="0.25">
      <c r="A249" t="s">
        <v>841</v>
      </c>
      <c r="B249">
        <v>247</v>
      </c>
      <c r="C249" t="s">
        <v>56</v>
      </c>
      <c r="D249">
        <v>3</v>
      </c>
      <c r="F249">
        <v>1</v>
      </c>
      <c r="G249" t="s">
        <v>57</v>
      </c>
      <c r="H249" t="s">
        <v>122</v>
      </c>
      <c r="K249" t="s">
        <v>38</v>
      </c>
      <c r="L249">
        <v>1</v>
      </c>
      <c r="M249">
        <v>1</v>
      </c>
      <c r="N249">
        <v>1</v>
      </c>
      <c r="O249" t="s">
        <v>152</v>
      </c>
      <c r="P249" t="s">
        <v>70</v>
      </c>
      <c r="S249" t="s">
        <v>48</v>
      </c>
      <c r="T249">
        <v>3</v>
      </c>
      <c r="V249">
        <v>1</v>
      </c>
      <c r="W249" t="s">
        <v>49</v>
      </c>
      <c r="AA249" t="s">
        <v>227</v>
      </c>
      <c r="AB249">
        <v>1</v>
      </c>
      <c r="AC249">
        <v>1</v>
      </c>
      <c r="AD249">
        <v>2</v>
      </c>
      <c r="AE249" t="s">
        <v>228</v>
      </c>
      <c r="AI249">
        <v>7</v>
      </c>
      <c r="AJ249">
        <v>23</v>
      </c>
    </row>
    <row r="250" spans="1:36" x14ac:dyDescent="0.25">
      <c r="A250" t="s">
        <v>842</v>
      </c>
      <c r="B250">
        <v>248</v>
      </c>
      <c r="C250" t="s">
        <v>56</v>
      </c>
      <c r="D250">
        <v>2</v>
      </c>
      <c r="F250">
        <v>1</v>
      </c>
      <c r="G250" t="s">
        <v>68</v>
      </c>
      <c r="H250" t="s">
        <v>121</v>
      </c>
      <c r="I250" t="s">
        <v>85</v>
      </c>
      <c r="K250" t="s">
        <v>38</v>
      </c>
      <c r="L250">
        <v>1</v>
      </c>
      <c r="M250">
        <v>1</v>
      </c>
      <c r="N250">
        <v>3</v>
      </c>
      <c r="O250" t="s">
        <v>39</v>
      </c>
      <c r="P250" t="s">
        <v>70</v>
      </c>
      <c r="Q250" t="s">
        <v>153</v>
      </c>
      <c r="S250" t="s">
        <v>33</v>
      </c>
      <c r="T250">
        <v>1</v>
      </c>
      <c r="V250">
        <v>3</v>
      </c>
      <c r="W250" t="s">
        <v>34</v>
      </c>
      <c r="AA250" t="s">
        <v>43</v>
      </c>
      <c r="AB250">
        <v>1</v>
      </c>
      <c r="AD250">
        <v>1</v>
      </c>
      <c r="AE250" t="s">
        <v>73</v>
      </c>
      <c r="AF250" t="s">
        <v>99</v>
      </c>
      <c r="AI250">
        <v>10</v>
      </c>
      <c r="AJ250">
        <v>30</v>
      </c>
    </row>
    <row r="251" spans="1:36" x14ac:dyDescent="0.25">
      <c r="A251" t="s">
        <v>843</v>
      </c>
      <c r="B251">
        <v>249</v>
      </c>
      <c r="C251" t="s">
        <v>56</v>
      </c>
      <c r="D251">
        <v>2</v>
      </c>
      <c r="F251">
        <v>2</v>
      </c>
      <c r="G251" t="s">
        <v>68</v>
      </c>
      <c r="K251" t="s">
        <v>38</v>
      </c>
      <c r="L251">
        <v>1</v>
      </c>
      <c r="M251">
        <v>1</v>
      </c>
      <c r="N251">
        <v>2</v>
      </c>
      <c r="O251" t="s">
        <v>39</v>
      </c>
      <c r="P251" t="s">
        <v>70</v>
      </c>
      <c r="S251" t="s">
        <v>33</v>
      </c>
      <c r="T251">
        <v>1</v>
      </c>
      <c r="V251">
        <v>1</v>
      </c>
      <c r="W251" t="s">
        <v>46</v>
      </c>
      <c r="AA251" t="s">
        <v>45</v>
      </c>
      <c r="AB251">
        <v>3</v>
      </c>
      <c r="AD251">
        <v>2</v>
      </c>
      <c r="AE251" t="s">
        <v>140</v>
      </c>
      <c r="AI251">
        <v>7</v>
      </c>
      <c r="AJ251">
        <v>18</v>
      </c>
    </row>
    <row r="252" spans="1:36" x14ac:dyDescent="0.25">
      <c r="A252" t="s">
        <v>844</v>
      </c>
      <c r="B252">
        <v>250</v>
      </c>
      <c r="C252" t="s">
        <v>33</v>
      </c>
      <c r="D252">
        <v>1</v>
      </c>
      <c r="F252">
        <v>3</v>
      </c>
      <c r="G252" t="s">
        <v>46</v>
      </c>
      <c r="H252" t="s">
        <v>130</v>
      </c>
      <c r="K252" t="s">
        <v>63</v>
      </c>
      <c r="L252">
        <v>1</v>
      </c>
      <c r="N252">
        <v>1</v>
      </c>
      <c r="O252" t="s">
        <v>103</v>
      </c>
      <c r="P252" t="s">
        <v>91</v>
      </c>
      <c r="Q252" t="s">
        <v>147</v>
      </c>
      <c r="S252" t="s">
        <v>56</v>
      </c>
      <c r="T252">
        <v>3</v>
      </c>
      <c r="V252">
        <v>1</v>
      </c>
      <c r="W252" t="s">
        <v>68</v>
      </c>
      <c r="AA252" t="s">
        <v>38</v>
      </c>
      <c r="AB252">
        <v>2</v>
      </c>
      <c r="AC252">
        <v>1</v>
      </c>
      <c r="AD252">
        <v>2</v>
      </c>
      <c r="AE252" t="s">
        <v>67</v>
      </c>
      <c r="AI252">
        <v>9</v>
      </c>
      <c r="AJ252">
        <v>28</v>
      </c>
    </row>
    <row r="253" spans="1:36" x14ac:dyDescent="0.25">
      <c r="A253" t="s">
        <v>845</v>
      </c>
      <c r="B253">
        <v>251</v>
      </c>
      <c r="C253" t="s">
        <v>56</v>
      </c>
      <c r="D253">
        <v>1</v>
      </c>
      <c r="F253">
        <v>1</v>
      </c>
      <c r="G253" t="s">
        <v>57</v>
      </c>
      <c r="K253" t="s">
        <v>38</v>
      </c>
      <c r="L253">
        <v>1</v>
      </c>
      <c r="M253">
        <v>1</v>
      </c>
      <c r="N253">
        <v>2</v>
      </c>
      <c r="O253" t="s">
        <v>39</v>
      </c>
      <c r="P253" t="s">
        <v>70</v>
      </c>
      <c r="S253" t="s">
        <v>33</v>
      </c>
      <c r="T253">
        <v>1</v>
      </c>
      <c r="V253">
        <v>1</v>
      </c>
      <c r="W253" t="s">
        <v>46</v>
      </c>
      <c r="AA253" t="s">
        <v>227</v>
      </c>
      <c r="AB253">
        <v>2</v>
      </c>
      <c r="AC253">
        <v>1</v>
      </c>
      <c r="AD253">
        <v>1</v>
      </c>
      <c r="AE253" t="s">
        <v>228</v>
      </c>
      <c r="AI253">
        <v>3</v>
      </c>
      <c r="AJ253">
        <v>21</v>
      </c>
    </row>
    <row r="254" spans="1:36" x14ac:dyDescent="0.25">
      <c r="A254" t="s">
        <v>846</v>
      </c>
      <c r="B254">
        <v>252</v>
      </c>
      <c r="C254" t="s">
        <v>56</v>
      </c>
      <c r="D254">
        <v>1</v>
      </c>
      <c r="F254">
        <v>1</v>
      </c>
      <c r="G254" t="s">
        <v>68</v>
      </c>
      <c r="K254" t="s">
        <v>38</v>
      </c>
      <c r="L254">
        <v>2</v>
      </c>
      <c r="M254">
        <v>1</v>
      </c>
      <c r="N254">
        <v>3</v>
      </c>
      <c r="O254" t="s">
        <v>39</v>
      </c>
      <c r="P254" t="s">
        <v>70</v>
      </c>
      <c r="S254" t="s">
        <v>43</v>
      </c>
      <c r="T254">
        <v>1</v>
      </c>
      <c r="V254">
        <v>1</v>
      </c>
      <c r="W254" t="s">
        <v>73</v>
      </c>
      <c r="X254" t="s">
        <v>99</v>
      </c>
      <c r="Y254" t="s">
        <v>75</v>
      </c>
      <c r="AA254" t="s">
        <v>45</v>
      </c>
      <c r="AB254">
        <v>2</v>
      </c>
      <c r="AD254">
        <v>1</v>
      </c>
      <c r="AE254" t="s">
        <v>140</v>
      </c>
      <c r="AI254">
        <v>7</v>
      </c>
      <c r="AJ254">
        <v>26</v>
      </c>
    </row>
    <row r="255" spans="1:36" x14ac:dyDescent="0.25">
      <c r="A255" t="s">
        <v>847</v>
      </c>
      <c r="B255">
        <v>253</v>
      </c>
      <c r="C255" t="s">
        <v>43</v>
      </c>
      <c r="D255">
        <v>1</v>
      </c>
      <c r="F255">
        <v>1</v>
      </c>
      <c r="G255" t="s">
        <v>73</v>
      </c>
      <c r="H255" t="s">
        <v>99</v>
      </c>
      <c r="I255" t="s">
        <v>100</v>
      </c>
      <c r="J255" t="s">
        <v>101</v>
      </c>
      <c r="K255" t="s">
        <v>63</v>
      </c>
      <c r="L255">
        <v>2</v>
      </c>
      <c r="N255">
        <v>1</v>
      </c>
      <c r="O255" t="s">
        <v>72</v>
      </c>
      <c r="P255" t="s">
        <v>95</v>
      </c>
      <c r="S255" t="s">
        <v>56</v>
      </c>
      <c r="T255">
        <v>3</v>
      </c>
      <c r="V255">
        <v>3</v>
      </c>
      <c r="W255" t="s">
        <v>68</v>
      </c>
      <c r="X255" t="s">
        <v>121</v>
      </c>
      <c r="Y255" t="s">
        <v>123</v>
      </c>
      <c r="AA255" t="s">
        <v>38</v>
      </c>
      <c r="AB255">
        <v>1</v>
      </c>
      <c r="AC255">
        <v>1</v>
      </c>
      <c r="AD255">
        <v>2</v>
      </c>
      <c r="AE255" t="s">
        <v>67</v>
      </c>
      <c r="AI255">
        <v>12</v>
      </c>
      <c r="AJ255">
        <v>40</v>
      </c>
    </row>
    <row r="256" spans="1:36" x14ac:dyDescent="0.25">
      <c r="A256" t="s">
        <v>848</v>
      </c>
      <c r="B256">
        <v>254</v>
      </c>
      <c r="C256" t="s">
        <v>56</v>
      </c>
      <c r="D256">
        <v>1</v>
      </c>
      <c r="F256">
        <v>1</v>
      </c>
      <c r="G256" t="s">
        <v>57</v>
      </c>
      <c r="H256" t="s">
        <v>122</v>
      </c>
      <c r="K256" t="s">
        <v>38</v>
      </c>
      <c r="L256">
        <v>3</v>
      </c>
      <c r="M256">
        <v>2</v>
      </c>
      <c r="N256">
        <v>3</v>
      </c>
      <c r="O256" t="s">
        <v>67</v>
      </c>
      <c r="P256" t="s">
        <v>70</v>
      </c>
      <c r="Q256" t="s">
        <v>41</v>
      </c>
      <c r="R256" t="s">
        <v>42</v>
      </c>
      <c r="S256" t="s">
        <v>43</v>
      </c>
      <c r="T256">
        <v>3</v>
      </c>
      <c r="V256">
        <v>2</v>
      </c>
      <c r="W256" t="s">
        <v>73</v>
      </c>
      <c r="X256" t="s">
        <v>99</v>
      </c>
      <c r="Y256" t="s">
        <v>100</v>
      </c>
      <c r="Z256" t="s">
        <v>101</v>
      </c>
      <c r="AA256" t="s">
        <v>227</v>
      </c>
      <c r="AB256">
        <v>1</v>
      </c>
      <c r="AC256">
        <v>1</v>
      </c>
      <c r="AD256">
        <v>1</v>
      </c>
      <c r="AE256" t="s">
        <v>228</v>
      </c>
      <c r="AI256">
        <v>15</v>
      </c>
      <c r="AJ256">
        <v>46</v>
      </c>
    </row>
    <row r="257" spans="1:36" x14ac:dyDescent="0.25">
      <c r="A257" t="s">
        <v>849</v>
      </c>
      <c r="B257">
        <v>255</v>
      </c>
      <c r="C257" t="s">
        <v>45</v>
      </c>
      <c r="D257">
        <v>2</v>
      </c>
      <c r="F257">
        <v>1</v>
      </c>
      <c r="G257" t="s">
        <v>86</v>
      </c>
      <c r="K257" t="s">
        <v>63</v>
      </c>
      <c r="L257">
        <v>3</v>
      </c>
      <c r="N257">
        <v>1</v>
      </c>
      <c r="O257" t="s">
        <v>72</v>
      </c>
      <c r="P257" t="s">
        <v>146</v>
      </c>
      <c r="Q257" t="s">
        <v>104</v>
      </c>
      <c r="R257" t="s">
        <v>151</v>
      </c>
      <c r="S257" t="s">
        <v>56</v>
      </c>
      <c r="T257">
        <v>3</v>
      </c>
      <c r="V257">
        <v>1</v>
      </c>
      <c r="W257" t="s">
        <v>57</v>
      </c>
      <c r="X257" t="s">
        <v>122</v>
      </c>
      <c r="Y257" t="s">
        <v>85</v>
      </c>
      <c r="Z257" t="s">
        <v>125</v>
      </c>
      <c r="AA257" t="s">
        <v>38</v>
      </c>
      <c r="AB257">
        <v>1</v>
      </c>
      <c r="AC257">
        <v>1</v>
      </c>
      <c r="AD257">
        <v>2</v>
      </c>
      <c r="AE257" t="s">
        <v>67</v>
      </c>
      <c r="AF257" t="s">
        <v>70</v>
      </c>
      <c r="AG257" t="s">
        <v>153</v>
      </c>
      <c r="AI257">
        <v>14</v>
      </c>
      <c r="AJ257">
        <v>46</v>
      </c>
    </row>
    <row r="258" spans="1:36" x14ac:dyDescent="0.25">
      <c r="A258" t="s">
        <v>850</v>
      </c>
      <c r="B258">
        <v>256</v>
      </c>
      <c r="C258" t="s">
        <v>56</v>
      </c>
      <c r="D258">
        <v>2</v>
      </c>
      <c r="F258">
        <v>1</v>
      </c>
      <c r="G258" t="s">
        <v>57</v>
      </c>
      <c r="H258" t="s">
        <v>122</v>
      </c>
      <c r="K258" t="s">
        <v>38</v>
      </c>
      <c r="L258">
        <v>1</v>
      </c>
      <c r="M258">
        <v>1</v>
      </c>
      <c r="N258">
        <v>1</v>
      </c>
      <c r="O258" t="s">
        <v>152</v>
      </c>
      <c r="P258" t="s">
        <v>70</v>
      </c>
      <c r="S258" t="s">
        <v>45</v>
      </c>
      <c r="T258">
        <v>2</v>
      </c>
      <c r="V258">
        <v>1</v>
      </c>
      <c r="W258" t="s">
        <v>86</v>
      </c>
      <c r="AA258" t="s">
        <v>227</v>
      </c>
      <c r="AB258">
        <v>1</v>
      </c>
      <c r="AC258">
        <v>2</v>
      </c>
      <c r="AD258">
        <v>3</v>
      </c>
      <c r="AE258" t="s">
        <v>228</v>
      </c>
      <c r="AF258" t="s">
        <v>231</v>
      </c>
      <c r="AG258" t="s">
        <v>235</v>
      </c>
      <c r="AI258">
        <v>9</v>
      </c>
      <c r="AJ258">
        <v>30</v>
      </c>
    </row>
    <row r="259" spans="1:36" x14ac:dyDescent="0.25">
      <c r="A259" t="s">
        <v>851</v>
      </c>
      <c r="B259">
        <v>257</v>
      </c>
      <c r="C259" t="s">
        <v>56</v>
      </c>
      <c r="D259">
        <v>2</v>
      </c>
      <c r="F259">
        <v>3</v>
      </c>
      <c r="G259" t="s">
        <v>57</v>
      </c>
      <c r="K259" t="s">
        <v>38</v>
      </c>
      <c r="L259">
        <v>1</v>
      </c>
      <c r="M259">
        <v>1</v>
      </c>
      <c r="N259">
        <v>1</v>
      </c>
      <c r="O259" t="s">
        <v>152</v>
      </c>
      <c r="P259" t="s">
        <v>70</v>
      </c>
      <c r="S259" t="s">
        <v>63</v>
      </c>
      <c r="T259">
        <v>2</v>
      </c>
      <c r="V259">
        <v>1</v>
      </c>
      <c r="W259" t="s">
        <v>72</v>
      </c>
      <c r="X259" t="s">
        <v>91</v>
      </c>
      <c r="Y259" t="s">
        <v>147</v>
      </c>
      <c r="AA259" t="s">
        <v>227</v>
      </c>
      <c r="AB259">
        <v>2</v>
      </c>
      <c r="AC259">
        <v>1</v>
      </c>
      <c r="AD259">
        <v>1</v>
      </c>
      <c r="AE259" t="s">
        <v>228</v>
      </c>
      <c r="AI259">
        <v>8</v>
      </c>
      <c r="AJ259">
        <v>28</v>
      </c>
    </row>
    <row r="260" spans="1:36" x14ac:dyDescent="0.25">
      <c r="A260" t="s">
        <v>852</v>
      </c>
      <c r="B260">
        <v>258</v>
      </c>
      <c r="C260" t="s">
        <v>48</v>
      </c>
      <c r="D260">
        <v>1</v>
      </c>
      <c r="F260">
        <v>2</v>
      </c>
      <c r="G260" t="s">
        <v>89</v>
      </c>
      <c r="H260" t="s">
        <v>71</v>
      </c>
      <c r="K260" t="s">
        <v>33</v>
      </c>
      <c r="L260">
        <v>1</v>
      </c>
      <c r="N260">
        <v>2</v>
      </c>
      <c r="O260" t="s">
        <v>34</v>
      </c>
      <c r="P260" t="s">
        <v>130</v>
      </c>
      <c r="S260" t="s">
        <v>56</v>
      </c>
      <c r="T260">
        <v>1</v>
      </c>
      <c r="V260">
        <v>1</v>
      </c>
      <c r="W260" t="s">
        <v>68</v>
      </c>
      <c r="AA260" t="s">
        <v>227</v>
      </c>
      <c r="AB260">
        <v>1</v>
      </c>
      <c r="AC260">
        <v>1</v>
      </c>
      <c r="AD260">
        <v>1</v>
      </c>
      <c r="AE260" t="s">
        <v>228</v>
      </c>
      <c r="AF260" t="s">
        <v>231</v>
      </c>
      <c r="AI260">
        <v>5</v>
      </c>
      <c r="AJ260">
        <v>25</v>
      </c>
    </row>
    <row r="261" spans="1:36" x14ac:dyDescent="0.25">
      <c r="A261" t="s">
        <v>853</v>
      </c>
      <c r="B261">
        <v>259</v>
      </c>
      <c r="C261" t="s">
        <v>48</v>
      </c>
      <c r="D261">
        <v>1</v>
      </c>
      <c r="F261">
        <v>1</v>
      </c>
      <c r="G261" t="s">
        <v>89</v>
      </c>
      <c r="H261" t="s">
        <v>50</v>
      </c>
      <c r="I261" t="s">
        <v>51</v>
      </c>
      <c r="K261" t="s">
        <v>43</v>
      </c>
      <c r="L261">
        <v>1</v>
      </c>
      <c r="N261">
        <v>1</v>
      </c>
      <c r="O261" t="s">
        <v>73</v>
      </c>
      <c r="P261" t="s">
        <v>74</v>
      </c>
      <c r="Q261" t="s">
        <v>100</v>
      </c>
      <c r="S261" t="s">
        <v>56</v>
      </c>
      <c r="T261">
        <v>1</v>
      </c>
      <c r="V261">
        <v>1</v>
      </c>
      <c r="W261" t="s">
        <v>68</v>
      </c>
      <c r="AA261" t="s">
        <v>227</v>
      </c>
      <c r="AB261">
        <v>2</v>
      </c>
      <c r="AC261">
        <v>1</v>
      </c>
      <c r="AD261">
        <v>1</v>
      </c>
      <c r="AE261" t="s">
        <v>228</v>
      </c>
      <c r="AI261">
        <v>5</v>
      </c>
      <c r="AJ261">
        <v>22</v>
      </c>
    </row>
    <row r="262" spans="1:36" x14ac:dyDescent="0.25">
      <c r="A262" t="s">
        <v>854</v>
      </c>
      <c r="B262">
        <v>260</v>
      </c>
      <c r="C262" t="s">
        <v>56</v>
      </c>
      <c r="D262">
        <v>1</v>
      </c>
      <c r="F262">
        <v>1</v>
      </c>
      <c r="G262" t="s">
        <v>57</v>
      </c>
      <c r="K262" t="s">
        <v>227</v>
      </c>
      <c r="L262">
        <v>3</v>
      </c>
      <c r="M262">
        <v>1</v>
      </c>
      <c r="N262">
        <v>2</v>
      </c>
      <c r="O262" t="s">
        <v>229</v>
      </c>
      <c r="P262" t="s">
        <v>231</v>
      </c>
      <c r="Q262" t="s">
        <v>235</v>
      </c>
      <c r="S262" t="s">
        <v>48</v>
      </c>
      <c r="T262">
        <v>3</v>
      </c>
      <c r="V262">
        <v>1</v>
      </c>
      <c r="W262" t="s">
        <v>49</v>
      </c>
      <c r="AA262" t="s">
        <v>45</v>
      </c>
      <c r="AB262">
        <v>2</v>
      </c>
      <c r="AD262">
        <v>1</v>
      </c>
      <c r="AE262" t="s">
        <v>86</v>
      </c>
      <c r="AI262">
        <v>8</v>
      </c>
      <c r="AJ262">
        <v>21</v>
      </c>
    </row>
    <row r="263" spans="1:36" x14ac:dyDescent="0.25">
      <c r="A263" t="s">
        <v>855</v>
      </c>
      <c r="B263">
        <v>261</v>
      </c>
      <c r="C263" t="s">
        <v>48</v>
      </c>
      <c r="D263">
        <v>1</v>
      </c>
      <c r="F263">
        <v>1</v>
      </c>
      <c r="G263" t="s">
        <v>89</v>
      </c>
      <c r="H263" t="s">
        <v>50</v>
      </c>
      <c r="K263" t="s">
        <v>63</v>
      </c>
      <c r="L263">
        <v>2</v>
      </c>
      <c r="N263">
        <v>1</v>
      </c>
      <c r="O263" t="s">
        <v>72</v>
      </c>
      <c r="P263" t="s">
        <v>95</v>
      </c>
      <c r="S263" t="s">
        <v>56</v>
      </c>
      <c r="T263">
        <v>1</v>
      </c>
      <c r="V263">
        <v>1</v>
      </c>
      <c r="W263" t="s">
        <v>57</v>
      </c>
      <c r="X263" t="s">
        <v>122</v>
      </c>
      <c r="Y263" t="s">
        <v>85</v>
      </c>
      <c r="AA263" t="s">
        <v>227</v>
      </c>
      <c r="AB263">
        <v>1</v>
      </c>
      <c r="AC263">
        <v>1</v>
      </c>
      <c r="AD263">
        <v>1</v>
      </c>
      <c r="AE263" t="s">
        <v>228</v>
      </c>
      <c r="AF263" t="s">
        <v>233</v>
      </c>
      <c r="AG263" t="s">
        <v>235</v>
      </c>
      <c r="AI263">
        <v>7</v>
      </c>
      <c r="AJ263">
        <v>23</v>
      </c>
    </row>
    <row r="264" spans="1:36" x14ac:dyDescent="0.25">
      <c r="A264" t="s">
        <v>856</v>
      </c>
      <c r="B264">
        <v>262</v>
      </c>
      <c r="C264" t="s">
        <v>48</v>
      </c>
      <c r="D264">
        <v>2</v>
      </c>
      <c r="F264">
        <v>1</v>
      </c>
      <c r="G264" t="s">
        <v>89</v>
      </c>
      <c r="H264" t="s">
        <v>71</v>
      </c>
      <c r="K264" t="s">
        <v>38</v>
      </c>
      <c r="L264">
        <v>1</v>
      </c>
      <c r="M264">
        <v>1</v>
      </c>
      <c r="N264">
        <v>1</v>
      </c>
      <c r="O264" t="s">
        <v>152</v>
      </c>
      <c r="P264" t="s">
        <v>70</v>
      </c>
      <c r="S264" t="s">
        <v>56</v>
      </c>
      <c r="T264">
        <v>1</v>
      </c>
      <c r="V264">
        <v>1</v>
      </c>
      <c r="W264" t="s">
        <v>57</v>
      </c>
      <c r="X264" t="s">
        <v>121</v>
      </c>
      <c r="AA264" t="s">
        <v>227</v>
      </c>
      <c r="AB264">
        <v>1</v>
      </c>
      <c r="AC264">
        <v>1</v>
      </c>
      <c r="AD264">
        <v>1</v>
      </c>
      <c r="AE264" t="s">
        <v>228</v>
      </c>
      <c r="AI264">
        <v>4</v>
      </c>
      <c r="AJ264">
        <v>26</v>
      </c>
    </row>
    <row r="265" spans="1:36" x14ac:dyDescent="0.25">
      <c r="A265" t="s">
        <v>857</v>
      </c>
      <c r="B265">
        <v>263</v>
      </c>
      <c r="C265" t="s">
        <v>56</v>
      </c>
      <c r="D265">
        <v>3</v>
      </c>
      <c r="F265">
        <v>2</v>
      </c>
      <c r="G265" t="s">
        <v>68</v>
      </c>
      <c r="H265" t="s">
        <v>121</v>
      </c>
      <c r="K265" t="s">
        <v>227</v>
      </c>
      <c r="L265">
        <v>2</v>
      </c>
      <c r="M265">
        <v>1</v>
      </c>
      <c r="N265">
        <v>1</v>
      </c>
      <c r="O265" t="s">
        <v>228</v>
      </c>
      <c r="S265" t="s">
        <v>33</v>
      </c>
      <c r="T265">
        <v>1</v>
      </c>
      <c r="V265">
        <v>2</v>
      </c>
      <c r="W265" t="s">
        <v>34</v>
      </c>
      <c r="AA265" t="s">
        <v>43</v>
      </c>
      <c r="AB265">
        <v>1</v>
      </c>
      <c r="AD265">
        <v>1</v>
      </c>
      <c r="AE265" t="s">
        <v>73</v>
      </c>
      <c r="AF265" t="s">
        <v>99</v>
      </c>
      <c r="AG265" t="s">
        <v>100</v>
      </c>
      <c r="AH265" t="s">
        <v>101</v>
      </c>
      <c r="AI265">
        <v>9</v>
      </c>
      <c r="AJ265">
        <v>21</v>
      </c>
    </row>
    <row r="266" spans="1:36" x14ac:dyDescent="0.25">
      <c r="A266" t="s">
        <v>858</v>
      </c>
      <c r="B266">
        <v>264</v>
      </c>
      <c r="C266" t="s">
        <v>33</v>
      </c>
      <c r="D266">
        <v>1</v>
      </c>
      <c r="F266">
        <v>3</v>
      </c>
      <c r="G266" t="s">
        <v>46</v>
      </c>
      <c r="K266" t="s">
        <v>45</v>
      </c>
      <c r="L266">
        <v>2</v>
      </c>
      <c r="N266">
        <v>1</v>
      </c>
      <c r="O266" t="s">
        <v>140</v>
      </c>
      <c r="S266" t="s">
        <v>56</v>
      </c>
      <c r="T266">
        <v>1</v>
      </c>
      <c r="V266">
        <v>2</v>
      </c>
      <c r="W266" t="s">
        <v>68</v>
      </c>
      <c r="AA266" t="s">
        <v>227</v>
      </c>
      <c r="AB266">
        <v>1</v>
      </c>
      <c r="AC266">
        <v>1</v>
      </c>
      <c r="AD266">
        <v>2</v>
      </c>
      <c r="AE266" t="s">
        <v>228</v>
      </c>
      <c r="AI266">
        <v>5</v>
      </c>
      <c r="AJ266">
        <v>16</v>
      </c>
    </row>
    <row r="267" spans="1:36" x14ac:dyDescent="0.25">
      <c r="A267" t="s">
        <v>859</v>
      </c>
      <c r="B267">
        <v>265</v>
      </c>
      <c r="C267" t="s">
        <v>33</v>
      </c>
      <c r="D267">
        <v>1</v>
      </c>
      <c r="F267">
        <v>3</v>
      </c>
      <c r="G267" t="s">
        <v>34</v>
      </c>
      <c r="K267" t="s">
        <v>63</v>
      </c>
      <c r="L267">
        <v>1</v>
      </c>
      <c r="N267">
        <v>1</v>
      </c>
      <c r="O267" t="s">
        <v>103</v>
      </c>
      <c r="P267" t="s">
        <v>91</v>
      </c>
      <c r="S267" t="s">
        <v>56</v>
      </c>
      <c r="T267">
        <v>3</v>
      </c>
      <c r="V267">
        <v>1</v>
      </c>
      <c r="W267" t="s">
        <v>68</v>
      </c>
      <c r="AA267" t="s">
        <v>227</v>
      </c>
      <c r="AB267">
        <v>3</v>
      </c>
      <c r="AC267">
        <v>1</v>
      </c>
      <c r="AD267">
        <v>1</v>
      </c>
      <c r="AE267" t="s">
        <v>228</v>
      </c>
      <c r="AI267">
        <v>7</v>
      </c>
      <c r="AJ267">
        <v>30</v>
      </c>
    </row>
    <row r="268" spans="1:36" x14ac:dyDescent="0.25">
      <c r="A268" t="s">
        <v>860</v>
      </c>
      <c r="B268">
        <v>266</v>
      </c>
      <c r="C268" t="s">
        <v>33</v>
      </c>
      <c r="D268">
        <v>1</v>
      </c>
      <c r="F268">
        <v>2</v>
      </c>
      <c r="G268" t="s">
        <v>34</v>
      </c>
      <c r="K268" t="s">
        <v>38</v>
      </c>
      <c r="L268">
        <v>1</v>
      </c>
      <c r="M268">
        <v>1</v>
      </c>
      <c r="N268">
        <v>1</v>
      </c>
      <c r="O268" t="s">
        <v>152</v>
      </c>
      <c r="P268" t="s">
        <v>70</v>
      </c>
      <c r="Q268" t="s">
        <v>41</v>
      </c>
      <c r="R268" t="s">
        <v>155</v>
      </c>
      <c r="S268" t="s">
        <v>56</v>
      </c>
      <c r="T268">
        <v>3</v>
      </c>
      <c r="V268">
        <v>1</v>
      </c>
      <c r="W268" t="s">
        <v>68</v>
      </c>
      <c r="AA268" t="s">
        <v>227</v>
      </c>
      <c r="AB268">
        <v>1</v>
      </c>
      <c r="AC268">
        <v>1</v>
      </c>
      <c r="AD268">
        <v>1</v>
      </c>
      <c r="AE268" t="s">
        <v>228</v>
      </c>
      <c r="AI268">
        <v>6</v>
      </c>
      <c r="AJ268">
        <v>34</v>
      </c>
    </row>
    <row r="269" spans="1:36" x14ac:dyDescent="0.25">
      <c r="A269" t="s">
        <v>861</v>
      </c>
      <c r="B269">
        <v>267</v>
      </c>
      <c r="C269" t="s">
        <v>56</v>
      </c>
      <c r="D269">
        <v>3</v>
      </c>
      <c r="F269">
        <v>2</v>
      </c>
      <c r="G269" t="s">
        <v>68</v>
      </c>
      <c r="K269" t="s">
        <v>227</v>
      </c>
      <c r="L269">
        <v>1</v>
      </c>
      <c r="M269">
        <v>1</v>
      </c>
      <c r="N269">
        <v>2</v>
      </c>
      <c r="O269" t="s">
        <v>228</v>
      </c>
      <c r="S269" t="s">
        <v>43</v>
      </c>
      <c r="T269">
        <v>2</v>
      </c>
      <c r="V269">
        <v>1</v>
      </c>
      <c r="W269" t="s">
        <v>73</v>
      </c>
      <c r="X269" t="s">
        <v>136</v>
      </c>
      <c r="Y269" t="s">
        <v>100</v>
      </c>
      <c r="Z269" t="s">
        <v>139</v>
      </c>
      <c r="AA269" t="s">
        <v>45</v>
      </c>
      <c r="AB269">
        <v>2</v>
      </c>
      <c r="AD269">
        <v>1</v>
      </c>
      <c r="AE269" t="s">
        <v>47</v>
      </c>
      <c r="AI269">
        <v>9</v>
      </c>
      <c r="AJ269">
        <v>31</v>
      </c>
    </row>
    <row r="270" spans="1:36" x14ac:dyDescent="0.25">
      <c r="A270" t="s">
        <v>862</v>
      </c>
      <c r="B270">
        <v>268</v>
      </c>
      <c r="C270" t="s">
        <v>56</v>
      </c>
      <c r="D270">
        <v>3</v>
      </c>
      <c r="F270">
        <v>2</v>
      </c>
      <c r="G270" t="s">
        <v>68</v>
      </c>
      <c r="H270" t="s">
        <v>121</v>
      </c>
      <c r="I270" t="s">
        <v>123</v>
      </c>
      <c r="K270" t="s">
        <v>227</v>
      </c>
      <c r="L270">
        <v>2</v>
      </c>
      <c r="M270">
        <v>1</v>
      </c>
      <c r="N270">
        <v>1</v>
      </c>
      <c r="O270" t="s">
        <v>228</v>
      </c>
      <c r="S270" t="s">
        <v>43</v>
      </c>
      <c r="T270">
        <v>1</v>
      </c>
      <c r="V270">
        <v>1</v>
      </c>
      <c r="W270" t="s">
        <v>73</v>
      </c>
      <c r="X270" t="s">
        <v>99</v>
      </c>
      <c r="Y270" t="s">
        <v>137</v>
      </c>
      <c r="Z270" t="s">
        <v>101</v>
      </c>
      <c r="AA270" t="s">
        <v>63</v>
      </c>
      <c r="AB270">
        <v>2</v>
      </c>
      <c r="AD270">
        <v>1</v>
      </c>
      <c r="AE270" t="s">
        <v>103</v>
      </c>
      <c r="AF270" t="s">
        <v>91</v>
      </c>
      <c r="AG270" t="s">
        <v>147</v>
      </c>
      <c r="AI270">
        <v>12</v>
      </c>
      <c r="AJ270">
        <v>29</v>
      </c>
    </row>
    <row r="271" spans="1:36" x14ac:dyDescent="0.25">
      <c r="A271" t="s">
        <v>863</v>
      </c>
      <c r="B271">
        <v>269</v>
      </c>
      <c r="C271" t="s">
        <v>43</v>
      </c>
      <c r="D271">
        <v>1</v>
      </c>
      <c r="F271">
        <v>3</v>
      </c>
      <c r="G271" t="s">
        <v>73</v>
      </c>
      <c r="H271" t="s">
        <v>74</v>
      </c>
      <c r="I271" t="s">
        <v>100</v>
      </c>
      <c r="J271" t="s">
        <v>101</v>
      </c>
      <c r="K271" t="s">
        <v>38</v>
      </c>
      <c r="L271">
        <v>1</v>
      </c>
      <c r="M271">
        <v>1</v>
      </c>
      <c r="N271">
        <v>1</v>
      </c>
      <c r="O271" t="s">
        <v>152</v>
      </c>
      <c r="P271" t="s">
        <v>70</v>
      </c>
      <c r="S271" t="s">
        <v>56</v>
      </c>
      <c r="T271">
        <v>3</v>
      </c>
      <c r="V271">
        <v>1</v>
      </c>
      <c r="W271" t="s">
        <v>68</v>
      </c>
      <c r="AA271" t="s">
        <v>227</v>
      </c>
      <c r="AB271">
        <v>1</v>
      </c>
      <c r="AC271">
        <v>1</v>
      </c>
      <c r="AD271">
        <v>1</v>
      </c>
      <c r="AE271" t="s">
        <v>228</v>
      </c>
      <c r="AF271" t="s">
        <v>231</v>
      </c>
      <c r="AI271">
        <v>9</v>
      </c>
      <c r="AJ271">
        <v>36</v>
      </c>
    </row>
    <row r="272" spans="1:36" x14ac:dyDescent="0.25">
      <c r="A272" t="s">
        <v>864</v>
      </c>
      <c r="B272">
        <v>270</v>
      </c>
      <c r="C272" t="s">
        <v>56</v>
      </c>
      <c r="D272">
        <v>1</v>
      </c>
      <c r="F272">
        <v>1</v>
      </c>
      <c r="G272" t="s">
        <v>57</v>
      </c>
      <c r="H272" t="s">
        <v>121</v>
      </c>
      <c r="I272" t="s">
        <v>123</v>
      </c>
      <c r="K272" t="s">
        <v>227</v>
      </c>
      <c r="L272">
        <v>3</v>
      </c>
      <c r="M272">
        <v>1</v>
      </c>
      <c r="N272">
        <v>2</v>
      </c>
      <c r="O272" t="s">
        <v>228</v>
      </c>
      <c r="P272" t="s">
        <v>231</v>
      </c>
      <c r="Q272" t="s">
        <v>235</v>
      </c>
      <c r="S272" t="s">
        <v>45</v>
      </c>
      <c r="T272">
        <v>2</v>
      </c>
      <c r="V272">
        <v>1</v>
      </c>
      <c r="W272" t="s">
        <v>86</v>
      </c>
      <c r="AA272" t="s">
        <v>63</v>
      </c>
      <c r="AB272">
        <v>1</v>
      </c>
      <c r="AD272">
        <v>1</v>
      </c>
      <c r="AE272" t="s">
        <v>72</v>
      </c>
      <c r="AF272" t="s">
        <v>95</v>
      </c>
      <c r="AG272" t="s">
        <v>104</v>
      </c>
      <c r="AI272">
        <v>10</v>
      </c>
      <c r="AJ272">
        <v>26</v>
      </c>
    </row>
    <row r="273" spans="1:36" x14ac:dyDescent="0.25">
      <c r="A273" t="s">
        <v>865</v>
      </c>
      <c r="B273">
        <v>271</v>
      </c>
      <c r="C273" t="s">
        <v>45</v>
      </c>
      <c r="D273">
        <v>3</v>
      </c>
      <c r="F273">
        <v>1</v>
      </c>
      <c r="G273" t="s">
        <v>86</v>
      </c>
      <c r="K273" t="s">
        <v>38</v>
      </c>
      <c r="L273">
        <v>2</v>
      </c>
      <c r="M273">
        <v>1</v>
      </c>
      <c r="N273">
        <v>1</v>
      </c>
      <c r="O273" t="s">
        <v>152</v>
      </c>
      <c r="P273" t="s">
        <v>70</v>
      </c>
      <c r="S273" t="s">
        <v>56</v>
      </c>
      <c r="T273">
        <v>1</v>
      </c>
      <c r="V273">
        <v>2</v>
      </c>
      <c r="W273" t="s">
        <v>68</v>
      </c>
      <c r="X273" t="s">
        <v>122</v>
      </c>
      <c r="AA273" t="s">
        <v>227</v>
      </c>
      <c r="AB273">
        <v>1</v>
      </c>
      <c r="AC273">
        <v>1</v>
      </c>
      <c r="AD273">
        <v>1</v>
      </c>
      <c r="AE273" t="s">
        <v>228</v>
      </c>
      <c r="AI273">
        <v>6</v>
      </c>
      <c r="AJ273">
        <v>17</v>
      </c>
    </row>
    <row r="274" spans="1:36" x14ac:dyDescent="0.25">
      <c r="A274" t="s">
        <v>866</v>
      </c>
      <c r="B274">
        <v>272</v>
      </c>
      <c r="C274" t="s">
        <v>56</v>
      </c>
      <c r="D274">
        <v>2</v>
      </c>
      <c r="F274">
        <v>1</v>
      </c>
      <c r="G274" t="s">
        <v>57</v>
      </c>
      <c r="H274" t="s">
        <v>122</v>
      </c>
      <c r="I274" t="s">
        <v>85</v>
      </c>
      <c r="K274" t="s">
        <v>227</v>
      </c>
      <c r="L274">
        <v>1</v>
      </c>
      <c r="M274">
        <v>1</v>
      </c>
      <c r="N274">
        <v>1</v>
      </c>
      <c r="O274" t="s">
        <v>228</v>
      </c>
      <c r="S274" t="s">
        <v>63</v>
      </c>
      <c r="T274">
        <v>1</v>
      </c>
      <c r="V274">
        <v>1</v>
      </c>
      <c r="W274" t="s">
        <v>103</v>
      </c>
      <c r="X274" t="s">
        <v>91</v>
      </c>
      <c r="Y274" t="s">
        <v>147</v>
      </c>
      <c r="AA274" t="s">
        <v>38</v>
      </c>
      <c r="AB274">
        <v>1</v>
      </c>
      <c r="AC274">
        <v>1</v>
      </c>
      <c r="AD274">
        <v>1</v>
      </c>
      <c r="AE274" t="s">
        <v>152</v>
      </c>
      <c r="AF274" t="s">
        <v>70</v>
      </c>
      <c r="AI274">
        <v>6</v>
      </c>
      <c r="AJ274">
        <v>26</v>
      </c>
    </row>
    <row r="275" spans="1:36" x14ac:dyDescent="0.25">
      <c r="A275" t="s">
        <v>867</v>
      </c>
      <c r="B275">
        <v>273</v>
      </c>
      <c r="C275" t="s">
        <v>48</v>
      </c>
      <c r="D275">
        <v>3</v>
      </c>
      <c r="F275">
        <v>3</v>
      </c>
      <c r="G275" t="s">
        <v>89</v>
      </c>
      <c r="H275" t="s">
        <v>50</v>
      </c>
      <c r="I275" t="s">
        <v>90</v>
      </c>
      <c r="J275" t="s">
        <v>129</v>
      </c>
      <c r="K275" t="s">
        <v>33</v>
      </c>
      <c r="L275">
        <v>2</v>
      </c>
      <c r="N275">
        <v>3</v>
      </c>
      <c r="O275" t="s">
        <v>34</v>
      </c>
      <c r="S275" t="s">
        <v>43</v>
      </c>
      <c r="T275">
        <v>3</v>
      </c>
      <c r="V275">
        <v>3</v>
      </c>
      <c r="W275" t="s">
        <v>73</v>
      </c>
      <c r="X275" t="s">
        <v>99</v>
      </c>
      <c r="Y275" t="s">
        <v>100</v>
      </c>
      <c r="Z275" t="s">
        <v>101</v>
      </c>
      <c r="AA275" t="s">
        <v>45</v>
      </c>
      <c r="AB275">
        <v>2</v>
      </c>
      <c r="AD275">
        <v>1</v>
      </c>
      <c r="AE275" t="s">
        <v>140</v>
      </c>
      <c r="AI275">
        <v>18</v>
      </c>
      <c r="AJ275">
        <v>48</v>
      </c>
    </row>
    <row r="276" spans="1:36" x14ac:dyDescent="0.25">
      <c r="A276" t="s">
        <v>868</v>
      </c>
      <c r="B276">
        <v>274</v>
      </c>
      <c r="C276" t="s">
        <v>48</v>
      </c>
      <c r="D276">
        <v>1</v>
      </c>
      <c r="F276">
        <v>1</v>
      </c>
      <c r="G276" t="s">
        <v>89</v>
      </c>
      <c r="K276" t="s">
        <v>33</v>
      </c>
      <c r="L276">
        <v>2</v>
      </c>
      <c r="N276">
        <v>3</v>
      </c>
      <c r="O276" t="s">
        <v>34</v>
      </c>
      <c r="P276" t="s">
        <v>66</v>
      </c>
      <c r="S276" t="s">
        <v>43</v>
      </c>
      <c r="T276">
        <v>3</v>
      </c>
      <c r="V276">
        <v>1</v>
      </c>
      <c r="W276" t="s">
        <v>73</v>
      </c>
      <c r="X276" t="s">
        <v>136</v>
      </c>
      <c r="AA276" t="s">
        <v>63</v>
      </c>
      <c r="AB276">
        <v>2</v>
      </c>
      <c r="AD276">
        <v>1</v>
      </c>
      <c r="AE276" t="s">
        <v>72</v>
      </c>
      <c r="AF276" t="s">
        <v>91</v>
      </c>
      <c r="AI276">
        <v>9</v>
      </c>
      <c r="AJ276">
        <v>27</v>
      </c>
    </row>
    <row r="277" spans="1:36" x14ac:dyDescent="0.25">
      <c r="A277" t="s">
        <v>869</v>
      </c>
      <c r="B277">
        <v>275</v>
      </c>
      <c r="C277" t="s">
        <v>43</v>
      </c>
      <c r="D277">
        <v>2</v>
      </c>
      <c r="F277">
        <v>1</v>
      </c>
      <c r="G277" t="s">
        <v>135</v>
      </c>
      <c r="H277" t="s">
        <v>136</v>
      </c>
      <c r="K277" t="s">
        <v>38</v>
      </c>
      <c r="L277">
        <v>1</v>
      </c>
      <c r="M277">
        <v>1</v>
      </c>
      <c r="N277">
        <v>2</v>
      </c>
      <c r="O277" t="s">
        <v>67</v>
      </c>
      <c r="S277" t="s">
        <v>48</v>
      </c>
      <c r="T277">
        <v>1</v>
      </c>
      <c r="V277">
        <v>1</v>
      </c>
      <c r="W277" t="s">
        <v>89</v>
      </c>
      <c r="X277" t="s">
        <v>50</v>
      </c>
      <c r="Y277" t="s">
        <v>127</v>
      </c>
      <c r="AA277" t="s">
        <v>33</v>
      </c>
      <c r="AB277">
        <v>1</v>
      </c>
      <c r="AD277">
        <v>3</v>
      </c>
      <c r="AE277" t="s">
        <v>34</v>
      </c>
      <c r="AI277">
        <v>7</v>
      </c>
      <c r="AJ277">
        <v>21</v>
      </c>
    </row>
    <row r="278" spans="1:36" x14ac:dyDescent="0.25">
      <c r="A278" t="s">
        <v>870</v>
      </c>
      <c r="B278">
        <v>276</v>
      </c>
      <c r="C278" t="s">
        <v>48</v>
      </c>
      <c r="D278">
        <v>3</v>
      </c>
      <c r="F278">
        <v>3</v>
      </c>
      <c r="G278" t="s">
        <v>89</v>
      </c>
      <c r="H278" t="s">
        <v>71</v>
      </c>
      <c r="I278" t="s">
        <v>90</v>
      </c>
      <c r="J278" t="s">
        <v>52</v>
      </c>
      <c r="K278" t="s">
        <v>33</v>
      </c>
      <c r="L278">
        <v>1</v>
      </c>
      <c r="N278">
        <v>2</v>
      </c>
      <c r="O278" t="s">
        <v>34</v>
      </c>
      <c r="S278" t="s">
        <v>43</v>
      </c>
      <c r="T278">
        <v>3</v>
      </c>
      <c r="V278">
        <v>3</v>
      </c>
      <c r="W278" t="s">
        <v>135</v>
      </c>
      <c r="X278" t="s">
        <v>99</v>
      </c>
      <c r="Y278" t="s">
        <v>100</v>
      </c>
      <c r="Z278" t="s">
        <v>138</v>
      </c>
      <c r="AA278" t="s">
        <v>227</v>
      </c>
      <c r="AB278">
        <v>2</v>
      </c>
      <c r="AC278">
        <v>1</v>
      </c>
      <c r="AD278">
        <v>3</v>
      </c>
      <c r="AE278" t="s">
        <v>228</v>
      </c>
      <c r="AF278" t="s">
        <v>232</v>
      </c>
      <c r="AG278" t="s">
        <v>234</v>
      </c>
      <c r="AH278" t="s">
        <v>237</v>
      </c>
      <c r="AI278">
        <v>21</v>
      </c>
      <c r="AJ278">
        <v>61</v>
      </c>
    </row>
    <row r="279" spans="1:36" x14ac:dyDescent="0.25">
      <c r="A279" t="s">
        <v>871</v>
      </c>
      <c r="B279">
        <v>277</v>
      </c>
      <c r="C279" t="s">
        <v>45</v>
      </c>
      <c r="D279">
        <v>1</v>
      </c>
      <c r="F279">
        <v>1</v>
      </c>
      <c r="G279" t="s">
        <v>140</v>
      </c>
      <c r="K279" t="s">
        <v>63</v>
      </c>
      <c r="L279">
        <v>3</v>
      </c>
      <c r="N279">
        <v>1</v>
      </c>
      <c r="O279" t="s">
        <v>72</v>
      </c>
      <c r="P279" t="s">
        <v>95</v>
      </c>
      <c r="Q279" t="s">
        <v>104</v>
      </c>
      <c r="S279" t="s">
        <v>48</v>
      </c>
      <c r="T279">
        <v>1</v>
      </c>
      <c r="V279">
        <v>2</v>
      </c>
      <c r="W279" t="s">
        <v>49</v>
      </c>
      <c r="X279" t="s">
        <v>50</v>
      </c>
      <c r="Y279" t="s">
        <v>51</v>
      </c>
      <c r="AA279" t="s">
        <v>33</v>
      </c>
      <c r="AB279">
        <v>1</v>
      </c>
      <c r="AD279">
        <v>2</v>
      </c>
      <c r="AE279" t="s">
        <v>34</v>
      </c>
      <c r="AF279" t="s">
        <v>35</v>
      </c>
      <c r="AG279" t="s">
        <v>132</v>
      </c>
      <c r="AI279">
        <v>10</v>
      </c>
      <c r="AJ279">
        <v>25</v>
      </c>
    </row>
    <row r="280" spans="1:36" x14ac:dyDescent="0.25">
      <c r="A280" t="s">
        <v>872</v>
      </c>
      <c r="B280">
        <v>278</v>
      </c>
      <c r="C280" t="s">
        <v>45</v>
      </c>
      <c r="D280">
        <v>2</v>
      </c>
      <c r="F280">
        <v>1</v>
      </c>
      <c r="G280" t="s">
        <v>140</v>
      </c>
      <c r="K280" t="s">
        <v>38</v>
      </c>
      <c r="L280">
        <v>1</v>
      </c>
      <c r="M280">
        <v>1</v>
      </c>
      <c r="N280">
        <v>2</v>
      </c>
      <c r="O280" t="s">
        <v>39</v>
      </c>
      <c r="P280" t="s">
        <v>70</v>
      </c>
      <c r="S280" t="s">
        <v>48</v>
      </c>
      <c r="T280">
        <v>1</v>
      </c>
      <c r="V280">
        <v>1</v>
      </c>
      <c r="W280" t="s">
        <v>89</v>
      </c>
      <c r="X280" t="s">
        <v>50</v>
      </c>
      <c r="AA280" t="s">
        <v>33</v>
      </c>
      <c r="AB280">
        <v>1</v>
      </c>
      <c r="AD280">
        <v>2</v>
      </c>
      <c r="AE280" t="s">
        <v>46</v>
      </c>
      <c r="AI280">
        <v>5</v>
      </c>
      <c r="AJ280">
        <v>20</v>
      </c>
    </row>
    <row r="281" spans="1:36" x14ac:dyDescent="0.25">
      <c r="A281" t="s">
        <v>873</v>
      </c>
      <c r="B281">
        <v>279</v>
      </c>
      <c r="C281" t="s">
        <v>45</v>
      </c>
      <c r="D281">
        <v>3</v>
      </c>
      <c r="F281">
        <v>1</v>
      </c>
      <c r="G281" t="s">
        <v>140</v>
      </c>
      <c r="K281" t="s">
        <v>227</v>
      </c>
      <c r="L281">
        <v>1</v>
      </c>
      <c r="M281">
        <v>1</v>
      </c>
      <c r="N281">
        <v>1</v>
      </c>
      <c r="O281" t="s">
        <v>228</v>
      </c>
      <c r="S281" t="s">
        <v>48</v>
      </c>
      <c r="T281">
        <v>1</v>
      </c>
      <c r="V281">
        <v>1</v>
      </c>
      <c r="W281" t="s">
        <v>89</v>
      </c>
      <c r="X281" t="s">
        <v>71</v>
      </c>
      <c r="AA281" t="s">
        <v>33</v>
      </c>
      <c r="AB281">
        <v>2</v>
      </c>
      <c r="AD281">
        <v>2</v>
      </c>
      <c r="AE281" t="s">
        <v>46</v>
      </c>
      <c r="AI281">
        <v>5</v>
      </c>
      <c r="AJ281">
        <v>19</v>
      </c>
    </row>
    <row r="282" spans="1:36" x14ac:dyDescent="0.25">
      <c r="A282" t="s">
        <v>874</v>
      </c>
      <c r="B282">
        <v>280</v>
      </c>
      <c r="C282" t="s">
        <v>48</v>
      </c>
      <c r="D282">
        <v>1</v>
      </c>
      <c r="F282">
        <v>1</v>
      </c>
      <c r="G282" t="s">
        <v>49</v>
      </c>
      <c r="H282" t="s">
        <v>50</v>
      </c>
      <c r="I282" t="s">
        <v>51</v>
      </c>
      <c r="J282" t="s">
        <v>128</v>
      </c>
      <c r="K282" t="s">
        <v>33</v>
      </c>
      <c r="L282">
        <v>1</v>
      </c>
      <c r="N282">
        <v>3</v>
      </c>
      <c r="O282" t="s">
        <v>46</v>
      </c>
      <c r="S282" t="s">
        <v>63</v>
      </c>
      <c r="T282">
        <v>1</v>
      </c>
      <c r="V282">
        <v>1</v>
      </c>
      <c r="W282" t="s">
        <v>72</v>
      </c>
      <c r="X282" t="s">
        <v>91</v>
      </c>
      <c r="AA282" t="s">
        <v>38</v>
      </c>
      <c r="AB282">
        <v>1</v>
      </c>
      <c r="AC282">
        <v>1</v>
      </c>
      <c r="AD282">
        <v>3</v>
      </c>
      <c r="AE282" t="s">
        <v>67</v>
      </c>
      <c r="AF282" t="s">
        <v>70</v>
      </c>
      <c r="AG282" t="s">
        <v>153</v>
      </c>
      <c r="AH282" t="s">
        <v>42</v>
      </c>
      <c r="AI282">
        <v>11</v>
      </c>
      <c r="AJ282">
        <v>39</v>
      </c>
    </row>
    <row r="283" spans="1:36" x14ac:dyDescent="0.25">
      <c r="A283" t="s">
        <v>875</v>
      </c>
      <c r="B283">
        <v>281</v>
      </c>
      <c r="C283" t="s">
        <v>48</v>
      </c>
      <c r="D283">
        <v>2</v>
      </c>
      <c r="F283">
        <v>1</v>
      </c>
      <c r="G283" t="s">
        <v>49</v>
      </c>
      <c r="H283" t="s">
        <v>71</v>
      </c>
      <c r="I283" t="s">
        <v>127</v>
      </c>
      <c r="K283" t="s">
        <v>33</v>
      </c>
      <c r="L283">
        <v>1</v>
      </c>
      <c r="N283">
        <v>2</v>
      </c>
      <c r="O283" t="s">
        <v>34</v>
      </c>
      <c r="S283" t="s">
        <v>63</v>
      </c>
      <c r="T283">
        <v>2</v>
      </c>
      <c r="V283">
        <v>1</v>
      </c>
      <c r="W283" t="s">
        <v>72</v>
      </c>
      <c r="X283" t="s">
        <v>91</v>
      </c>
      <c r="AA283" t="s">
        <v>227</v>
      </c>
      <c r="AB283">
        <v>1</v>
      </c>
      <c r="AC283">
        <v>2</v>
      </c>
      <c r="AD283">
        <v>1</v>
      </c>
      <c r="AE283" t="s">
        <v>229</v>
      </c>
      <c r="AF283" t="s">
        <v>231</v>
      </c>
      <c r="AG283" t="s">
        <v>235</v>
      </c>
      <c r="AI283">
        <v>9</v>
      </c>
      <c r="AJ283">
        <v>36</v>
      </c>
    </row>
    <row r="284" spans="1:36" x14ac:dyDescent="0.25">
      <c r="A284" t="s">
        <v>876</v>
      </c>
      <c r="B284">
        <v>282</v>
      </c>
      <c r="C284" t="s">
        <v>38</v>
      </c>
      <c r="D284">
        <v>1</v>
      </c>
      <c r="E284">
        <v>1</v>
      </c>
      <c r="F284">
        <v>2</v>
      </c>
      <c r="G284" t="s">
        <v>39</v>
      </c>
      <c r="H284" t="s">
        <v>70</v>
      </c>
      <c r="I284" t="s">
        <v>41</v>
      </c>
      <c r="K284" t="s">
        <v>227</v>
      </c>
      <c r="L284">
        <v>1</v>
      </c>
      <c r="M284">
        <v>1</v>
      </c>
      <c r="N284">
        <v>3</v>
      </c>
      <c r="O284" t="s">
        <v>228</v>
      </c>
      <c r="S284" t="s">
        <v>48</v>
      </c>
      <c r="T284">
        <v>1</v>
      </c>
      <c r="V284">
        <v>1</v>
      </c>
      <c r="W284" t="s">
        <v>89</v>
      </c>
      <c r="AA284" t="s">
        <v>33</v>
      </c>
      <c r="AB284">
        <v>1</v>
      </c>
      <c r="AD284">
        <v>2</v>
      </c>
      <c r="AE284" t="s">
        <v>65</v>
      </c>
      <c r="AF284" t="s">
        <v>66</v>
      </c>
      <c r="AG284" t="s">
        <v>131</v>
      </c>
      <c r="AI284">
        <v>8</v>
      </c>
      <c r="AJ284">
        <v>27</v>
      </c>
    </row>
    <row r="285" spans="1:36" x14ac:dyDescent="0.25">
      <c r="A285" t="s">
        <v>877</v>
      </c>
      <c r="B285">
        <v>283</v>
      </c>
      <c r="C285" t="s">
        <v>33</v>
      </c>
      <c r="D285">
        <v>3</v>
      </c>
      <c r="F285">
        <v>3</v>
      </c>
      <c r="G285" t="s">
        <v>34</v>
      </c>
      <c r="K285" t="s">
        <v>45</v>
      </c>
      <c r="L285">
        <v>2</v>
      </c>
      <c r="N285">
        <v>1</v>
      </c>
      <c r="O285" t="s">
        <v>86</v>
      </c>
      <c r="S285" t="s">
        <v>48</v>
      </c>
      <c r="T285">
        <v>3</v>
      </c>
      <c r="V285">
        <v>1</v>
      </c>
      <c r="W285" t="s">
        <v>89</v>
      </c>
      <c r="AA285" t="s">
        <v>43</v>
      </c>
      <c r="AB285">
        <v>2</v>
      </c>
      <c r="AD285">
        <v>1</v>
      </c>
      <c r="AE285" t="s">
        <v>73</v>
      </c>
      <c r="AF285" t="s">
        <v>136</v>
      </c>
      <c r="AG285" t="s">
        <v>137</v>
      </c>
      <c r="AI285">
        <v>11</v>
      </c>
      <c r="AJ285">
        <v>25</v>
      </c>
    </row>
    <row r="286" spans="1:36" x14ac:dyDescent="0.25">
      <c r="A286" t="s">
        <v>878</v>
      </c>
      <c r="B286">
        <v>284</v>
      </c>
      <c r="C286" t="s">
        <v>48</v>
      </c>
      <c r="D286">
        <v>2</v>
      </c>
      <c r="F286">
        <v>1</v>
      </c>
      <c r="G286" t="s">
        <v>89</v>
      </c>
      <c r="K286" t="s">
        <v>43</v>
      </c>
      <c r="L286">
        <v>2</v>
      </c>
      <c r="N286">
        <v>1</v>
      </c>
      <c r="O286" t="s">
        <v>73</v>
      </c>
      <c r="P286" t="s">
        <v>99</v>
      </c>
      <c r="Q286" t="s">
        <v>100</v>
      </c>
      <c r="R286" t="s">
        <v>101</v>
      </c>
      <c r="S286" t="s">
        <v>33</v>
      </c>
      <c r="T286">
        <v>1</v>
      </c>
      <c r="V286">
        <v>2</v>
      </c>
      <c r="W286" t="s">
        <v>34</v>
      </c>
      <c r="AA286" t="s">
        <v>63</v>
      </c>
      <c r="AB286">
        <v>2</v>
      </c>
      <c r="AD286">
        <v>1</v>
      </c>
      <c r="AE286" t="s">
        <v>72</v>
      </c>
      <c r="AF286" t="s">
        <v>95</v>
      </c>
      <c r="AG286" t="s">
        <v>148</v>
      </c>
      <c r="AI286">
        <v>9</v>
      </c>
      <c r="AJ286">
        <v>19</v>
      </c>
    </row>
    <row r="287" spans="1:36" x14ac:dyDescent="0.25">
      <c r="A287" t="s">
        <v>879</v>
      </c>
      <c r="B287">
        <v>285</v>
      </c>
      <c r="C287" t="s">
        <v>33</v>
      </c>
      <c r="D287">
        <v>2</v>
      </c>
      <c r="F287">
        <v>3</v>
      </c>
      <c r="G287" t="s">
        <v>34</v>
      </c>
      <c r="K287" t="s">
        <v>38</v>
      </c>
      <c r="L287">
        <v>1</v>
      </c>
      <c r="M287">
        <v>1</v>
      </c>
      <c r="N287">
        <v>2</v>
      </c>
      <c r="O287" t="s">
        <v>67</v>
      </c>
      <c r="S287" t="s">
        <v>48</v>
      </c>
      <c r="T287">
        <v>3</v>
      </c>
      <c r="V287">
        <v>1</v>
      </c>
      <c r="W287" t="s">
        <v>89</v>
      </c>
      <c r="AA287" t="s">
        <v>43</v>
      </c>
      <c r="AB287">
        <v>3</v>
      </c>
      <c r="AD287">
        <v>1</v>
      </c>
      <c r="AE287" t="s">
        <v>73</v>
      </c>
      <c r="AF287" t="s">
        <v>136</v>
      </c>
      <c r="AI287">
        <v>9</v>
      </c>
      <c r="AJ287">
        <v>22</v>
      </c>
    </row>
    <row r="288" spans="1:36" x14ac:dyDescent="0.25">
      <c r="A288" t="s">
        <v>880</v>
      </c>
      <c r="B288">
        <v>286</v>
      </c>
      <c r="C288" t="s">
        <v>48</v>
      </c>
      <c r="D288">
        <v>1</v>
      </c>
      <c r="F288">
        <v>1</v>
      </c>
      <c r="G288" t="s">
        <v>89</v>
      </c>
      <c r="H288" t="s">
        <v>50</v>
      </c>
      <c r="I288" t="s">
        <v>127</v>
      </c>
      <c r="K288" t="s">
        <v>43</v>
      </c>
      <c r="L288">
        <v>1</v>
      </c>
      <c r="N288">
        <v>1</v>
      </c>
      <c r="O288" t="s">
        <v>73</v>
      </c>
      <c r="P288" t="s">
        <v>99</v>
      </c>
      <c r="Q288" t="s">
        <v>75</v>
      </c>
      <c r="S288" t="s">
        <v>33</v>
      </c>
      <c r="T288">
        <v>2</v>
      </c>
      <c r="V288">
        <v>1</v>
      </c>
      <c r="W288" t="s">
        <v>34</v>
      </c>
      <c r="AA288" t="s">
        <v>227</v>
      </c>
      <c r="AB288">
        <v>1</v>
      </c>
      <c r="AC288">
        <v>1</v>
      </c>
      <c r="AD288">
        <v>1</v>
      </c>
      <c r="AE288" t="s">
        <v>229</v>
      </c>
      <c r="AF288" t="s">
        <v>231</v>
      </c>
      <c r="AG288" t="s">
        <v>235</v>
      </c>
      <c r="AI288">
        <v>7</v>
      </c>
      <c r="AJ288">
        <v>26</v>
      </c>
    </row>
    <row r="289" spans="1:36" x14ac:dyDescent="0.25">
      <c r="A289" t="s">
        <v>881</v>
      </c>
      <c r="B289">
        <v>287</v>
      </c>
      <c r="C289" t="s">
        <v>45</v>
      </c>
      <c r="D289">
        <v>3</v>
      </c>
      <c r="F289">
        <v>1</v>
      </c>
      <c r="G289" t="s">
        <v>86</v>
      </c>
      <c r="K289" t="s">
        <v>63</v>
      </c>
      <c r="L289">
        <v>1</v>
      </c>
      <c r="N289">
        <v>1</v>
      </c>
      <c r="O289" t="s">
        <v>72</v>
      </c>
      <c r="P289" t="s">
        <v>95</v>
      </c>
      <c r="S289" t="s">
        <v>48</v>
      </c>
      <c r="T289">
        <v>1</v>
      </c>
      <c r="V289">
        <v>1</v>
      </c>
      <c r="W289" t="s">
        <v>49</v>
      </c>
      <c r="X289" t="s">
        <v>50</v>
      </c>
      <c r="AA289" t="s">
        <v>43</v>
      </c>
      <c r="AB289">
        <v>2</v>
      </c>
      <c r="AD289">
        <v>1</v>
      </c>
      <c r="AE289" t="s">
        <v>73</v>
      </c>
      <c r="AF289" t="s">
        <v>99</v>
      </c>
      <c r="AI289">
        <v>6</v>
      </c>
      <c r="AJ289">
        <v>19</v>
      </c>
    </row>
    <row r="290" spans="1:36" x14ac:dyDescent="0.25">
      <c r="A290" t="s">
        <v>882</v>
      </c>
      <c r="B290">
        <v>288</v>
      </c>
      <c r="C290" t="s">
        <v>45</v>
      </c>
      <c r="D290">
        <v>3</v>
      </c>
      <c r="F290">
        <v>1</v>
      </c>
      <c r="G290" t="s">
        <v>140</v>
      </c>
      <c r="H290" t="s">
        <v>141</v>
      </c>
      <c r="K290" t="s">
        <v>38</v>
      </c>
      <c r="L290">
        <v>1</v>
      </c>
      <c r="M290">
        <v>1</v>
      </c>
      <c r="N290">
        <v>1</v>
      </c>
      <c r="O290" t="s">
        <v>67</v>
      </c>
      <c r="P290" t="s">
        <v>40</v>
      </c>
      <c r="S290" t="s">
        <v>48</v>
      </c>
      <c r="T290">
        <v>1</v>
      </c>
      <c r="V290">
        <v>1</v>
      </c>
      <c r="W290" t="s">
        <v>89</v>
      </c>
      <c r="X290" t="s">
        <v>84</v>
      </c>
      <c r="Y290" t="s">
        <v>90</v>
      </c>
      <c r="AA290" t="s">
        <v>43</v>
      </c>
      <c r="AB290">
        <v>1</v>
      </c>
      <c r="AD290">
        <v>1</v>
      </c>
      <c r="AE290" t="s">
        <v>73</v>
      </c>
      <c r="AF290" t="s">
        <v>99</v>
      </c>
      <c r="AG290" t="s">
        <v>137</v>
      </c>
      <c r="AH290" t="s">
        <v>101</v>
      </c>
      <c r="AI290">
        <v>9</v>
      </c>
      <c r="AJ290">
        <v>27</v>
      </c>
    </row>
    <row r="291" spans="1:36" x14ac:dyDescent="0.25">
      <c r="A291" t="s">
        <v>883</v>
      </c>
      <c r="B291">
        <v>289</v>
      </c>
      <c r="C291" t="s">
        <v>45</v>
      </c>
      <c r="D291">
        <v>3</v>
      </c>
      <c r="F291">
        <v>1</v>
      </c>
      <c r="G291" t="s">
        <v>86</v>
      </c>
      <c r="K291" t="s">
        <v>227</v>
      </c>
      <c r="L291">
        <v>3</v>
      </c>
      <c r="M291">
        <v>1</v>
      </c>
      <c r="N291">
        <v>3</v>
      </c>
      <c r="O291" t="s">
        <v>229</v>
      </c>
      <c r="P291" t="s">
        <v>231</v>
      </c>
      <c r="S291" t="s">
        <v>48</v>
      </c>
      <c r="T291">
        <v>3</v>
      </c>
      <c r="V291">
        <v>2</v>
      </c>
      <c r="W291" t="s">
        <v>89</v>
      </c>
      <c r="X291" t="s">
        <v>84</v>
      </c>
      <c r="AA291" t="s">
        <v>43</v>
      </c>
      <c r="AB291">
        <v>1</v>
      </c>
      <c r="AD291">
        <v>1</v>
      </c>
      <c r="AE291" t="s">
        <v>135</v>
      </c>
      <c r="AI291">
        <v>11</v>
      </c>
      <c r="AJ291">
        <v>25</v>
      </c>
    </row>
    <row r="292" spans="1:36" x14ac:dyDescent="0.25">
      <c r="A292" t="s">
        <v>884</v>
      </c>
      <c r="B292">
        <v>290</v>
      </c>
      <c r="C292" t="s">
        <v>48</v>
      </c>
      <c r="D292">
        <v>3</v>
      </c>
      <c r="F292">
        <v>1</v>
      </c>
      <c r="G292" t="s">
        <v>49</v>
      </c>
      <c r="K292" t="s">
        <v>43</v>
      </c>
      <c r="L292">
        <v>1</v>
      </c>
      <c r="N292">
        <v>1</v>
      </c>
      <c r="O292" t="s">
        <v>73</v>
      </c>
      <c r="P292" t="s">
        <v>99</v>
      </c>
      <c r="Q292" t="s">
        <v>100</v>
      </c>
      <c r="R292" t="s">
        <v>138</v>
      </c>
      <c r="S292" t="s">
        <v>63</v>
      </c>
      <c r="T292">
        <v>2</v>
      </c>
      <c r="V292">
        <v>1</v>
      </c>
      <c r="W292" t="s">
        <v>72</v>
      </c>
      <c r="X292" t="s">
        <v>95</v>
      </c>
      <c r="Y292" t="s">
        <v>104</v>
      </c>
      <c r="AA292" t="s">
        <v>38</v>
      </c>
      <c r="AB292">
        <v>1</v>
      </c>
      <c r="AC292">
        <v>1</v>
      </c>
      <c r="AD292">
        <v>2</v>
      </c>
      <c r="AE292" t="s">
        <v>67</v>
      </c>
      <c r="AI292">
        <v>9</v>
      </c>
      <c r="AJ292">
        <v>26</v>
      </c>
    </row>
    <row r="293" spans="1:36" x14ac:dyDescent="0.25">
      <c r="A293" t="s">
        <v>885</v>
      </c>
      <c r="B293">
        <v>291</v>
      </c>
      <c r="C293" t="s">
        <v>48</v>
      </c>
      <c r="D293">
        <v>3</v>
      </c>
      <c r="F293">
        <v>2</v>
      </c>
      <c r="G293" t="s">
        <v>49</v>
      </c>
      <c r="H293" t="s">
        <v>71</v>
      </c>
      <c r="I293" t="s">
        <v>51</v>
      </c>
      <c r="K293" t="s">
        <v>43</v>
      </c>
      <c r="L293">
        <v>3</v>
      </c>
      <c r="N293">
        <v>1</v>
      </c>
      <c r="O293" t="s">
        <v>73</v>
      </c>
      <c r="P293" t="s">
        <v>99</v>
      </c>
      <c r="Q293" t="s">
        <v>75</v>
      </c>
      <c r="R293" t="s">
        <v>138</v>
      </c>
      <c r="S293" t="s">
        <v>63</v>
      </c>
      <c r="T293">
        <v>3</v>
      </c>
      <c r="V293">
        <v>1</v>
      </c>
      <c r="W293" t="s">
        <v>72</v>
      </c>
      <c r="AA293" t="s">
        <v>227</v>
      </c>
      <c r="AB293">
        <v>2</v>
      </c>
      <c r="AC293">
        <v>3</v>
      </c>
      <c r="AD293">
        <v>3</v>
      </c>
      <c r="AE293" t="s">
        <v>229</v>
      </c>
      <c r="AF293" t="s">
        <v>231</v>
      </c>
      <c r="AG293" t="s">
        <v>235</v>
      </c>
      <c r="AH293" t="s">
        <v>237</v>
      </c>
      <c r="AI293">
        <v>20</v>
      </c>
      <c r="AJ293">
        <v>43</v>
      </c>
    </row>
    <row r="294" spans="1:36" x14ac:dyDescent="0.25">
      <c r="A294" t="s">
        <v>886</v>
      </c>
      <c r="B294">
        <v>292</v>
      </c>
      <c r="C294" t="s">
        <v>48</v>
      </c>
      <c r="D294">
        <v>3</v>
      </c>
      <c r="F294">
        <v>1</v>
      </c>
      <c r="G294" t="s">
        <v>49</v>
      </c>
      <c r="H294" t="s">
        <v>71</v>
      </c>
      <c r="I294" t="s">
        <v>127</v>
      </c>
      <c r="K294" t="s">
        <v>43</v>
      </c>
      <c r="L294">
        <v>1</v>
      </c>
      <c r="N294">
        <v>1</v>
      </c>
      <c r="O294" t="s">
        <v>73</v>
      </c>
      <c r="P294" t="s">
        <v>99</v>
      </c>
      <c r="S294" t="s">
        <v>38</v>
      </c>
      <c r="T294">
        <v>2</v>
      </c>
      <c r="U294">
        <v>1</v>
      </c>
      <c r="V294">
        <v>3</v>
      </c>
      <c r="W294" t="s">
        <v>67</v>
      </c>
      <c r="AA294" t="s">
        <v>227</v>
      </c>
      <c r="AB294">
        <v>2</v>
      </c>
      <c r="AC294">
        <v>1</v>
      </c>
      <c r="AD294">
        <v>2</v>
      </c>
      <c r="AE294" t="s">
        <v>229</v>
      </c>
      <c r="AF294" t="s">
        <v>231</v>
      </c>
      <c r="AG294" t="s">
        <v>235</v>
      </c>
      <c r="AI294">
        <v>12</v>
      </c>
      <c r="AJ294">
        <v>34</v>
      </c>
    </row>
    <row r="295" spans="1:36" x14ac:dyDescent="0.25">
      <c r="A295" t="s">
        <v>887</v>
      </c>
      <c r="B295">
        <v>293</v>
      </c>
      <c r="C295" t="s">
        <v>33</v>
      </c>
      <c r="D295">
        <v>2</v>
      </c>
      <c r="F295">
        <v>2</v>
      </c>
      <c r="G295" t="s">
        <v>46</v>
      </c>
      <c r="K295" t="s">
        <v>43</v>
      </c>
      <c r="L295">
        <v>2</v>
      </c>
      <c r="N295">
        <v>1</v>
      </c>
      <c r="O295" t="s">
        <v>135</v>
      </c>
      <c r="P295" t="s">
        <v>74</v>
      </c>
      <c r="Q295" t="s">
        <v>137</v>
      </c>
      <c r="S295" t="s">
        <v>48</v>
      </c>
      <c r="T295">
        <v>3</v>
      </c>
      <c r="V295">
        <v>1</v>
      </c>
      <c r="W295" t="s">
        <v>89</v>
      </c>
      <c r="AA295" t="s">
        <v>45</v>
      </c>
      <c r="AB295">
        <v>2</v>
      </c>
      <c r="AD295">
        <v>1</v>
      </c>
      <c r="AE295" t="s">
        <v>140</v>
      </c>
      <c r="AI295">
        <v>8</v>
      </c>
      <c r="AJ295">
        <v>20</v>
      </c>
    </row>
    <row r="296" spans="1:36" x14ac:dyDescent="0.25">
      <c r="A296" t="s">
        <v>888</v>
      </c>
      <c r="B296">
        <v>294</v>
      </c>
      <c r="C296" t="s">
        <v>48</v>
      </c>
      <c r="D296">
        <v>1</v>
      </c>
      <c r="F296">
        <v>1</v>
      </c>
      <c r="G296" t="s">
        <v>89</v>
      </c>
      <c r="H296" t="s">
        <v>50</v>
      </c>
      <c r="I296" t="s">
        <v>127</v>
      </c>
      <c r="J296" t="s">
        <v>52</v>
      </c>
      <c r="K296" t="s">
        <v>45</v>
      </c>
      <c r="L296">
        <v>3</v>
      </c>
      <c r="N296">
        <v>2</v>
      </c>
      <c r="O296" t="s">
        <v>140</v>
      </c>
      <c r="S296" t="s">
        <v>33</v>
      </c>
      <c r="T296">
        <v>1</v>
      </c>
      <c r="V296">
        <v>2</v>
      </c>
      <c r="W296" t="s">
        <v>34</v>
      </c>
      <c r="AA296" t="s">
        <v>63</v>
      </c>
      <c r="AB296">
        <v>2</v>
      </c>
      <c r="AD296">
        <v>1</v>
      </c>
      <c r="AE296" t="s">
        <v>72</v>
      </c>
      <c r="AF296" t="s">
        <v>95</v>
      </c>
      <c r="AG296" t="s">
        <v>147</v>
      </c>
      <c r="AI296">
        <v>10</v>
      </c>
      <c r="AJ296">
        <v>27</v>
      </c>
    </row>
    <row r="297" spans="1:36" x14ac:dyDescent="0.25">
      <c r="A297" t="s">
        <v>889</v>
      </c>
      <c r="B297">
        <v>295</v>
      </c>
      <c r="C297" t="s">
        <v>33</v>
      </c>
      <c r="D297">
        <v>1</v>
      </c>
      <c r="F297">
        <v>3</v>
      </c>
      <c r="G297" t="s">
        <v>46</v>
      </c>
      <c r="K297" t="s">
        <v>38</v>
      </c>
      <c r="L297">
        <v>2</v>
      </c>
      <c r="M297">
        <v>1</v>
      </c>
      <c r="N297">
        <v>2</v>
      </c>
      <c r="O297" t="s">
        <v>39</v>
      </c>
      <c r="P297" t="s">
        <v>70</v>
      </c>
      <c r="S297" t="s">
        <v>48</v>
      </c>
      <c r="T297">
        <v>1</v>
      </c>
      <c r="V297">
        <v>1</v>
      </c>
      <c r="W297" t="s">
        <v>89</v>
      </c>
      <c r="X297" t="s">
        <v>84</v>
      </c>
      <c r="AA297" t="s">
        <v>45</v>
      </c>
      <c r="AB297">
        <v>3</v>
      </c>
      <c r="AD297">
        <v>1</v>
      </c>
      <c r="AE297" t="s">
        <v>140</v>
      </c>
      <c r="AI297">
        <v>8</v>
      </c>
      <c r="AJ297">
        <v>26</v>
      </c>
    </row>
    <row r="298" spans="1:36" x14ac:dyDescent="0.25">
      <c r="A298" t="s">
        <v>890</v>
      </c>
      <c r="B298">
        <v>296</v>
      </c>
      <c r="C298" t="s">
        <v>33</v>
      </c>
      <c r="D298">
        <v>2</v>
      </c>
      <c r="F298">
        <v>3</v>
      </c>
      <c r="G298" t="s">
        <v>46</v>
      </c>
      <c r="K298" t="s">
        <v>227</v>
      </c>
      <c r="L298">
        <v>2</v>
      </c>
      <c r="M298">
        <v>1</v>
      </c>
      <c r="N298">
        <v>1</v>
      </c>
      <c r="O298" t="s">
        <v>228</v>
      </c>
      <c r="S298" t="s">
        <v>48</v>
      </c>
      <c r="T298">
        <v>2</v>
      </c>
      <c r="V298">
        <v>1</v>
      </c>
      <c r="W298" t="s">
        <v>89</v>
      </c>
      <c r="AA298" t="s">
        <v>45</v>
      </c>
      <c r="AB298">
        <v>2</v>
      </c>
      <c r="AD298">
        <v>1</v>
      </c>
      <c r="AE298" t="s">
        <v>47</v>
      </c>
      <c r="AI298">
        <v>6</v>
      </c>
      <c r="AJ298">
        <v>21</v>
      </c>
    </row>
    <row r="299" spans="1:36" x14ac:dyDescent="0.25">
      <c r="A299" t="s">
        <v>891</v>
      </c>
      <c r="B299">
        <v>297</v>
      </c>
      <c r="C299" t="s">
        <v>43</v>
      </c>
      <c r="D299">
        <v>1</v>
      </c>
      <c r="F299">
        <v>1</v>
      </c>
      <c r="G299" t="s">
        <v>73</v>
      </c>
      <c r="H299" t="s">
        <v>74</v>
      </c>
      <c r="K299" t="s">
        <v>63</v>
      </c>
      <c r="L299">
        <v>2</v>
      </c>
      <c r="N299">
        <v>1</v>
      </c>
      <c r="O299" t="s">
        <v>72</v>
      </c>
      <c r="P299" t="s">
        <v>95</v>
      </c>
      <c r="S299" t="s">
        <v>48</v>
      </c>
      <c r="T299">
        <v>2</v>
      </c>
      <c r="V299">
        <v>1</v>
      </c>
      <c r="W299" t="s">
        <v>89</v>
      </c>
      <c r="AA299" t="s">
        <v>45</v>
      </c>
      <c r="AB299">
        <v>2</v>
      </c>
      <c r="AD299">
        <v>2</v>
      </c>
      <c r="AE299" t="s">
        <v>86</v>
      </c>
      <c r="AI299">
        <v>6</v>
      </c>
      <c r="AJ299">
        <v>22</v>
      </c>
    </row>
    <row r="300" spans="1:36" x14ac:dyDescent="0.25">
      <c r="A300" t="s">
        <v>892</v>
      </c>
      <c r="B300">
        <v>298</v>
      </c>
      <c r="C300" t="s">
        <v>48</v>
      </c>
      <c r="D300">
        <v>3</v>
      </c>
      <c r="F300">
        <v>1</v>
      </c>
      <c r="G300" t="s">
        <v>89</v>
      </c>
      <c r="K300" t="s">
        <v>45</v>
      </c>
      <c r="L300">
        <v>3</v>
      </c>
      <c r="N300">
        <v>1</v>
      </c>
      <c r="O300" t="s">
        <v>140</v>
      </c>
      <c r="S300" t="s">
        <v>43</v>
      </c>
      <c r="T300">
        <v>3</v>
      </c>
      <c r="V300">
        <v>1</v>
      </c>
      <c r="W300" t="s">
        <v>73</v>
      </c>
      <c r="X300" t="s">
        <v>74</v>
      </c>
      <c r="AA300" t="s">
        <v>38</v>
      </c>
      <c r="AB300">
        <v>1</v>
      </c>
      <c r="AC300">
        <v>1</v>
      </c>
      <c r="AD300">
        <v>2</v>
      </c>
      <c r="AE300" t="s">
        <v>67</v>
      </c>
      <c r="AI300">
        <v>8</v>
      </c>
      <c r="AJ300">
        <v>20</v>
      </c>
    </row>
    <row r="301" spans="1:36" x14ac:dyDescent="0.25">
      <c r="A301" t="s">
        <v>893</v>
      </c>
      <c r="B301">
        <v>299</v>
      </c>
      <c r="C301" t="s">
        <v>48</v>
      </c>
      <c r="D301">
        <v>1</v>
      </c>
      <c r="F301">
        <v>1</v>
      </c>
      <c r="G301" t="s">
        <v>89</v>
      </c>
      <c r="H301" t="s">
        <v>84</v>
      </c>
      <c r="K301" t="s">
        <v>45</v>
      </c>
      <c r="L301">
        <v>2</v>
      </c>
      <c r="N301">
        <v>1</v>
      </c>
      <c r="O301" t="s">
        <v>140</v>
      </c>
      <c r="S301" t="s">
        <v>43</v>
      </c>
      <c r="T301">
        <v>2</v>
      </c>
      <c r="V301">
        <v>1</v>
      </c>
      <c r="W301" t="s">
        <v>73</v>
      </c>
      <c r="X301" t="s">
        <v>99</v>
      </c>
      <c r="AA301" t="s">
        <v>227</v>
      </c>
      <c r="AB301">
        <v>2</v>
      </c>
      <c r="AC301">
        <v>1</v>
      </c>
      <c r="AD301">
        <v>1</v>
      </c>
      <c r="AE301" t="s">
        <v>228</v>
      </c>
      <c r="AF301" t="s">
        <v>231</v>
      </c>
      <c r="AI301">
        <v>6</v>
      </c>
      <c r="AJ301">
        <v>21</v>
      </c>
    </row>
    <row r="302" spans="1:36" x14ac:dyDescent="0.25">
      <c r="A302" t="s">
        <v>894</v>
      </c>
      <c r="B302">
        <v>300</v>
      </c>
      <c r="C302" t="s">
        <v>63</v>
      </c>
      <c r="D302">
        <v>1</v>
      </c>
      <c r="F302">
        <v>1</v>
      </c>
      <c r="G302" t="s">
        <v>72</v>
      </c>
      <c r="H302" t="s">
        <v>95</v>
      </c>
      <c r="K302" t="s">
        <v>38</v>
      </c>
      <c r="L302">
        <v>2</v>
      </c>
      <c r="M302">
        <v>1</v>
      </c>
      <c r="N302">
        <v>2</v>
      </c>
      <c r="O302" t="s">
        <v>67</v>
      </c>
      <c r="S302" t="s">
        <v>48</v>
      </c>
      <c r="T302">
        <v>3</v>
      </c>
      <c r="V302">
        <v>1</v>
      </c>
      <c r="W302" t="s">
        <v>49</v>
      </c>
      <c r="AA302" t="s">
        <v>45</v>
      </c>
      <c r="AB302">
        <v>3</v>
      </c>
      <c r="AD302">
        <v>1</v>
      </c>
      <c r="AE302" t="s">
        <v>140</v>
      </c>
      <c r="AI302">
        <v>7</v>
      </c>
      <c r="AJ302">
        <v>23</v>
      </c>
    </row>
    <row r="303" spans="1:36" x14ac:dyDescent="0.25">
      <c r="A303" t="s">
        <v>895</v>
      </c>
      <c r="B303">
        <v>301</v>
      </c>
      <c r="C303" t="s">
        <v>63</v>
      </c>
      <c r="D303">
        <v>1</v>
      </c>
      <c r="F303">
        <v>1</v>
      </c>
      <c r="G303" t="s">
        <v>72</v>
      </c>
      <c r="H303" t="s">
        <v>95</v>
      </c>
      <c r="K303" t="s">
        <v>227</v>
      </c>
      <c r="L303">
        <v>2</v>
      </c>
      <c r="M303">
        <v>1</v>
      </c>
      <c r="N303">
        <v>1</v>
      </c>
      <c r="O303" t="s">
        <v>229</v>
      </c>
      <c r="P303" t="s">
        <v>231</v>
      </c>
      <c r="S303" t="s">
        <v>48</v>
      </c>
      <c r="T303">
        <v>2</v>
      </c>
      <c r="V303">
        <v>1</v>
      </c>
      <c r="W303" t="s">
        <v>49</v>
      </c>
      <c r="AA303" t="s">
        <v>45</v>
      </c>
      <c r="AB303">
        <v>2</v>
      </c>
      <c r="AD303">
        <v>2</v>
      </c>
      <c r="AE303" t="s">
        <v>140</v>
      </c>
      <c r="AI303">
        <v>6</v>
      </c>
      <c r="AJ303">
        <v>22</v>
      </c>
    </row>
    <row r="304" spans="1:36" x14ac:dyDescent="0.25">
      <c r="A304" t="s">
        <v>896</v>
      </c>
      <c r="B304">
        <v>302</v>
      </c>
      <c r="C304" t="s">
        <v>48</v>
      </c>
      <c r="D304">
        <v>1</v>
      </c>
      <c r="F304">
        <v>1</v>
      </c>
      <c r="G304" t="s">
        <v>89</v>
      </c>
      <c r="H304" t="s">
        <v>84</v>
      </c>
      <c r="I304" t="s">
        <v>127</v>
      </c>
      <c r="J304" t="s">
        <v>128</v>
      </c>
      <c r="K304" t="s">
        <v>45</v>
      </c>
      <c r="L304">
        <v>2</v>
      </c>
      <c r="N304">
        <v>1</v>
      </c>
      <c r="O304" t="s">
        <v>86</v>
      </c>
      <c r="S304" t="s">
        <v>38</v>
      </c>
      <c r="T304">
        <v>3</v>
      </c>
      <c r="U304">
        <v>1</v>
      </c>
      <c r="V304">
        <v>2</v>
      </c>
      <c r="W304" t="s">
        <v>67</v>
      </c>
      <c r="AA304" t="s">
        <v>227</v>
      </c>
      <c r="AB304">
        <v>1</v>
      </c>
      <c r="AC304">
        <v>1</v>
      </c>
      <c r="AD304">
        <v>2</v>
      </c>
      <c r="AE304" t="s">
        <v>228</v>
      </c>
      <c r="AI304">
        <v>8</v>
      </c>
      <c r="AJ304">
        <v>25</v>
      </c>
    </row>
    <row r="305" spans="1:36" x14ac:dyDescent="0.25">
      <c r="A305" t="s">
        <v>897</v>
      </c>
      <c r="B305">
        <v>303</v>
      </c>
      <c r="C305" t="s">
        <v>48</v>
      </c>
      <c r="D305">
        <v>3</v>
      </c>
      <c r="F305">
        <v>1</v>
      </c>
      <c r="G305" t="s">
        <v>89</v>
      </c>
      <c r="K305" t="s">
        <v>63</v>
      </c>
      <c r="L305">
        <v>3</v>
      </c>
      <c r="N305">
        <v>1</v>
      </c>
      <c r="O305" t="s">
        <v>72</v>
      </c>
      <c r="P305" t="s">
        <v>146</v>
      </c>
      <c r="S305" t="s">
        <v>33</v>
      </c>
      <c r="T305">
        <v>2</v>
      </c>
      <c r="V305">
        <v>1</v>
      </c>
      <c r="W305" t="s">
        <v>46</v>
      </c>
      <c r="AA305" t="s">
        <v>43</v>
      </c>
      <c r="AB305">
        <v>2</v>
      </c>
      <c r="AD305">
        <v>1</v>
      </c>
      <c r="AE305" t="s">
        <v>73</v>
      </c>
      <c r="AF305" t="s">
        <v>74</v>
      </c>
      <c r="AG305" t="s">
        <v>75</v>
      </c>
      <c r="AH305" t="s">
        <v>101</v>
      </c>
      <c r="AI305">
        <v>10</v>
      </c>
      <c r="AJ305">
        <v>32</v>
      </c>
    </row>
    <row r="306" spans="1:36" x14ac:dyDescent="0.25">
      <c r="A306" t="s">
        <v>898</v>
      </c>
      <c r="B306">
        <v>304</v>
      </c>
      <c r="C306" t="s">
        <v>33</v>
      </c>
      <c r="D306">
        <v>2</v>
      </c>
      <c r="F306">
        <v>2</v>
      </c>
      <c r="G306" t="s">
        <v>46</v>
      </c>
      <c r="K306" t="s">
        <v>45</v>
      </c>
      <c r="L306">
        <v>2</v>
      </c>
      <c r="N306">
        <v>1</v>
      </c>
      <c r="O306" t="s">
        <v>140</v>
      </c>
      <c r="P306" t="s">
        <v>141</v>
      </c>
      <c r="S306" t="s">
        <v>48</v>
      </c>
      <c r="T306">
        <v>2</v>
      </c>
      <c r="V306">
        <v>1</v>
      </c>
      <c r="W306" t="s">
        <v>89</v>
      </c>
      <c r="AA306" t="s">
        <v>63</v>
      </c>
      <c r="AB306">
        <v>3</v>
      </c>
      <c r="AD306">
        <v>1</v>
      </c>
      <c r="AE306" t="s">
        <v>72</v>
      </c>
      <c r="AI306">
        <v>7</v>
      </c>
      <c r="AJ306">
        <v>18</v>
      </c>
    </row>
    <row r="307" spans="1:36" x14ac:dyDescent="0.25">
      <c r="A307" t="s">
        <v>899</v>
      </c>
      <c r="B307">
        <v>305</v>
      </c>
      <c r="C307" t="s">
        <v>33</v>
      </c>
      <c r="D307">
        <v>2</v>
      </c>
      <c r="F307">
        <v>3</v>
      </c>
      <c r="G307" t="s">
        <v>46</v>
      </c>
      <c r="K307" t="s">
        <v>38</v>
      </c>
      <c r="L307">
        <v>1</v>
      </c>
      <c r="M307">
        <v>2</v>
      </c>
      <c r="N307">
        <v>1</v>
      </c>
      <c r="O307" t="s">
        <v>152</v>
      </c>
      <c r="P307" t="s">
        <v>70</v>
      </c>
      <c r="S307" t="s">
        <v>48</v>
      </c>
      <c r="T307">
        <v>2</v>
      </c>
      <c r="V307">
        <v>1</v>
      </c>
      <c r="W307" t="s">
        <v>89</v>
      </c>
      <c r="AA307" t="s">
        <v>63</v>
      </c>
      <c r="AB307">
        <v>3</v>
      </c>
      <c r="AD307">
        <v>1</v>
      </c>
      <c r="AE307" t="s">
        <v>72</v>
      </c>
      <c r="AF307" t="s">
        <v>91</v>
      </c>
      <c r="AI307">
        <v>9</v>
      </c>
      <c r="AJ307">
        <v>27</v>
      </c>
    </row>
    <row r="308" spans="1:36" x14ac:dyDescent="0.25">
      <c r="A308" t="s">
        <v>900</v>
      </c>
      <c r="B308">
        <v>306</v>
      </c>
      <c r="C308" t="s">
        <v>33</v>
      </c>
      <c r="D308">
        <v>3</v>
      </c>
      <c r="F308">
        <v>3</v>
      </c>
      <c r="G308" t="s">
        <v>46</v>
      </c>
      <c r="K308" t="s">
        <v>227</v>
      </c>
      <c r="L308">
        <v>1</v>
      </c>
      <c r="M308">
        <v>3</v>
      </c>
      <c r="N308">
        <v>1</v>
      </c>
      <c r="O308" t="s">
        <v>229</v>
      </c>
      <c r="P308" t="s">
        <v>231</v>
      </c>
      <c r="Q308" t="s">
        <v>235</v>
      </c>
      <c r="S308" t="s">
        <v>48</v>
      </c>
      <c r="T308">
        <v>3</v>
      </c>
      <c r="V308">
        <v>1</v>
      </c>
      <c r="W308" t="s">
        <v>49</v>
      </c>
      <c r="X308" t="s">
        <v>50</v>
      </c>
      <c r="AA308" t="s">
        <v>63</v>
      </c>
      <c r="AB308">
        <v>2</v>
      </c>
      <c r="AD308">
        <v>1</v>
      </c>
      <c r="AE308" t="s">
        <v>72</v>
      </c>
      <c r="AI308">
        <v>12</v>
      </c>
      <c r="AJ308">
        <v>32</v>
      </c>
    </row>
    <row r="309" spans="1:36" x14ac:dyDescent="0.25">
      <c r="A309" t="s">
        <v>901</v>
      </c>
      <c r="B309">
        <v>307</v>
      </c>
      <c r="C309" t="s">
        <v>48</v>
      </c>
      <c r="D309">
        <v>3</v>
      </c>
      <c r="F309">
        <v>1</v>
      </c>
      <c r="G309" t="s">
        <v>89</v>
      </c>
      <c r="H309" t="s">
        <v>84</v>
      </c>
      <c r="I309" t="s">
        <v>90</v>
      </c>
      <c r="J309" t="s">
        <v>129</v>
      </c>
      <c r="K309" t="s">
        <v>63</v>
      </c>
      <c r="L309">
        <v>1</v>
      </c>
      <c r="N309">
        <v>1</v>
      </c>
      <c r="O309" t="s">
        <v>72</v>
      </c>
      <c r="P309" t="s">
        <v>95</v>
      </c>
      <c r="S309" t="s">
        <v>43</v>
      </c>
      <c r="T309">
        <v>2</v>
      </c>
      <c r="V309">
        <v>1</v>
      </c>
      <c r="W309" t="s">
        <v>73</v>
      </c>
      <c r="X309" t="s">
        <v>99</v>
      </c>
      <c r="Y309" t="s">
        <v>137</v>
      </c>
      <c r="Z309" t="s">
        <v>101</v>
      </c>
      <c r="AA309" t="s">
        <v>45</v>
      </c>
      <c r="AB309">
        <v>3</v>
      </c>
      <c r="AD309">
        <v>1</v>
      </c>
      <c r="AE309" t="s">
        <v>47</v>
      </c>
      <c r="AI309">
        <v>12</v>
      </c>
      <c r="AJ309">
        <v>41</v>
      </c>
    </row>
    <row r="310" spans="1:36" x14ac:dyDescent="0.25">
      <c r="A310" t="s">
        <v>902</v>
      </c>
      <c r="B310">
        <v>308</v>
      </c>
      <c r="C310" t="s">
        <v>43</v>
      </c>
      <c r="D310">
        <v>3</v>
      </c>
      <c r="F310">
        <v>1</v>
      </c>
      <c r="G310" t="s">
        <v>73</v>
      </c>
      <c r="H310" t="s">
        <v>74</v>
      </c>
      <c r="I310" t="s">
        <v>75</v>
      </c>
      <c r="K310" t="s">
        <v>38</v>
      </c>
      <c r="L310">
        <v>1</v>
      </c>
      <c r="M310">
        <v>1</v>
      </c>
      <c r="N310">
        <v>1</v>
      </c>
      <c r="O310" t="s">
        <v>152</v>
      </c>
      <c r="S310" t="s">
        <v>48</v>
      </c>
      <c r="T310">
        <v>1</v>
      </c>
      <c r="V310">
        <v>1</v>
      </c>
      <c r="W310" t="s">
        <v>89</v>
      </c>
      <c r="X310" t="s">
        <v>50</v>
      </c>
      <c r="AA310" t="s">
        <v>63</v>
      </c>
      <c r="AB310">
        <v>1</v>
      </c>
      <c r="AD310">
        <v>1</v>
      </c>
      <c r="AE310" t="s">
        <v>72</v>
      </c>
      <c r="AF310" t="s">
        <v>91</v>
      </c>
      <c r="AG310" t="s">
        <v>147</v>
      </c>
      <c r="AI310">
        <v>7</v>
      </c>
      <c r="AJ310">
        <v>21</v>
      </c>
    </row>
    <row r="311" spans="1:36" x14ac:dyDescent="0.25">
      <c r="A311" t="s">
        <v>903</v>
      </c>
      <c r="B311">
        <v>309</v>
      </c>
      <c r="C311" t="s">
        <v>43</v>
      </c>
      <c r="D311">
        <v>3</v>
      </c>
      <c r="F311">
        <v>1</v>
      </c>
      <c r="G311" t="s">
        <v>135</v>
      </c>
      <c r="H311" t="s">
        <v>74</v>
      </c>
      <c r="I311" t="s">
        <v>100</v>
      </c>
      <c r="K311" t="s">
        <v>227</v>
      </c>
      <c r="L311">
        <v>1</v>
      </c>
      <c r="M311">
        <v>1</v>
      </c>
      <c r="N311">
        <v>1</v>
      </c>
      <c r="O311" t="s">
        <v>228</v>
      </c>
      <c r="P311" t="s">
        <v>233</v>
      </c>
      <c r="S311" t="s">
        <v>48</v>
      </c>
      <c r="T311">
        <v>2</v>
      </c>
      <c r="V311">
        <v>1</v>
      </c>
      <c r="W311" t="s">
        <v>89</v>
      </c>
      <c r="X311" t="s">
        <v>84</v>
      </c>
      <c r="AA311" t="s">
        <v>63</v>
      </c>
      <c r="AB311">
        <v>1</v>
      </c>
      <c r="AD311">
        <v>1</v>
      </c>
      <c r="AE311" t="s">
        <v>72</v>
      </c>
      <c r="AF311" t="s">
        <v>95</v>
      </c>
      <c r="AI311">
        <v>8</v>
      </c>
      <c r="AJ311">
        <v>27</v>
      </c>
    </row>
    <row r="312" spans="1:36" x14ac:dyDescent="0.25">
      <c r="A312" t="s">
        <v>904</v>
      </c>
      <c r="B312">
        <v>310</v>
      </c>
      <c r="C312" t="s">
        <v>48</v>
      </c>
      <c r="D312">
        <v>2</v>
      </c>
      <c r="F312">
        <v>1</v>
      </c>
      <c r="G312" t="s">
        <v>89</v>
      </c>
      <c r="H312" t="s">
        <v>71</v>
      </c>
      <c r="I312" t="s">
        <v>51</v>
      </c>
      <c r="K312" t="s">
        <v>63</v>
      </c>
      <c r="L312">
        <v>1</v>
      </c>
      <c r="N312">
        <v>1</v>
      </c>
      <c r="O312" t="s">
        <v>72</v>
      </c>
      <c r="P312" t="s">
        <v>95</v>
      </c>
      <c r="Q312" t="s">
        <v>104</v>
      </c>
      <c r="S312" t="s">
        <v>45</v>
      </c>
      <c r="T312">
        <v>3</v>
      </c>
      <c r="V312">
        <v>1</v>
      </c>
      <c r="W312" t="s">
        <v>47</v>
      </c>
      <c r="AA312" t="s">
        <v>38</v>
      </c>
      <c r="AB312">
        <v>2</v>
      </c>
      <c r="AC312">
        <v>1</v>
      </c>
      <c r="AD312">
        <v>2</v>
      </c>
      <c r="AE312" t="s">
        <v>152</v>
      </c>
      <c r="AF312" t="s">
        <v>70</v>
      </c>
      <c r="AI312">
        <v>10</v>
      </c>
      <c r="AJ312">
        <v>27</v>
      </c>
    </row>
    <row r="313" spans="1:36" x14ac:dyDescent="0.25">
      <c r="A313" t="s">
        <v>905</v>
      </c>
      <c r="B313">
        <v>311</v>
      </c>
      <c r="C313" t="s">
        <v>48</v>
      </c>
      <c r="D313">
        <v>1</v>
      </c>
      <c r="F313">
        <v>1</v>
      </c>
      <c r="G313" t="s">
        <v>89</v>
      </c>
      <c r="H313" t="s">
        <v>50</v>
      </c>
      <c r="K313" t="s">
        <v>63</v>
      </c>
      <c r="L313">
        <v>2</v>
      </c>
      <c r="N313">
        <v>1</v>
      </c>
      <c r="O313" t="s">
        <v>72</v>
      </c>
      <c r="P313" t="s">
        <v>95</v>
      </c>
      <c r="S313" t="s">
        <v>45</v>
      </c>
      <c r="T313">
        <v>3</v>
      </c>
      <c r="V313">
        <v>1</v>
      </c>
      <c r="W313" t="s">
        <v>86</v>
      </c>
      <c r="AA313" t="s">
        <v>227</v>
      </c>
      <c r="AB313">
        <v>2</v>
      </c>
      <c r="AC313">
        <v>1</v>
      </c>
      <c r="AD313">
        <v>1</v>
      </c>
      <c r="AE313" t="s">
        <v>228</v>
      </c>
      <c r="AI313">
        <v>6</v>
      </c>
      <c r="AJ313">
        <v>16</v>
      </c>
    </row>
    <row r="314" spans="1:36" x14ac:dyDescent="0.25">
      <c r="A314" t="s">
        <v>906</v>
      </c>
      <c r="B314">
        <v>312</v>
      </c>
      <c r="C314" t="s">
        <v>48</v>
      </c>
      <c r="D314">
        <v>1</v>
      </c>
      <c r="F314">
        <v>1</v>
      </c>
      <c r="G314" t="s">
        <v>89</v>
      </c>
      <c r="H314" t="s">
        <v>71</v>
      </c>
      <c r="I314" t="s">
        <v>127</v>
      </c>
      <c r="K314" t="s">
        <v>63</v>
      </c>
      <c r="L314">
        <v>2</v>
      </c>
      <c r="N314">
        <v>1</v>
      </c>
      <c r="O314" t="s">
        <v>72</v>
      </c>
      <c r="P314" t="s">
        <v>95</v>
      </c>
      <c r="Q314" t="s">
        <v>104</v>
      </c>
      <c r="R314" t="s">
        <v>150</v>
      </c>
      <c r="S314" t="s">
        <v>38</v>
      </c>
      <c r="T314">
        <v>1</v>
      </c>
      <c r="U314">
        <v>1</v>
      </c>
      <c r="V314">
        <v>3</v>
      </c>
      <c r="W314" t="s">
        <v>152</v>
      </c>
      <c r="X314" t="s">
        <v>40</v>
      </c>
      <c r="AA314" t="s">
        <v>227</v>
      </c>
      <c r="AB314">
        <v>1</v>
      </c>
      <c r="AC314">
        <v>1</v>
      </c>
      <c r="AD314">
        <v>1</v>
      </c>
      <c r="AE314" t="s">
        <v>228</v>
      </c>
      <c r="AF314" t="s">
        <v>233</v>
      </c>
      <c r="AG314" t="s">
        <v>236</v>
      </c>
      <c r="AI314">
        <v>11</v>
      </c>
      <c r="AJ314">
        <v>39</v>
      </c>
    </row>
    <row r="315" spans="1:36" x14ac:dyDescent="0.25">
      <c r="A315" t="s">
        <v>907</v>
      </c>
      <c r="B315">
        <v>313</v>
      </c>
      <c r="C315" t="s">
        <v>48</v>
      </c>
      <c r="D315">
        <v>3</v>
      </c>
      <c r="F315">
        <v>1</v>
      </c>
      <c r="G315" t="s">
        <v>89</v>
      </c>
      <c r="K315" t="s">
        <v>38</v>
      </c>
      <c r="L315">
        <v>1</v>
      </c>
      <c r="M315">
        <v>1</v>
      </c>
      <c r="N315">
        <v>2</v>
      </c>
      <c r="O315" t="s">
        <v>67</v>
      </c>
      <c r="P315" t="s">
        <v>70</v>
      </c>
      <c r="S315" t="s">
        <v>33</v>
      </c>
      <c r="T315">
        <v>1</v>
      </c>
      <c r="V315">
        <v>2</v>
      </c>
      <c r="W315" t="s">
        <v>46</v>
      </c>
      <c r="AA315" t="s">
        <v>43</v>
      </c>
      <c r="AB315">
        <v>2</v>
      </c>
      <c r="AD315">
        <v>1</v>
      </c>
      <c r="AE315" t="s">
        <v>135</v>
      </c>
      <c r="AF315" t="s">
        <v>74</v>
      </c>
      <c r="AG315" t="s">
        <v>75</v>
      </c>
      <c r="AI315">
        <v>8</v>
      </c>
      <c r="AJ315">
        <v>18</v>
      </c>
    </row>
    <row r="316" spans="1:36" x14ac:dyDescent="0.25">
      <c r="A316" t="s">
        <v>908</v>
      </c>
      <c r="B316">
        <v>314</v>
      </c>
      <c r="C316" t="s">
        <v>48</v>
      </c>
      <c r="D316">
        <v>3</v>
      </c>
      <c r="F316">
        <v>3</v>
      </c>
      <c r="G316" t="s">
        <v>89</v>
      </c>
      <c r="K316" t="s">
        <v>38</v>
      </c>
      <c r="L316">
        <v>1</v>
      </c>
      <c r="M316">
        <v>1</v>
      </c>
      <c r="N316">
        <v>2</v>
      </c>
      <c r="O316" t="s">
        <v>67</v>
      </c>
      <c r="S316" t="s">
        <v>33</v>
      </c>
      <c r="T316">
        <v>2</v>
      </c>
      <c r="V316">
        <v>2</v>
      </c>
      <c r="W316" t="s">
        <v>65</v>
      </c>
      <c r="AA316" t="s">
        <v>45</v>
      </c>
      <c r="AB316">
        <v>3</v>
      </c>
      <c r="AD316">
        <v>1</v>
      </c>
      <c r="AE316" t="s">
        <v>140</v>
      </c>
      <c r="AI316">
        <v>9</v>
      </c>
      <c r="AJ316">
        <v>25</v>
      </c>
    </row>
    <row r="317" spans="1:36" x14ac:dyDescent="0.25">
      <c r="A317" t="s">
        <v>909</v>
      </c>
      <c r="B317">
        <v>315</v>
      </c>
      <c r="C317" t="s">
        <v>48</v>
      </c>
      <c r="D317">
        <v>3</v>
      </c>
      <c r="F317">
        <v>1</v>
      </c>
      <c r="G317" t="s">
        <v>49</v>
      </c>
      <c r="H317" t="s">
        <v>71</v>
      </c>
      <c r="I317" t="s">
        <v>127</v>
      </c>
      <c r="K317" t="s">
        <v>38</v>
      </c>
      <c r="L317">
        <v>1</v>
      </c>
      <c r="M317">
        <v>1</v>
      </c>
      <c r="N317">
        <v>2</v>
      </c>
      <c r="O317" t="s">
        <v>67</v>
      </c>
      <c r="S317" t="s">
        <v>33</v>
      </c>
      <c r="T317">
        <v>2</v>
      </c>
      <c r="V317">
        <v>2</v>
      </c>
      <c r="W317" t="s">
        <v>65</v>
      </c>
      <c r="X317" t="s">
        <v>35</v>
      </c>
      <c r="AA317" t="s">
        <v>63</v>
      </c>
      <c r="AB317">
        <v>1</v>
      </c>
      <c r="AD317">
        <v>1</v>
      </c>
      <c r="AE317" t="s">
        <v>103</v>
      </c>
      <c r="AF317" t="s">
        <v>91</v>
      </c>
      <c r="AI317">
        <v>9</v>
      </c>
      <c r="AJ317">
        <v>26</v>
      </c>
    </row>
    <row r="318" spans="1:36" x14ac:dyDescent="0.25">
      <c r="A318" t="s">
        <v>910</v>
      </c>
      <c r="B318">
        <v>316</v>
      </c>
      <c r="C318" t="s">
        <v>48</v>
      </c>
      <c r="D318">
        <v>2</v>
      </c>
      <c r="F318">
        <v>1</v>
      </c>
      <c r="G318" t="s">
        <v>89</v>
      </c>
      <c r="K318" t="s">
        <v>38</v>
      </c>
      <c r="L318">
        <v>2</v>
      </c>
      <c r="M318">
        <v>1</v>
      </c>
      <c r="N318">
        <v>1</v>
      </c>
      <c r="O318" t="s">
        <v>152</v>
      </c>
      <c r="P318" t="s">
        <v>70</v>
      </c>
      <c r="Q318" t="s">
        <v>153</v>
      </c>
      <c r="R318" t="s">
        <v>42</v>
      </c>
      <c r="S318" t="s">
        <v>33</v>
      </c>
      <c r="T318">
        <v>2</v>
      </c>
      <c r="V318">
        <v>2</v>
      </c>
      <c r="W318" t="s">
        <v>46</v>
      </c>
      <c r="AA318" t="s">
        <v>227</v>
      </c>
      <c r="AB318">
        <v>1</v>
      </c>
      <c r="AC318">
        <v>1</v>
      </c>
      <c r="AD318">
        <v>1</v>
      </c>
      <c r="AE318" t="s">
        <v>229</v>
      </c>
      <c r="AF318" t="s">
        <v>231</v>
      </c>
      <c r="AG318" t="s">
        <v>234</v>
      </c>
      <c r="AI318">
        <v>9</v>
      </c>
      <c r="AJ318">
        <v>32</v>
      </c>
    </row>
    <row r="319" spans="1:36" x14ac:dyDescent="0.25">
      <c r="A319" t="s">
        <v>911</v>
      </c>
      <c r="B319">
        <v>317</v>
      </c>
      <c r="C319" t="s">
        <v>48</v>
      </c>
      <c r="D319">
        <v>2</v>
      </c>
      <c r="F319">
        <v>1</v>
      </c>
      <c r="G319" t="s">
        <v>89</v>
      </c>
      <c r="H319" t="s">
        <v>50</v>
      </c>
      <c r="K319" t="s">
        <v>38</v>
      </c>
      <c r="L319">
        <v>1</v>
      </c>
      <c r="M319">
        <v>1</v>
      </c>
      <c r="N319">
        <v>2</v>
      </c>
      <c r="O319" t="s">
        <v>67</v>
      </c>
      <c r="P319" t="s">
        <v>70</v>
      </c>
      <c r="S319" t="s">
        <v>43</v>
      </c>
      <c r="T319">
        <v>1</v>
      </c>
      <c r="V319">
        <v>1</v>
      </c>
      <c r="W319" t="s">
        <v>73</v>
      </c>
      <c r="X319" t="s">
        <v>99</v>
      </c>
      <c r="Y319" t="s">
        <v>100</v>
      </c>
      <c r="Z319" t="s">
        <v>101</v>
      </c>
      <c r="AA319" t="s">
        <v>45</v>
      </c>
      <c r="AB319">
        <v>2</v>
      </c>
      <c r="AD319">
        <v>1</v>
      </c>
      <c r="AE319" t="s">
        <v>140</v>
      </c>
      <c r="AI319">
        <v>8</v>
      </c>
      <c r="AJ319">
        <v>26</v>
      </c>
    </row>
    <row r="320" spans="1:36" x14ac:dyDescent="0.25">
      <c r="A320" t="s">
        <v>912</v>
      </c>
      <c r="B320">
        <v>318</v>
      </c>
      <c r="C320" t="s">
        <v>48</v>
      </c>
      <c r="D320">
        <v>3</v>
      </c>
      <c r="F320">
        <v>1</v>
      </c>
      <c r="G320" t="s">
        <v>89</v>
      </c>
      <c r="K320" t="s">
        <v>38</v>
      </c>
      <c r="L320">
        <v>1</v>
      </c>
      <c r="M320">
        <v>1</v>
      </c>
      <c r="N320">
        <v>1</v>
      </c>
      <c r="O320" t="s">
        <v>67</v>
      </c>
      <c r="P320" t="s">
        <v>70</v>
      </c>
      <c r="Q320" t="s">
        <v>41</v>
      </c>
      <c r="S320" t="s">
        <v>43</v>
      </c>
      <c r="T320">
        <v>1</v>
      </c>
      <c r="V320">
        <v>1</v>
      </c>
      <c r="W320" t="s">
        <v>73</v>
      </c>
      <c r="AA320" t="s">
        <v>63</v>
      </c>
      <c r="AB320">
        <v>1</v>
      </c>
      <c r="AD320">
        <v>1</v>
      </c>
      <c r="AE320" t="s">
        <v>72</v>
      </c>
      <c r="AF320" t="s">
        <v>95</v>
      </c>
      <c r="AI320">
        <v>5</v>
      </c>
      <c r="AJ320">
        <v>23</v>
      </c>
    </row>
    <row r="321" spans="1:36" x14ac:dyDescent="0.25">
      <c r="A321" t="s">
        <v>913</v>
      </c>
      <c r="B321">
        <v>319</v>
      </c>
      <c r="C321" t="s">
        <v>48</v>
      </c>
      <c r="D321">
        <v>2</v>
      </c>
      <c r="F321">
        <v>1</v>
      </c>
      <c r="G321" t="s">
        <v>89</v>
      </c>
      <c r="H321" t="s">
        <v>71</v>
      </c>
      <c r="K321" t="s">
        <v>38</v>
      </c>
      <c r="L321">
        <v>1</v>
      </c>
      <c r="M321">
        <v>1</v>
      </c>
      <c r="N321">
        <v>1</v>
      </c>
      <c r="O321" t="s">
        <v>67</v>
      </c>
      <c r="P321" t="s">
        <v>70</v>
      </c>
      <c r="S321" t="s">
        <v>43</v>
      </c>
      <c r="T321">
        <v>1</v>
      </c>
      <c r="V321">
        <v>1</v>
      </c>
      <c r="W321" t="s">
        <v>73</v>
      </c>
      <c r="X321" t="s">
        <v>74</v>
      </c>
      <c r="Y321" t="s">
        <v>75</v>
      </c>
      <c r="AA321" t="s">
        <v>227</v>
      </c>
      <c r="AB321">
        <v>2</v>
      </c>
      <c r="AC321">
        <v>1</v>
      </c>
      <c r="AD321">
        <v>1</v>
      </c>
      <c r="AE321" t="s">
        <v>228</v>
      </c>
      <c r="AI321">
        <v>6</v>
      </c>
      <c r="AJ321">
        <v>25</v>
      </c>
    </row>
    <row r="322" spans="1:36" x14ac:dyDescent="0.25">
      <c r="A322" t="s">
        <v>914</v>
      </c>
      <c r="B322">
        <v>320</v>
      </c>
      <c r="C322" t="s">
        <v>48</v>
      </c>
      <c r="D322">
        <v>3</v>
      </c>
      <c r="F322">
        <v>3</v>
      </c>
      <c r="G322" t="s">
        <v>89</v>
      </c>
      <c r="H322" t="s">
        <v>50</v>
      </c>
      <c r="I322" t="s">
        <v>127</v>
      </c>
      <c r="J322" t="s">
        <v>129</v>
      </c>
      <c r="K322" t="s">
        <v>38</v>
      </c>
      <c r="L322">
        <v>1</v>
      </c>
      <c r="M322">
        <v>1</v>
      </c>
      <c r="N322">
        <v>1</v>
      </c>
      <c r="O322" t="s">
        <v>152</v>
      </c>
      <c r="P322" t="s">
        <v>70</v>
      </c>
      <c r="S322" t="s">
        <v>45</v>
      </c>
      <c r="T322">
        <v>3</v>
      </c>
      <c r="V322">
        <v>1</v>
      </c>
      <c r="W322" t="s">
        <v>86</v>
      </c>
      <c r="AA322" t="s">
        <v>63</v>
      </c>
      <c r="AB322">
        <v>2</v>
      </c>
      <c r="AD322">
        <v>1</v>
      </c>
      <c r="AE322" t="s">
        <v>72</v>
      </c>
      <c r="AF322" t="s">
        <v>146</v>
      </c>
      <c r="AI322">
        <v>12</v>
      </c>
      <c r="AJ322">
        <v>34</v>
      </c>
    </row>
    <row r="323" spans="1:36" x14ac:dyDescent="0.25">
      <c r="A323" t="s">
        <v>915</v>
      </c>
      <c r="B323">
        <v>321</v>
      </c>
      <c r="C323" t="s">
        <v>48</v>
      </c>
      <c r="D323">
        <v>1</v>
      </c>
      <c r="F323">
        <v>2</v>
      </c>
      <c r="G323" t="s">
        <v>89</v>
      </c>
      <c r="H323" t="s">
        <v>84</v>
      </c>
      <c r="I323" t="s">
        <v>90</v>
      </c>
      <c r="J323" t="s">
        <v>128</v>
      </c>
      <c r="K323" t="s">
        <v>38</v>
      </c>
      <c r="L323">
        <v>1</v>
      </c>
      <c r="M323">
        <v>1</v>
      </c>
      <c r="N323">
        <v>1</v>
      </c>
      <c r="O323" t="s">
        <v>67</v>
      </c>
      <c r="P323" t="s">
        <v>70</v>
      </c>
      <c r="Q323" t="s">
        <v>41</v>
      </c>
      <c r="S323" t="s">
        <v>45</v>
      </c>
      <c r="T323">
        <v>3</v>
      </c>
      <c r="V323">
        <v>2</v>
      </c>
      <c r="W323" t="s">
        <v>140</v>
      </c>
      <c r="AA323" t="s">
        <v>227</v>
      </c>
      <c r="AB323">
        <v>1</v>
      </c>
      <c r="AC323">
        <v>1</v>
      </c>
      <c r="AD323">
        <v>1</v>
      </c>
      <c r="AE323" t="s">
        <v>228</v>
      </c>
      <c r="AF323" t="s">
        <v>231</v>
      </c>
      <c r="AI323">
        <v>10</v>
      </c>
      <c r="AJ323">
        <v>34</v>
      </c>
    </row>
    <row r="324" spans="1:36" x14ac:dyDescent="0.25">
      <c r="A324" t="s">
        <v>916</v>
      </c>
      <c r="B324">
        <v>322</v>
      </c>
      <c r="C324" t="s">
        <v>48</v>
      </c>
      <c r="D324">
        <v>3</v>
      </c>
      <c r="F324">
        <v>1</v>
      </c>
      <c r="G324" t="s">
        <v>49</v>
      </c>
      <c r="K324" t="s">
        <v>38</v>
      </c>
      <c r="L324">
        <v>1</v>
      </c>
      <c r="M324">
        <v>2</v>
      </c>
      <c r="N324">
        <v>1</v>
      </c>
      <c r="O324" t="s">
        <v>152</v>
      </c>
      <c r="P324" t="s">
        <v>70</v>
      </c>
      <c r="S324" t="s">
        <v>63</v>
      </c>
      <c r="T324">
        <v>2</v>
      </c>
      <c r="V324">
        <v>1</v>
      </c>
      <c r="W324" t="s">
        <v>72</v>
      </c>
      <c r="X324" t="s">
        <v>91</v>
      </c>
      <c r="AA324" t="s">
        <v>227</v>
      </c>
      <c r="AB324">
        <v>2</v>
      </c>
      <c r="AC324">
        <v>1</v>
      </c>
      <c r="AD324">
        <v>1</v>
      </c>
      <c r="AE324" t="s">
        <v>229</v>
      </c>
      <c r="AF324" t="s">
        <v>231</v>
      </c>
      <c r="AI324">
        <v>8</v>
      </c>
      <c r="AJ324">
        <v>23</v>
      </c>
    </row>
    <row r="325" spans="1:36" x14ac:dyDescent="0.25">
      <c r="A325" t="s">
        <v>917</v>
      </c>
      <c r="B325">
        <v>323</v>
      </c>
      <c r="C325" t="s">
        <v>48</v>
      </c>
      <c r="D325">
        <v>3</v>
      </c>
      <c r="F325">
        <v>3</v>
      </c>
      <c r="G325" t="s">
        <v>89</v>
      </c>
      <c r="K325" t="s">
        <v>227</v>
      </c>
      <c r="L325">
        <v>1</v>
      </c>
      <c r="M325">
        <v>1</v>
      </c>
      <c r="N325">
        <v>1</v>
      </c>
      <c r="O325" t="s">
        <v>228</v>
      </c>
      <c r="S325" t="s">
        <v>33</v>
      </c>
      <c r="T325">
        <v>2</v>
      </c>
      <c r="V325">
        <v>2</v>
      </c>
      <c r="W325" t="s">
        <v>46</v>
      </c>
      <c r="AA325" t="s">
        <v>43</v>
      </c>
      <c r="AB325">
        <v>1</v>
      </c>
      <c r="AD325">
        <v>3</v>
      </c>
      <c r="AE325" t="s">
        <v>73</v>
      </c>
      <c r="AF325" t="s">
        <v>136</v>
      </c>
      <c r="AI325">
        <v>9</v>
      </c>
      <c r="AJ325">
        <v>25</v>
      </c>
    </row>
    <row r="326" spans="1:36" x14ac:dyDescent="0.25">
      <c r="A326" t="s">
        <v>918</v>
      </c>
      <c r="B326">
        <v>324</v>
      </c>
      <c r="C326" t="s">
        <v>33</v>
      </c>
      <c r="D326">
        <v>1</v>
      </c>
      <c r="F326">
        <v>3</v>
      </c>
      <c r="G326" t="s">
        <v>34</v>
      </c>
      <c r="K326" t="s">
        <v>45</v>
      </c>
      <c r="L326">
        <v>3</v>
      </c>
      <c r="N326">
        <v>1</v>
      </c>
      <c r="O326" t="s">
        <v>140</v>
      </c>
      <c r="S326" t="s">
        <v>48</v>
      </c>
      <c r="T326">
        <v>3</v>
      </c>
      <c r="V326">
        <v>1</v>
      </c>
      <c r="W326" t="s">
        <v>89</v>
      </c>
      <c r="X326" t="s">
        <v>84</v>
      </c>
      <c r="Y326" t="s">
        <v>90</v>
      </c>
      <c r="AA326" t="s">
        <v>227</v>
      </c>
      <c r="AB326">
        <v>2</v>
      </c>
      <c r="AC326">
        <v>1</v>
      </c>
      <c r="AD326">
        <v>1</v>
      </c>
      <c r="AE326" t="s">
        <v>228</v>
      </c>
      <c r="AI326">
        <v>9</v>
      </c>
      <c r="AJ326">
        <v>24</v>
      </c>
    </row>
    <row r="327" spans="1:36" x14ac:dyDescent="0.25">
      <c r="A327" t="s">
        <v>919</v>
      </c>
      <c r="B327">
        <v>325</v>
      </c>
      <c r="C327" t="s">
        <v>48</v>
      </c>
      <c r="D327">
        <v>3</v>
      </c>
      <c r="F327">
        <v>2</v>
      </c>
      <c r="G327" t="s">
        <v>89</v>
      </c>
      <c r="H327" t="s">
        <v>71</v>
      </c>
      <c r="I327" t="s">
        <v>51</v>
      </c>
      <c r="K327" t="s">
        <v>227</v>
      </c>
      <c r="L327">
        <v>1</v>
      </c>
      <c r="M327">
        <v>1</v>
      </c>
      <c r="N327">
        <v>1</v>
      </c>
      <c r="O327" t="s">
        <v>228</v>
      </c>
      <c r="P327" t="s">
        <v>233</v>
      </c>
      <c r="S327" t="s">
        <v>33</v>
      </c>
      <c r="T327">
        <v>2</v>
      </c>
      <c r="V327">
        <v>2</v>
      </c>
      <c r="W327" t="s">
        <v>46</v>
      </c>
      <c r="AA327" t="s">
        <v>63</v>
      </c>
      <c r="AB327">
        <v>1</v>
      </c>
      <c r="AD327">
        <v>1</v>
      </c>
      <c r="AE327" t="s">
        <v>103</v>
      </c>
      <c r="AF327" t="s">
        <v>91</v>
      </c>
      <c r="AG327" t="s">
        <v>147</v>
      </c>
      <c r="AI327">
        <v>10</v>
      </c>
      <c r="AJ327">
        <v>37</v>
      </c>
    </row>
    <row r="328" spans="1:36" x14ac:dyDescent="0.25">
      <c r="A328" t="s">
        <v>920</v>
      </c>
      <c r="B328">
        <v>326</v>
      </c>
      <c r="C328" t="s">
        <v>33</v>
      </c>
      <c r="D328">
        <v>1</v>
      </c>
      <c r="F328">
        <v>2</v>
      </c>
      <c r="G328" t="s">
        <v>46</v>
      </c>
      <c r="K328" t="s">
        <v>38</v>
      </c>
      <c r="L328">
        <v>1</v>
      </c>
      <c r="M328">
        <v>1</v>
      </c>
      <c r="N328">
        <v>1</v>
      </c>
      <c r="O328" t="s">
        <v>152</v>
      </c>
      <c r="P328" t="s">
        <v>70</v>
      </c>
      <c r="S328" t="s">
        <v>48</v>
      </c>
      <c r="T328">
        <v>2</v>
      </c>
      <c r="V328">
        <v>1</v>
      </c>
      <c r="W328" t="s">
        <v>89</v>
      </c>
      <c r="AA328" t="s">
        <v>227</v>
      </c>
      <c r="AB328">
        <v>2</v>
      </c>
      <c r="AC328">
        <v>1</v>
      </c>
      <c r="AD328">
        <v>2</v>
      </c>
      <c r="AE328" t="s">
        <v>228</v>
      </c>
      <c r="AI328">
        <v>5</v>
      </c>
      <c r="AJ328">
        <v>34</v>
      </c>
    </row>
    <row r="329" spans="1:36" x14ac:dyDescent="0.25">
      <c r="A329" t="s">
        <v>921</v>
      </c>
      <c r="B329">
        <v>327</v>
      </c>
      <c r="C329" t="s">
        <v>48</v>
      </c>
      <c r="D329">
        <v>3</v>
      </c>
      <c r="F329">
        <v>2</v>
      </c>
      <c r="G329" t="s">
        <v>89</v>
      </c>
      <c r="H329" t="s">
        <v>50</v>
      </c>
      <c r="I329" t="s">
        <v>90</v>
      </c>
      <c r="J329" t="s">
        <v>129</v>
      </c>
      <c r="K329" t="s">
        <v>227</v>
      </c>
      <c r="L329">
        <v>1</v>
      </c>
      <c r="M329">
        <v>1</v>
      </c>
      <c r="N329">
        <v>1</v>
      </c>
      <c r="O329" t="s">
        <v>228</v>
      </c>
      <c r="P329" t="s">
        <v>233</v>
      </c>
      <c r="Q329" t="s">
        <v>234</v>
      </c>
      <c r="S329" t="s">
        <v>43</v>
      </c>
      <c r="T329">
        <v>2</v>
      </c>
      <c r="V329">
        <v>1</v>
      </c>
      <c r="W329" t="s">
        <v>73</v>
      </c>
      <c r="X329" t="s">
        <v>99</v>
      </c>
      <c r="Y329" t="s">
        <v>100</v>
      </c>
      <c r="Z329" t="s">
        <v>101</v>
      </c>
      <c r="AA329" t="s">
        <v>45</v>
      </c>
      <c r="AB329">
        <v>3</v>
      </c>
      <c r="AD329">
        <v>1</v>
      </c>
      <c r="AE329" t="s">
        <v>47</v>
      </c>
      <c r="AI329">
        <v>14</v>
      </c>
      <c r="AJ329">
        <v>45</v>
      </c>
    </row>
    <row r="330" spans="1:36" x14ac:dyDescent="0.25">
      <c r="A330" t="s">
        <v>922</v>
      </c>
      <c r="B330">
        <v>328</v>
      </c>
      <c r="C330" t="s">
        <v>48</v>
      </c>
      <c r="D330">
        <v>1</v>
      </c>
      <c r="F330">
        <v>2</v>
      </c>
      <c r="G330" t="s">
        <v>89</v>
      </c>
      <c r="H330" t="s">
        <v>50</v>
      </c>
      <c r="I330" t="s">
        <v>51</v>
      </c>
      <c r="J330" t="s">
        <v>129</v>
      </c>
      <c r="K330" t="s">
        <v>227</v>
      </c>
      <c r="L330">
        <v>1</v>
      </c>
      <c r="M330">
        <v>1</v>
      </c>
      <c r="N330">
        <v>1</v>
      </c>
      <c r="O330" t="s">
        <v>228</v>
      </c>
      <c r="P330" t="s">
        <v>233</v>
      </c>
      <c r="Q330" t="s">
        <v>236</v>
      </c>
      <c r="S330" t="s">
        <v>43</v>
      </c>
      <c r="T330">
        <v>1</v>
      </c>
      <c r="V330">
        <v>1</v>
      </c>
      <c r="W330" t="s">
        <v>73</v>
      </c>
      <c r="X330" t="s">
        <v>99</v>
      </c>
      <c r="Y330" t="s">
        <v>75</v>
      </c>
      <c r="AA330" t="s">
        <v>63</v>
      </c>
      <c r="AB330">
        <v>2</v>
      </c>
      <c r="AD330">
        <v>1</v>
      </c>
      <c r="AE330" t="s">
        <v>72</v>
      </c>
      <c r="AF330" t="s">
        <v>95</v>
      </c>
      <c r="AG330" t="s">
        <v>147</v>
      </c>
      <c r="AI330">
        <v>11</v>
      </c>
      <c r="AJ330">
        <v>35</v>
      </c>
    </row>
    <row r="331" spans="1:36" x14ac:dyDescent="0.25">
      <c r="A331" t="s">
        <v>923</v>
      </c>
      <c r="B331">
        <v>329</v>
      </c>
      <c r="C331" t="s">
        <v>43</v>
      </c>
      <c r="D331">
        <v>1</v>
      </c>
      <c r="F331">
        <v>1</v>
      </c>
      <c r="G331" t="s">
        <v>73</v>
      </c>
      <c r="H331" t="s">
        <v>74</v>
      </c>
      <c r="I331" t="s">
        <v>137</v>
      </c>
      <c r="K331" t="s">
        <v>38</v>
      </c>
      <c r="L331">
        <v>1</v>
      </c>
      <c r="M331">
        <v>1</v>
      </c>
      <c r="N331">
        <v>1</v>
      </c>
      <c r="O331" t="s">
        <v>152</v>
      </c>
      <c r="P331" t="s">
        <v>70</v>
      </c>
      <c r="Q331" t="s">
        <v>41</v>
      </c>
      <c r="S331" t="s">
        <v>48</v>
      </c>
      <c r="T331">
        <v>2</v>
      </c>
      <c r="V331">
        <v>1</v>
      </c>
      <c r="W331" t="s">
        <v>89</v>
      </c>
      <c r="AA331" t="s">
        <v>227</v>
      </c>
      <c r="AB331">
        <v>1</v>
      </c>
      <c r="AC331">
        <v>1</v>
      </c>
      <c r="AD331">
        <v>1</v>
      </c>
      <c r="AE331" t="s">
        <v>228</v>
      </c>
      <c r="AI331">
        <v>5</v>
      </c>
      <c r="AJ331">
        <v>19</v>
      </c>
    </row>
    <row r="332" spans="1:36" x14ac:dyDescent="0.25">
      <c r="A332" t="s">
        <v>924</v>
      </c>
      <c r="B332">
        <v>330</v>
      </c>
      <c r="C332" t="s">
        <v>48</v>
      </c>
      <c r="D332">
        <v>3</v>
      </c>
      <c r="F332">
        <v>1</v>
      </c>
      <c r="G332" t="s">
        <v>49</v>
      </c>
      <c r="K332" t="s">
        <v>227</v>
      </c>
      <c r="L332">
        <v>2</v>
      </c>
      <c r="M332">
        <v>1</v>
      </c>
      <c r="N332">
        <v>3</v>
      </c>
      <c r="O332" t="s">
        <v>228</v>
      </c>
      <c r="P332" t="s">
        <v>231</v>
      </c>
      <c r="S332" t="s">
        <v>45</v>
      </c>
      <c r="T332">
        <v>2</v>
      </c>
      <c r="V332">
        <v>1</v>
      </c>
      <c r="W332" t="s">
        <v>86</v>
      </c>
      <c r="AA332" t="s">
        <v>63</v>
      </c>
      <c r="AB332">
        <v>2</v>
      </c>
      <c r="AD332">
        <v>1</v>
      </c>
      <c r="AE332" t="s">
        <v>72</v>
      </c>
      <c r="AF332" t="s">
        <v>95</v>
      </c>
      <c r="AI332">
        <v>9</v>
      </c>
      <c r="AJ332">
        <v>24</v>
      </c>
    </row>
    <row r="333" spans="1:36" x14ac:dyDescent="0.25">
      <c r="A333" t="s">
        <v>925</v>
      </c>
      <c r="B333">
        <v>331</v>
      </c>
      <c r="C333" t="s">
        <v>45</v>
      </c>
      <c r="D333">
        <v>2</v>
      </c>
      <c r="F333">
        <v>1</v>
      </c>
      <c r="G333" t="s">
        <v>140</v>
      </c>
      <c r="K333" t="s">
        <v>38</v>
      </c>
      <c r="L333">
        <v>1</v>
      </c>
      <c r="M333">
        <v>1</v>
      </c>
      <c r="N333">
        <v>1</v>
      </c>
      <c r="O333" t="s">
        <v>152</v>
      </c>
      <c r="P333" t="s">
        <v>70</v>
      </c>
      <c r="Q333" t="s">
        <v>41</v>
      </c>
      <c r="S333" t="s">
        <v>48</v>
      </c>
      <c r="T333">
        <v>1</v>
      </c>
      <c r="V333">
        <v>1</v>
      </c>
      <c r="W333" t="s">
        <v>49</v>
      </c>
      <c r="X333" t="s">
        <v>50</v>
      </c>
      <c r="AA333" t="s">
        <v>227</v>
      </c>
      <c r="AB333">
        <v>1</v>
      </c>
      <c r="AC333">
        <v>1</v>
      </c>
      <c r="AD333">
        <v>1</v>
      </c>
      <c r="AE333" t="s">
        <v>228</v>
      </c>
      <c r="AF333" t="s">
        <v>231</v>
      </c>
      <c r="AI333">
        <v>5</v>
      </c>
      <c r="AJ333">
        <v>18</v>
      </c>
    </row>
    <row r="334" spans="1:36" x14ac:dyDescent="0.25">
      <c r="A334" t="s">
        <v>926</v>
      </c>
      <c r="B334">
        <v>332</v>
      </c>
      <c r="C334" t="s">
        <v>63</v>
      </c>
      <c r="D334">
        <v>2</v>
      </c>
      <c r="F334">
        <v>1</v>
      </c>
      <c r="G334" t="s">
        <v>72</v>
      </c>
      <c r="H334" t="s">
        <v>95</v>
      </c>
      <c r="K334" t="s">
        <v>38</v>
      </c>
      <c r="L334">
        <v>1</v>
      </c>
      <c r="M334">
        <v>1</v>
      </c>
      <c r="N334">
        <v>1</v>
      </c>
      <c r="O334" t="s">
        <v>152</v>
      </c>
      <c r="P334" t="s">
        <v>70</v>
      </c>
      <c r="S334" t="s">
        <v>48</v>
      </c>
      <c r="T334">
        <v>3</v>
      </c>
      <c r="V334">
        <v>1</v>
      </c>
      <c r="W334" t="s">
        <v>49</v>
      </c>
      <c r="AA334" t="s">
        <v>227</v>
      </c>
      <c r="AB334">
        <v>1</v>
      </c>
      <c r="AC334">
        <v>1</v>
      </c>
      <c r="AD334">
        <v>1</v>
      </c>
      <c r="AE334" t="s">
        <v>228</v>
      </c>
      <c r="AI334">
        <v>5</v>
      </c>
      <c r="AJ334">
        <v>19</v>
      </c>
    </row>
    <row r="335" spans="1:36" x14ac:dyDescent="0.25">
      <c r="A335" t="s">
        <v>927</v>
      </c>
      <c r="B335">
        <v>333</v>
      </c>
      <c r="C335" t="s">
        <v>33</v>
      </c>
      <c r="D335">
        <v>1</v>
      </c>
      <c r="F335">
        <v>3</v>
      </c>
      <c r="G335" t="s">
        <v>34</v>
      </c>
      <c r="K335" t="s">
        <v>43</v>
      </c>
      <c r="L335">
        <v>2</v>
      </c>
      <c r="N335">
        <v>1</v>
      </c>
      <c r="O335" t="s">
        <v>135</v>
      </c>
      <c r="P335" t="s">
        <v>99</v>
      </c>
      <c r="Q335" t="s">
        <v>75</v>
      </c>
      <c r="S335" t="s">
        <v>45</v>
      </c>
      <c r="T335">
        <v>3</v>
      </c>
      <c r="V335">
        <v>1</v>
      </c>
      <c r="W335" t="s">
        <v>140</v>
      </c>
      <c r="AA335" t="s">
        <v>63</v>
      </c>
      <c r="AB335">
        <v>2</v>
      </c>
      <c r="AD335">
        <v>1</v>
      </c>
      <c r="AE335" t="s">
        <v>72</v>
      </c>
      <c r="AF335" t="s">
        <v>95</v>
      </c>
      <c r="AG335" t="s">
        <v>104</v>
      </c>
      <c r="AI335">
        <v>11</v>
      </c>
      <c r="AJ335">
        <v>25</v>
      </c>
    </row>
    <row r="336" spans="1:36" x14ac:dyDescent="0.25">
      <c r="A336" t="s">
        <v>928</v>
      </c>
      <c r="B336">
        <v>334</v>
      </c>
      <c r="C336" t="s">
        <v>45</v>
      </c>
      <c r="D336">
        <v>2</v>
      </c>
      <c r="F336">
        <v>1</v>
      </c>
      <c r="G336" t="s">
        <v>140</v>
      </c>
      <c r="K336" t="s">
        <v>38</v>
      </c>
      <c r="L336">
        <v>1</v>
      </c>
      <c r="M336">
        <v>1</v>
      </c>
      <c r="N336">
        <v>2</v>
      </c>
      <c r="O336" t="s">
        <v>39</v>
      </c>
      <c r="P336" t="s">
        <v>70</v>
      </c>
      <c r="S336" t="s">
        <v>33</v>
      </c>
      <c r="T336">
        <v>1</v>
      </c>
      <c r="V336">
        <v>1</v>
      </c>
      <c r="W336" t="s">
        <v>46</v>
      </c>
      <c r="AA336" t="s">
        <v>43</v>
      </c>
      <c r="AB336">
        <v>3</v>
      </c>
      <c r="AD336">
        <v>1</v>
      </c>
      <c r="AE336" t="s">
        <v>44</v>
      </c>
      <c r="AI336">
        <v>5</v>
      </c>
      <c r="AJ336">
        <v>19</v>
      </c>
    </row>
    <row r="337" spans="1:36" x14ac:dyDescent="0.25">
      <c r="A337" t="s">
        <v>929</v>
      </c>
      <c r="B337">
        <v>335</v>
      </c>
      <c r="C337" t="s">
        <v>45</v>
      </c>
      <c r="D337">
        <v>3</v>
      </c>
      <c r="F337">
        <v>1</v>
      </c>
      <c r="G337" t="s">
        <v>140</v>
      </c>
      <c r="K337" t="s">
        <v>227</v>
      </c>
      <c r="L337">
        <v>1</v>
      </c>
      <c r="M337">
        <v>1</v>
      </c>
      <c r="N337">
        <v>1</v>
      </c>
      <c r="O337" t="s">
        <v>228</v>
      </c>
      <c r="S337" t="s">
        <v>33</v>
      </c>
      <c r="T337">
        <v>1</v>
      </c>
      <c r="V337">
        <v>2</v>
      </c>
      <c r="W337" t="s">
        <v>34</v>
      </c>
      <c r="AA337" t="s">
        <v>43</v>
      </c>
      <c r="AB337">
        <v>2</v>
      </c>
      <c r="AD337">
        <v>1</v>
      </c>
      <c r="AE337" t="s">
        <v>73</v>
      </c>
      <c r="AF337" t="s">
        <v>99</v>
      </c>
      <c r="AI337">
        <v>5</v>
      </c>
      <c r="AJ337">
        <v>16</v>
      </c>
    </row>
    <row r="338" spans="1:36" x14ac:dyDescent="0.25">
      <c r="A338" t="s">
        <v>930</v>
      </c>
      <c r="B338">
        <v>336</v>
      </c>
      <c r="C338" t="s">
        <v>33</v>
      </c>
      <c r="D338">
        <v>1</v>
      </c>
      <c r="F338">
        <v>3</v>
      </c>
      <c r="G338" t="s">
        <v>46</v>
      </c>
      <c r="H338" t="s">
        <v>66</v>
      </c>
      <c r="I338" t="s">
        <v>132</v>
      </c>
      <c r="K338" t="s">
        <v>43</v>
      </c>
      <c r="L338">
        <v>1</v>
      </c>
      <c r="N338">
        <v>1</v>
      </c>
      <c r="O338" t="s">
        <v>135</v>
      </c>
      <c r="P338" t="s">
        <v>74</v>
      </c>
      <c r="S338" t="s">
        <v>63</v>
      </c>
      <c r="T338">
        <v>2</v>
      </c>
      <c r="V338">
        <v>1</v>
      </c>
      <c r="W338" t="s">
        <v>72</v>
      </c>
      <c r="X338" t="s">
        <v>95</v>
      </c>
      <c r="Y338" t="s">
        <v>104</v>
      </c>
      <c r="AA338" t="s">
        <v>38</v>
      </c>
      <c r="AB338">
        <v>1</v>
      </c>
      <c r="AC338">
        <v>1</v>
      </c>
      <c r="AD338">
        <v>2</v>
      </c>
      <c r="AE338" t="s">
        <v>39</v>
      </c>
      <c r="AI338">
        <v>10</v>
      </c>
      <c r="AJ338">
        <v>27</v>
      </c>
    </row>
    <row r="339" spans="1:36" x14ac:dyDescent="0.25">
      <c r="A339" t="s">
        <v>931</v>
      </c>
      <c r="B339">
        <v>337</v>
      </c>
      <c r="C339" t="s">
        <v>33</v>
      </c>
      <c r="D339">
        <v>1</v>
      </c>
      <c r="F339">
        <v>2</v>
      </c>
      <c r="G339" t="s">
        <v>34</v>
      </c>
      <c r="K339" t="s">
        <v>43</v>
      </c>
      <c r="L339">
        <v>2</v>
      </c>
      <c r="N339">
        <v>1</v>
      </c>
      <c r="O339" t="s">
        <v>73</v>
      </c>
      <c r="P339" t="s">
        <v>74</v>
      </c>
      <c r="S339" t="s">
        <v>63</v>
      </c>
      <c r="T339">
        <v>3</v>
      </c>
      <c r="V339">
        <v>1</v>
      </c>
      <c r="W339" t="s">
        <v>72</v>
      </c>
      <c r="AA339" t="s">
        <v>227</v>
      </c>
      <c r="AB339">
        <v>1</v>
      </c>
      <c r="AC339">
        <v>2</v>
      </c>
      <c r="AD339">
        <v>1</v>
      </c>
      <c r="AE339" t="s">
        <v>228</v>
      </c>
      <c r="AI339">
        <v>6</v>
      </c>
      <c r="AJ339">
        <v>21</v>
      </c>
    </row>
    <row r="340" spans="1:36" x14ac:dyDescent="0.25">
      <c r="A340" t="s">
        <v>932</v>
      </c>
      <c r="B340">
        <v>338</v>
      </c>
      <c r="C340" t="s">
        <v>38</v>
      </c>
      <c r="D340">
        <v>1</v>
      </c>
      <c r="E340">
        <v>2</v>
      </c>
      <c r="F340">
        <v>3</v>
      </c>
      <c r="G340" t="s">
        <v>39</v>
      </c>
      <c r="H340" t="s">
        <v>70</v>
      </c>
      <c r="I340" t="s">
        <v>153</v>
      </c>
      <c r="J340" t="s">
        <v>42</v>
      </c>
      <c r="K340" t="s">
        <v>227</v>
      </c>
      <c r="L340">
        <v>1</v>
      </c>
      <c r="M340">
        <v>1</v>
      </c>
      <c r="N340">
        <v>1</v>
      </c>
      <c r="O340" t="s">
        <v>228</v>
      </c>
      <c r="S340" t="s">
        <v>33</v>
      </c>
      <c r="T340">
        <v>1</v>
      </c>
      <c r="V340">
        <v>3</v>
      </c>
      <c r="W340" t="s">
        <v>46</v>
      </c>
      <c r="X340" t="s">
        <v>66</v>
      </c>
      <c r="AA340" t="s">
        <v>43</v>
      </c>
      <c r="AB340">
        <v>3</v>
      </c>
      <c r="AD340">
        <v>1</v>
      </c>
      <c r="AE340" t="s">
        <v>73</v>
      </c>
      <c r="AF340" t="s">
        <v>99</v>
      </c>
      <c r="AI340">
        <v>12</v>
      </c>
      <c r="AJ340">
        <v>35</v>
      </c>
    </row>
    <row r="341" spans="1:36" x14ac:dyDescent="0.25">
      <c r="A341" t="s">
        <v>933</v>
      </c>
      <c r="B341">
        <v>339</v>
      </c>
      <c r="C341" t="s">
        <v>33</v>
      </c>
      <c r="D341">
        <v>1</v>
      </c>
      <c r="F341">
        <v>2</v>
      </c>
      <c r="G341" t="s">
        <v>34</v>
      </c>
      <c r="K341" t="s">
        <v>45</v>
      </c>
      <c r="L341">
        <v>3</v>
      </c>
      <c r="N341">
        <v>1</v>
      </c>
      <c r="O341" t="s">
        <v>140</v>
      </c>
      <c r="S341" t="s">
        <v>43</v>
      </c>
      <c r="T341">
        <v>1</v>
      </c>
      <c r="V341">
        <v>2</v>
      </c>
      <c r="W341" t="s">
        <v>73</v>
      </c>
      <c r="X341" t="s">
        <v>136</v>
      </c>
      <c r="Y341" t="s">
        <v>137</v>
      </c>
      <c r="Z341" t="s">
        <v>101</v>
      </c>
      <c r="AA341" t="s">
        <v>63</v>
      </c>
      <c r="AB341">
        <v>1</v>
      </c>
      <c r="AD341">
        <v>1</v>
      </c>
      <c r="AE341" t="s">
        <v>72</v>
      </c>
      <c r="AI341">
        <v>7</v>
      </c>
      <c r="AJ341">
        <v>21</v>
      </c>
    </row>
    <row r="342" spans="1:36" x14ac:dyDescent="0.25">
      <c r="A342" t="s">
        <v>934</v>
      </c>
      <c r="B342">
        <v>340</v>
      </c>
      <c r="C342" t="s">
        <v>43</v>
      </c>
      <c r="D342">
        <v>2</v>
      </c>
      <c r="F342">
        <v>1</v>
      </c>
      <c r="G342" t="s">
        <v>135</v>
      </c>
      <c r="K342" t="s">
        <v>38</v>
      </c>
      <c r="L342">
        <v>3</v>
      </c>
      <c r="M342">
        <v>1</v>
      </c>
      <c r="N342">
        <v>2</v>
      </c>
      <c r="O342" t="s">
        <v>39</v>
      </c>
      <c r="P342" t="s">
        <v>96</v>
      </c>
      <c r="Q342" t="s">
        <v>153</v>
      </c>
      <c r="S342" t="s">
        <v>33</v>
      </c>
      <c r="T342">
        <v>1</v>
      </c>
      <c r="V342">
        <v>1</v>
      </c>
      <c r="W342" t="s">
        <v>34</v>
      </c>
      <c r="AA342" t="s">
        <v>45</v>
      </c>
      <c r="AB342">
        <v>3</v>
      </c>
      <c r="AD342">
        <v>3</v>
      </c>
      <c r="AE342" t="s">
        <v>140</v>
      </c>
      <c r="AI342">
        <v>10</v>
      </c>
      <c r="AJ342">
        <v>27</v>
      </c>
    </row>
    <row r="343" spans="1:36" x14ac:dyDescent="0.25">
      <c r="A343" t="s">
        <v>935</v>
      </c>
      <c r="B343">
        <v>341</v>
      </c>
      <c r="C343" t="s">
        <v>33</v>
      </c>
      <c r="D343">
        <v>1</v>
      </c>
      <c r="F343">
        <v>3</v>
      </c>
      <c r="G343" t="s">
        <v>34</v>
      </c>
      <c r="K343" t="s">
        <v>45</v>
      </c>
      <c r="L343">
        <v>2</v>
      </c>
      <c r="N343">
        <v>1</v>
      </c>
      <c r="O343" t="s">
        <v>140</v>
      </c>
      <c r="S343" t="s">
        <v>43</v>
      </c>
      <c r="T343">
        <v>1</v>
      </c>
      <c r="V343">
        <v>1</v>
      </c>
      <c r="W343" t="s">
        <v>135</v>
      </c>
      <c r="AA343" t="s">
        <v>227</v>
      </c>
      <c r="AB343">
        <v>2</v>
      </c>
      <c r="AC343">
        <v>1</v>
      </c>
      <c r="AD343">
        <v>2</v>
      </c>
      <c r="AE343" t="s">
        <v>228</v>
      </c>
      <c r="AI343">
        <v>5</v>
      </c>
      <c r="AJ343">
        <v>16</v>
      </c>
    </row>
    <row r="344" spans="1:36" x14ac:dyDescent="0.25">
      <c r="A344" t="s">
        <v>936</v>
      </c>
      <c r="B344">
        <v>342</v>
      </c>
      <c r="C344" t="s">
        <v>63</v>
      </c>
      <c r="D344">
        <v>2</v>
      </c>
      <c r="F344">
        <v>1</v>
      </c>
      <c r="G344" t="s">
        <v>72</v>
      </c>
      <c r="H344" t="s">
        <v>146</v>
      </c>
      <c r="K344" t="s">
        <v>38</v>
      </c>
      <c r="L344">
        <v>2</v>
      </c>
      <c r="M344">
        <v>1</v>
      </c>
      <c r="N344">
        <v>3</v>
      </c>
      <c r="O344" t="s">
        <v>39</v>
      </c>
      <c r="P344" t="s">
        <v>70</v>
      </c>
      <c r="Q344" t="s">
        <v>41</v>
      </c>
      <c r="S344" t="s">
        <v>33</v>
      </c>
      <c r="T344">
        <v>1</v>
      </c>
      <c r="V344">
        <v>1</v>
      </c>
      <c r="W344" t="s">
        <v>46</v>
      </c>
      <c r="AA344" t="s">
        <v>45</v>
      </c>
      <c r="AB344">
        <v>3</v>
      </c>
      <c r="AD344">
        <v>2</v>
      </c>
      <c r="AE344" t="s">
        <v>140</v>
      </c>
      <c r="AF344" t="s">
        <v>141</v>
      </c>
      <c r="AI344">
        <v>11</v>
      </c>
      <c r="AJ344">
        <v>34</v>
      </c>
    </row>
    <row r="345" spans="1:36" x14ac:dyDescent="0.25">
      <c r="A345" t="s">
        <v>937</v>
      </c>
      <c r="B345">
        <v>343</v>
      </c>
      <c r="C345" t="s">
        <v>33</v>
      </c>
      <c r="D345">
        <v>2</v>
      </c>
      <c r="F345">
        <v>2</v>
      </c>
      <c r="G345" t="s">
        <v>46</v>
      </c>
      <c r="K345" t="s">
        <v>45</v>
      </c>
      <c r="L345">
        <v>3</v>
      </c>
      <c r="N345">
        <v>1</v>
      </c>
      <c r="O345" t="s">
        <v>140</v>
      </c>
      <c r="S345" t="s">
        <v>63</v>
      </c>
      <c r="T345">
        <v>3</v>
      </c>
      <c r="V345">
        <v>1</v>
      </c>
      <c r="W345" t="s">
        <v>72</v>
      </c>
      <c r="X345" t="s">
        <v>95</v>
      </c>
      <c r="AA345" t="s">
        <v>227</v>
      </c>
      <c r="AB345">
        <v>1</v>
      </c>
      <c r="AC345">
        <v>1</v>
      </c>
      <c r="AD345">
        <v>2</v>
      </c>
      <c r="AE345" t="s">
        <v>228</v>
      </c>
      <c r="AI345">
        <v>8</v>
      </c>
      <c r="AJ345">
        <v>20</v>
      </c>
    </row>
    <row r="346" spans="1:36" x14ac:dyDescent="0.25">
      <c r="A346" t="s">
        <v>938</v>
      </c>
      <c r="B346">
        <v>344</v>
      </c>
      <c r="C346" t="s">
        <v>33</v>
      </c>
      <c r="D346">
        <v>1</v>
      </c>
      <c r="F346">
        <v>2</v>
      </c>
      <c r="G346" t="s">
        <v>34</v>
      </c>
      <c r="K346" t="s">
        <v>45</v>
      </c>
      <c r="L346">
        <v>3</v>
      </c>
      <c r="N346">
        <v>1</v>
      </c>
      <c r="O346" t="s">
        <v>140</v>
      </c>
      <c r="S346" t="s">
        <v>38</v>
      </c>
      <c r="T346">
        <v>1</v>
      </c>
      <c r="U346">
        <v>1</v>
      </c>
      <c r="V346">
        <v>2</v>
      </c>
      <c r="W346" t="s">
        <v>39</v>
      </c>
      <c r="AA346" t="s">
        <v>227</v>
      </c>
      <c r="AB346">
        <v>1</v>
      </c>
      <c r="AC346">
        <v>1</v>
      </c>
      <c r="AD346">
        <v>2</v>
      </c>
      <c r="AE346" t="s">
        <v>228</v>
      </c>
      <c r="AI346">
        <v>5</v>
      </c>
      <c r="AJ346">
        <v>17</v>
      </c>
    </row>
    <row r="347" spans="1:36" x14ac:dyDescent="0.25">
      <c r="A347" t="s">
        <v>939</v>
      </c>
      <c r="B347">
        <v>345</v>
      </c>
      <c r="C347" t="s">
        <v>33</v>
      </c>
      <c r="D347">
        <v>1</v>
      </c>
      <c r="F347">
        <v>2</v>
      </c>
      <c r="G347" t="s">
        <v>34</v>
      </c>
      <c r="K347" t="s">
        <v>63</v>
      </c>
      <c r="L347">
        <v>3</v>
      </c>
      <c r="N347">
        <v>1</v>
      </c>
      <c r="O347" t="s">
        <v>72</v>
      </c>
      <c r="P347" t="s">
        <v>146</v>
      </c>
      <c r="Q347" t="s">
        <v>104</v>
      </c>
      <c r="S347" t="s">
        <v>43</v>
      </c>
      <c r="T347">
        <v>2</v>
      </c>
      <c r="V347">
        <v>2</v>
      </c>
      <c r="W347" t="s">
        <v>73</v>
      </c>
      <c r="X347" t="s">
        <v>99</v>
      </c>
      <c r="AA347" t="s">
        <v>45</v>
      </c>
      <c r="AB347">
        <v>3</v>
      </c>
      <c r="AD347">
        <v>1</v>
      </c>
      <c r="AE347" t="s">
        <v>140</v>
      </c>
      <c r="AI347">
        <v>10</v>
      </c>
      <c r="AJ347">
        <v>24</v>
      </c>
    </row>
    <row r="348" spans="1:36" x14ac:dyDescent="0.25">
      <c r="A348" t="s">
        <v>940</v>
      </c>
      <c r="B348">
        <v>346</v>
      </c>
      <c r="C348" t="s">
        <v>43</v>
      </c>
      <c r="D348">
        <v>2</v>
      </c>
      <c r="F348">
        <v>1</v>
      </c>
      <c r="G348" t="s">
        <v>135</v>
      </c>
      <c r="H348" t="s">
        <v>136</v>
      </c>
      <c r="K348" t="s">
        <v>38</v>
      </c>
      <c r="L348">
        <v>3</v>
      </c>
      <c r="M348">
        <v>1</v>
      </c>
      <c r="N348">
        <v>2</v>
      </c>
      <c r="O348" t="s">
        <v>67</v>
      </c>
      <c r="S348" t="s">
        <v>33</v>
      </c>
      <c r="T348">
        <v>1</v>
      </c>
      <c r="V348">
        <v>2</v>
      </c>
      <c r="W348" t="s">
        <v>34</v>
      </c>
      <c r="AA348" t="s">
        <v>63</v>
      </c>
      <c r="AB348">
        <v>2</v>
      </c>
      <c r="AD348">
        <v>1</v>
      </c>
      <c r="AE348" t="s">
        <v>72</v>
      </c>
      <c r="AF348" t="s">
        <v>95</v>
      </c>
      <c r="AG348" t="s">
        <v>104</v>
      </c>
      <c r="AI348">
        <v>9</v>
      </c>
      <c r="AJ348">
        <v>28</v>
      </c>
    </row>
    <row r="349" spans="1:36" x14ac:dyDescent="0.25">
      <c r="A349" t="s">
        <v>941</v>
      </c>
      <c r="B349">
        <v>347</v>
      </c>
      <c r="C349" t="s">
        <v>43</v>
      </c>
      <c r="D349">
        <v>3</v>
      </c>
      <c r="F349">
        <v>1</v>
      </c>
      <c r="G349" t="s">
        <v>135</v>
      </c>
      <c r="H349" t="s">
        <v>136</v>
      </c>
      <c r="I349" t="s">
        <v>137</v>
      </c>
      <c r="K349" t="s">
        <v>227</v>
      </c>
      <c r="L349">
        <v>2</v>
      </c>
      <c r="M349">
        <v>1</v>
      </c>
      <c r="N349">
        <v>1</v>
      </c>
      <c r="O349" t="s">
        <v>228</v>
      </c>
      <c r="S349" t="s">
        <v>33</v>
      </c>
      <c r="T349">
        <v>1</v>
      </c>
      <c r="V349">
        <v>2</v>
      </c>
      <c r="W349" t="s">
        <v>34</v>
      </c>
      <c r="AA349" t="s">
        <v>63</v>
      </c>
      <c r="AB349">
        <v>2</v>
      </c>
      <c r="AD349">
        <v>1</v>
      </c>
      <c r="AE349" t="s">
        <v>72</v>
      </c>
      <c r="AF349" t="s">
        <v>91</v>
      </c>
      <c r="AI349">
        <v>8</v>
      </c>
      <c r="AJ349">
        <v>29</v>
      </c>
    </row>
    <row r="350" spans="1:36" x14ac:dyDescent="0.25">
      <c r="A350" t="s">
        <v>942</v>
      </c>
      <c r="B350">
        <v>348</v>
      </c>
      <c r="C350" t="s">
        <v>45</v>
      </c>
      <c r="D350">
        <v>2</v>
      </c>
      <c r="F350">
        <v>2</v>
      </c>
      <c r="G350" t="s">
        <v>140</v>
      </c>
      <c r="K350" t="s">
        <v>38</v>
      </c>
      <c r="L350">
        <v>1</v>
      </c>
      <c r="M350">
        <v>1</v>
      </c>
      <c r="N350">
        <v>2</v>
      </c>
      <c r="O350" t="s">
        <v>67</v>
      </c>
      <c r="S350" t="s">
        <v>33</v>
      </c>
      <c r="T350">
        <v>1</v>
      </c>
      <c r="V350">
        <v>2</v>
      </c>
      <c r="W350" t="s">
        <v>46</v>
      </c>
      <c r="AA350" t="s">
        <v>63</v>
      </c>
      <c r="AB350">
        <v>2</v>
      </c>
      <c r="AD350">
        <v>1</v>
      </c>
      <c r="AE350" t="s">
        <v>72</v>
      </c>
      <c r="AF350" t="s">
        <v>95</v>
      </c>
      <c r="AI350">
        <v>6</v>
      </c>
      <c r="AJ350">
        <v>19</v>
      </c>
    </row>
    <row r="351" spans="1:36" x14ac:dyDescent="0.25">
      <c r="A351" t="s">
        <v>943</v>
      </c>
      <c r="B351">
        <v>349</v>
      </c>
      <c r="C351" t="s">
        <v>45</v>
      </c>
      <c r="D351">
        <v>3</v>
      </c>
      <c r="F351">
        <v>3</v>
      </c>
      <c r="G351" t="s">
        <v>140</v>
      </c>
      <c r="K351" t="s">
        <v>227</v>
      </c>
      <c r="L351">
        <v>1</v>
      </c>
      <c r="M351">
        <v>1</v>
      </c>
      <c r="N351">
        <v>1</v>
      </c>
      <c r="O351" t="s">
        <v>228</v>
      </c>
      <c r="P351" t="s">
        <v>233</v>
      </c>
      <c r="S351" t="s">
        <v>33</v>
      </c>
      <c r="T351">
        <v>1</v>
      </c>
      <c r="V351">
        <v>2</v>
      </c>
      <c r="W351" t="s">
        <v>34</v>
      </c>
      <c r="AA351" t="s">
        <v>63</v>
      </c>
      <c r="AB351">
        <v>2</v>
      </c>
      <c r="AD351">
        <v>1</v>
      </c>
      <c r="AE351" t="s">
        <v>72</v>
      </c>
      <c r="AF351" t="s">
        <v>95</v>
      </c>
      <c r="AI351">
        <v>8</v>
      </c>
      <c r="AJ351">
        <v>24</v>
      </c>
    </row>
    <row r="352" spans="1:36" x14ac:dyDescent="0.25">
      <c r="A352" t="s">
        <v>944</v>
      </c>
      <c r="B352">
        <v>350</v>
      </c>
      <c r="C352" t="s">
        <v>33</v>
      </c>
      <c r="D352">
        <v>1</v>
      </c>
      <c r="F352">
        <v>3</v>
      </c>
      <c r="G352" t="s">
        <v>65</v>
      </c>
      <c r="K352" t="s">
        <v>63</v>
      </c>
      <c r="L352">
        <v>3</v>
      </c>
      <c r="N352">
        <v>1</v>
      </c>
      <c r="O352" t="s">
        <v>72</v>
      </c>
      <c r="P352" t="s">
        <v>95</v>
      </c>
      <c r="S352" t="s">
        <v>38</v>
      </c>
      <c r="T352">
        <v>3</v>
      </c>
      <c r="U352">
        <v>1</v>
      </c>
      <c r="V352">
        <v>2</v>
      </c>
      <c r="W352" t="s">
        <v>67</v>
      </c>
      <c r="AA352" t="s">
        <v>227</v>
      </c>
      <c r="AB352">
        <v>1</v>
      </c>
      <c r="AC352">
        <v>1</v>
      </c>
      <c r="AD352">
        <v>3</v>
      </c>
      <c r="AE352" t="s">
        <v>228</v>
      </c>
      <c r="AF352" t="s">
        <v>233</v>
      </c>
      <c r="AG352" t="s">
        <v>235</v>
      </c>
      <c r="AH352" t="s">
        <v>238</v>
      </c>
      <c r="AI352">
        <v>13</v>
      </c>
      <c r="AJ352">
        <v>32</v>
      </c>
    </row>
    <row r="353" spans="1:36" x14ac:dyDescent="0.25">
      <c r="A353" t="s">
        <v>945</v>
      </c>
      <c r="B353">
        <v>351</v>
      </c>
      <c r="C353" t="s">
        <v>43</v>
      </c>
      <c r="D353">
        <v>3</v>
      </c>
      <c r="F353">
        <v>1</v>
      </c>
      <c r="G353" t="s">
        <v>73</v>
      </c>
      <c r="H353" t="s">
        <v>99</v>
      </c>
      <c r="I353" t="s">
        <v>75</v>
      </c>
      <c r="K353" t="s">
        <v>45</v>
      </c>
      <c r="L353">
        <v>2</v>
      </c>
      <c r="N353">
        <v>1</v>
      </c>
      <c r="O353" t="s">
        <v>140</v>
      </c>
      <c r="S353" t="s">
        <v>33</v>
      </c>
      <c r="T353">
        <v>1</v>
      </c>
      <c r="V353">
        <v>2</v>
      </c>
      <c r="W353" t="s">
        <v>34</v>
      </c>
      <c r="AA353" t="s">
        <v>38</v>
      </c>
      <c r="AB353">
        <v>1</v>
      </c>
      <c r="AC353">
        <v>1</v>
      </c>
      <c r="AD353">
        <v>3</v>
      </c>
      <c r="AE353" t="s">
        <v>39</v>
      </c>
      <c r="AF353" t="s">
        <v>70</v>
      </c>
      <c r="AG353" t="s">
        <v>41</v>
      </c>
      <c r="AI353">
        <v>10</v>
      </c>
      <c r="AJ353">
        <v>28</v>
      </c>
    </row>
    <row r="354" spans="1:36" x14ac:dyDescent="0.25">
      <c r="A354" t="s">
        <v>946</v>
      </c>
      <c r="B354">
        <v>352</v>
      </c>
      <c r="C354" t="s">
        <v>33</v>
      </c>
      <c r="D354">
        <v>1</v>
      </c>
      <c r="F354">
        <v>3</v>
      </c>
      <c r="G354" t="s">
        <v>34</v>
      </c>
      <c r="H354" t="s">
        <v>35</v>
      </c>
      <c r="I354" t="s">
        <v>132</v>
      </c>
      <c r="J354" t="s">
        <v>37</v>
      </c>
      <c r="K354" t="s">
        <v>38</v>
      </c>
      <c r="L354">
        <v>1</v>
      </c>
      <c r="M354">
        <v>1</v>
      </c>
      <c r="N354">
        <v>1</v>
      </c>
      <c r="O354" t="s">
        <v>67</v>
      </c>
      <c r="S354" t="s">
        <v>43</v>
      </c>
      <c r="T354">
        <v>1</v>
      </c>
      <c r="V354">
        <v>1</v>
      </c>
      <c r="W354" t="s">
        <v>73</v>
      </c>
      <c r="X354" t="s">
        <v>136</v>
      </c>
      <c r="AA354" t="s">
        <v>63</v>
      </c>
      <c r="AB354">
        <v>3</v>
      </c>
      <c r="AD354">
        <v>1</v>
      </c>
      <c r="AE354" t="s">
        <v>72</v>
      </c>
      <c r="AF354" t="s">
        <v>95</v>
      </c>
      <c r="AI354">
        <v>9</v>
      </c>
      <c r="AJ354">
        <v>25</v>
      </c>
    </row>
    <row r="355" spans="1:36" x14ac:dyDescent="0.25">
      <c r="A355" t="s">
        <v>947</v>
      </c>
      <c r="B355">
        <v>353</v>
      </c>
      <c r="C355" t="s">
        <v>33</v>
      </c>
      <c r="D355">
        <v>1</v>
      </c>
      <c r="F355">
        <v>2</v>
      </c>
      <c r="G355" t="s">
        <v>34</v>
      </c>
      <c r="H355" t="s">
        <v>66</v>
      </c>
      <c r="K355" t="s">
        <v>38</v>
      </c>
      <c r="L355">
        <v>1</v>
      </c>
      <c r="M355">
        <v>2</v>
      </c>
      <c r="N355">
        <v>1</v>
      </c>
      <c r="O355" t="s">
        <v>67</v>
      </c>
      <c r="P355" t="s">
        <v>70</v>
      </c>
      <c r="S355" t="s">
        <v>43</v>
      </c>
      <c r="T355">
        <v>1</v>
      </c>
      <c r="V355">
        <v>1</v>
      </c>
      <c r="W355" t="s">
        <v>135</v>
      </c>
      <c r="X355" t="s">
        <v>136</v>
      </c>
      <c r="Y355" t="s">
        <v>137</v>
      </c>
      <c r="AA355" t="s">
        <v>227</v>
      </c>
      <c r="AB355">
        <v>2</v>
      </c>
      <c r="AC355">
        <v>1</v>
      </c>
      <c r="AD355">
        <v>1</v>
      </c>
      <c r="AE355" t="s">
        <v>228</v>
      </c>
      <c r="AI355">
        <v>7</v>
      </c>
      <c r="AJ355">
        <v>25</v>
      </c>
    </row>
    <row r="356" spans="1:36" x14ac:dyDescent="0.25">
      <c r="A356" t="s">
        <v>948</v>
      </c>
      <c r="B356">
        <v>354</v>
      </c>
      <c r="C356" t="s">
        <v>33</v>
      </c>
      <c r="D356">
        <v>1</v>
      </c>
      <c r="F356">
        <v>3</v>
      </c>
      <c r="G356" t="s">
        <v>34</v>
      </c>
      <c r="K356" t="s">
        <v>38</v>
      </c>
      <c r="L356">
        <v>1</v>
      </c>
      <c r="M356">
        <v>1</v>
      </c>
      <c r="N356">
        <v>2</v>
      </c>
      <c r="O356" t="s">
        <v>67</v>
      </c>
      <c r="P356" t="s">
        <v>96</v>
      </c>
      <c r="S356" t="s">
        <v>45</v>
      </c>
      <c r="T356">
        <v>2</v>
      </c>
      <c r="V356">
        <v>1</v>
      </c>
      <c r="W356" t="s">
        <v>140</v>
      </c>
      <c r="AA356" t="s">
        <v>63</v>
      </c>
      <c r="AB356">
        <v>2</v>
      </c>
      <c r="AD356">
        <v>1</v>
      </c>
      <c r="AE356" t="s">
        <v>72</v>
      </c>
      <c r="AF356" t="s">
        <v>95</v>
      </c>
      <c r="AG356" t="s">
        <v>104</v>
      </c>
      <c r="AI356">
        <v>8</v>
      </c>
      <c r="AJ356">
        <v>26</v>
      </c>
    </row>
    <row r="357" spans="1:36" x14ac:dyDescent="0.25">
      <c r="A357" t="s">
        <v>949</v>
      </c>
      <c r="B357">
        <v>355</v>
      </c>
      <c r="C357" t="s">
        <v>33</v>
      </c>
      <c r="D357">
        <v>1</v>
      </c>
      <c r="F357">
        <v>3</v>
      </c>
      <c r="G357" t="s">
        <v>34</v>
      </c>
      <c r="K357" t="s">
        <v>38</v>
      </c>
      <c r="L357">
        <v>1</v>
      </c>
      <c r="M357">
        <v>1</v>
      </c>
      <c r="N357">
        <v>2</v>
      </c>
      <c r="O357" t="s">
        <v>152</v>
      </c>
      <c r="P357" t="s">
        <v>70</v>
      </c>
      <c r="S357" t="s">
        <v>45</v>
      </c>
      <c r="T357">
        <v>3</v>
      </c>
      <c r="V357">
        <v>1</v>
      </c>
      <c r="W357" t="s">
        <v>140</v>
      </c>
      <c r="AA357" t="s">
        <v>227</v>
      </c>
      <c r="AB357">
        <v>1</v>
      </c>
      <c r="AC357">
        <v>1</v>
      </c>
      <c r="AD357">
        <v>1</v>
      </c>
      <c r="AE357" t="s">
        <v>228</v>
      </c>
      <c r="AI357">
        <v>6</v>
      </c>
      <c r="AJ357">
        <v>19</v>
      </c>
    </row>
    <row r="358" spans="1:36" x14ac:dyDescent="0.25">
      <c r="A358" t="s">
        <v>950</v>
      </c>
      <c r="B358">
        <v>356</v>
      </c>
      <c r="C358" t="s">
        <v>33</v>
      </c>
      <c r="D358">
        <v>1</v>
      </c>
      <c r="F358">
        <v>3</v>
      </c>
      <c r="G358" t="s">
        <v>34</v>
      </c>
      <c r="K358" t="s">
        <v>38</v>
      </c>
      <c r="L358">
        <v>1</v>
      </c>
      <c r="M358">
        <v>1</v>
      </c>
      <c r="N358">
        <v>1</v>
      </c>
      <c r="O358" t="s">
        <v>152</v>
      </c>
      <c r="P358" t="s">
        <v>70</v>
      </c>
      <c r="S358" t="s">
        <v>63</v>
      </c>
      <c r="T358">
        <v>2</v>
      </c>
      <c r="V358">
        <v>1</v>
      </c>
      <c r="W358" t="s">
        <v>72</v>
      </c>
      <c r="X358" t="s">
        <v>95</v>
      </c>
      <c r="AA358" t="s">
        <v>227</v>
      </c>
      <c r="AB358">
        <v>1</v>
      </c>
      <c r="AC358">
        <v>1</v>
      </c>
      <c r="AD358">
        <v>1</v>
      </c>
      <c r="AE358" t="s">
        <v>228</v>
      </c>
      <c r="AI358">
        <v>5</v>
      </c>
      <c r="AJ358">
        <v>26</v>
      </c>
    </row>
    <row r="359" spans="1:36" x14ac:dyDescent="0.25">
      <c r="A359" t="s">
        <v>951</v>
      </c>
      <c r="B359">
        <v>357</v>
      </c>
      <c r="C359" t="s">
        <v>43</v>
      </c>
      <c r="D359">
        <v>3</v>
      </c>
      <c r="F359">
        <v>1</v>
      </c>
      <c r="G359" t="s">
        <v>135</v>
      </c>
      <c r="H359" t="s">
        <v>136</v>
      </c>
      <c r="I359" t="s">
        <v>75</v>
      </c>
      <c r="K359" t="s">
        <v>45</v>
      </c>
      <c r="L359">
        <v>3</v>
      </c>
      <c r="N359">
        <v>1</v>
      </c>
      <c r="O359" t="s">
        <v>140</v>
      </c>
      <c r="P359" t="s">
        <v>141</v>
      </c>
      <c r="S359" t="s">
        <v>33</v>
      </c>
      <c r="T359">
        <v>1</v>
      </c>
      <c r="V359">
        <v>2</v>
      </c>
      <c r="W359" t="s">
        <v>34</v>
      </c>
      <c r="AA359" t="s">
        <v>227</v>
      </c>
      <c r="AB359">
        <v>1</v>
      </c>
      <c r="AC359">
        <v>3</v>
      </c>
      <c r="AD359">
        <v>3</v>
      </c>
      <c r="AE359" t="s">
        <v>229</v>
      </c>
      <c r="AF359" t="s">
        <v>231</v>
      </c>
      <c r="AG359" t="s">
        <v>235</v>
      </c>
      <c r="AI359">
        <v>14</v>
      </c>
      <c r="AJ359">
        <v>32</v>
      </c>
    </row>
    <row r="360" spans="1:36" x14ac:dyDescent="0.25">
      <c r="A360" t="s">
        <v>952</v>
      </c>
      <c r="B360">
        <v>358</v>
      </c>
      <c r="C360" t="s">
        <v>43</v>
      </c>
      <c r="D360">
        <v>1</v>
      </c>
      <c r="F360">
        <v>1</v>
      </c>
      <c r="G360" t="s">
        <v>73</v>
      </c>
      <c r="H360" t="s">
        <v>136</v>
      </c>
      <c r="K360" t="s">
        <v>63</v>
      </c>
      <c r="L360">
        <v>3</v>
      </c>
      <c r="N360">
        <v>1</v>
      </c>
      <c r="O360" t="s">
        <v>72</v>
      </c>
      <c r="P360" t="s">
        <v>95</v>
      </c>
      <c r="Q360" t="s">
        <v>104</v>
      </c>
      <c r="R360" t="s">
        <v>151</v>
      </c>
      <c r="S360" t="s">
        <v>33</v>
      </c>
      <c r="T360">
        <v>2</v>
      </c>
      <c r="V360">
        <v>3</v>
      </c>
      <c r="W360" t="s">
        <v>34</v>
      </c>
      <c r="AA360" t="s">
        <v>227</v>
      </c>
      <c r="AB360">
        <v>1</v>
      </c>
      <c r="AC360">
        <v>1</v>
      </c>
      <c r="AD360">
        <v>2</v>
      </c>
      <c r="AE360" t="s">
        <v>228</v>
      </c>
      <c r="AF360" t="s">
        <v>231</v>
      </c>
      <c r="AG360" t="s">
        <v>235</v>
      </c>
      <c r="AI360">
        <v>12</v>
      </c>
      <c r="AJ360">
        <v>32</v>
      </c>
    </row>
    <row r="361" spans="1:36" x14ac:dyDescent="0.25">
      <c r="A361" t="s">
        <v>953</v>
      </c>
      <c r="B361">
        <v>359</v>
      </c>
      <c r="C361" t="s">
        <v>33</v>
      </c>
      <c r="D361">
        <v>3</v>
      </c>
      <c r="F361">
        <v>1</v>
      </c>
      <c r="G361" t="s">
        <v>65</v>
      </c>
      <c r="H361" t="s">
        <v>66</v>
      </c>
      <c r="K361" t="s">
        <v>227</v>
      </c>
      <c r="L361">
        <v>1</v>
      </c>
      <c r="M361">
        <v>1</v>
      </c>
      <c r="N361">
        <v>1</v>
      </c>
      <c r="O361" t="s">
        <v>228</v>
      </c>
      <c r="S361" t="s">
        <v>43</v>
      </c>
      <c r="T361">
        <v>1</v>
      </c>
      <c r="V361">
        <v>1</v>
      </c>
      <c r="W361" t="s">
        <v>73</v>
      </c>
      <c r="X361" t="s">
        <v>136</v>
      </c>
      <c r="AA361" t="s">
        <v>38</v>
      </c>
      <c r="AB361">
        <v>1</v>
      </c>
      <c r="AC361">
        <v>1</v>
      </c>
      <c r="AD361">
        <v>2</v>
      </c>
      <c r="AE361" t="s">
        <v>67</v>
      </c>
      <c r="AF361" t="s">
        <v>70</v>
      </c>
      <c r="AI361">
        <v>6</v>
      </c>
      <c r="AJ361">
        <v>22</v>
      </c>
    </row>
    <row r="362" spans="1:36" x14ac:dyDescent="0.25">
      <c r="A362" t="s">
        <v>954</v>
      </c>
      <c r="B362">
        <v>360</v>
      </c>
      <c r="C362" t="s">
        <v>33</v>
      </c>
      <c r="D362">
        <v>2</v>
      </c>
      <c r="F362">
        <v>1</v>
      </c>
      <c r="G362" t="s">
        <v>34</v>
      </c>
      <c r="K362" t="s">
        <v>227</v>
      </c>
      <c r="L362">
        <v>2</v>
      </c>
      <c r="M362">
        <v>1</v>
      </c>
      <c r="N362">
        <v>2</v>
      </c>
      <c r="O362" t="s">
        <v>228</v>
      </c>
      <c r="S362" t="s">
        <v>45</v>
      </c>
      <c r="T362">
        <v>2</v>
      </c>
      <c r="V362">
        <v>1</v>
      </c>
      <c r="W362" t="s">
        <v>140</v>
      </c>
      <c r="AA362" t="s">
        <v>63</v>
      </c>
      <c r="AB362">
        <v>1</v>
      </c>
      <c r="AD362">
        <v>1</v>
      </c>
      <c r="AE362" t="s">
        <v>72</v>
      </c>
      <c r="AF362" t="s">
        <v>95</v>
      </c>
      <c r="AI362">
        <v>5</v>
      </c>
      <c r="AJ362">
        <v>18</v>
      </c>
    </row>
    <row r="363" spans="1:36" x14ac:dyDescent="0.25">
      <c r="A363" t="s">
        <v>955</v>
      </c>
      <c r="B363">
        <v>361</v>
      </c>
      <c r="C363" t="s">
        <v>45</v>
      </c>
      <c r="D363">
        <v>3</v>
      </c>
      <c r="F363">
        <v>1</v>
      </c>
      <c r="G363" t="s">
        <v>140</v>
      </c>
      <c r="K363" t="s">
        <v>38</v>
      </c>
      <c r="L363">
        <v>1</v>
      </c>
      <c r="M363">
        <v>2</v>
      </c>
      <c r="N363">
        <v>1</v>
      </c>
      <c r="O363" t="s">
        <v>152</v>
      </c>
      <c r="P363" t="s">
        <v>70</v>
      </c>
      <c r="S363" t="s">
        <v>33</v>
      </c>
      <c r="T363">
        <v>2</v>
      </c>
      <c r="V363">
        <v>2</v>
      </c>
      <c r="W363" t="s">
        <v>34</v>
      </c>
      <c r="AA363" t="s">
        <v>227</v>
      </c>
      <c r="AB363">
        <v>2</v>
      </c>
      <c r="AC363">
        <v>1</v>
      </c>
      <c r="AD363">
        <v>1</v>
      </c>
      <c r="AE363" t="s">
        <v>228</v>
      </c>
      <c r="AI363">
        <v>7</v>
      </c>
      <c r="AJ363">
        <v>20</v>
      </c>
    </row>
    <row r="364" spans="1:36" x14ac:dyDescent="0.25">
      <c r="A364" s="39" t="s">
        <v>956</v>
      </c>
      <c r="B364">
        <v>362</v>
      </c>
      <c r="C364" t="s">
        <v>63</v>
      </c>
      <c r="D364">
        <v>1</v>
      </c>
      <c r="F364">
        <v>1</v>
      </c>
      <c r="G364" t="s">
        <v>72</v>
      </c>
      <c r="H364" t="s">
        <v>91</v>
      </c>
      <c r="K364" t="s">
        <v>38</v>
      </c>
      <c r="L364">
        <v>2</v>
      </c>
      <c r="M364">
        <v>1</v>
      </c>
      <c r="N364">
        <v>2</v>
      </c>
      <c r="O364" t="s">
        <v>67</v>
      </c>
      <c r="P364" t="s">
        <v>70</v>
      </c>
      <c r="S364" t="s">
        <v>33</v>
      </c>
      <c r="T364">
        <v>1</v>
      </c>
      <c r="V364">
        <v>2</v>
      </c>
      <c r="W364" t="s">
        <v>46</v>
      </c>
      <c r="X364" t="s">
        <v>35</v>
      </c>
      <c r="AA364" t="s">
        <v>227</v>
      </c>
      <c r="AB364">
        <v>2</v>
      </c>
      <c r="AC364">
        <v>1</v>
      </c>
      <c r="AD364">
        <v>1</v>
      </c>
      <c r="AE364" t="s">
        <v>228</v>
      </c>
      <c r="AI364">
        <v>7</v>
      </c>
      <c r="AJ364">
        <v>29</v>
      </c>
    </row>
    <row r="365" spans="1:36" x14ac:dyDescent="0.25">
      <c r="A365" t="s">
        <v>957</v>
      </c>
      <c r="B365">
        <v>363</v>
      </c>
      <c r="C365" t="s">
        <v>43</v>
      </c>
      <c r="D365">
        <v>2</v>
      </c>
      <c r="F365">
        <v>1</v>
      </c>
      <c r="G365" t="s">
        <v>73</v>
      </c>
      <c r="H365" t="s">
        <v>99</v>
      </c>
      <c r="I365" t="s">
        <v>75</v>
      </c>
      <c r="J365" t="s">
        <v>139</v>
      </c>
      <c r="K365" t="s">
        <v>45</v>
      </c>
      <c r="L365">
        <v>2</v>
      </c>
      <c r="N365">
        <v>1</v>
      </c>
      <c r="O365" t="s">
        <v>140</v>
      </c>
      <c r="S365" t="s">
        <v>63</v>
      </c>
      <c r="T365">
        <v>1</v>
      </c>
      <c r="V365">
        <v>2</v>
      </c>
      <c r="W365" t="s">
        <v>72</v>
      </c>
      <c r="X365" t="s">
        <v>91</v>
      </c>
      <c r="Y365" t="s">
        <v>148</v>
      </c>
      <c r="AA365" t="s">
        <v>38</v>
      </c>
      <c r="AB365">
        <v>1</v>
      </c>
      <c r="AC365">
        <v>1</v>
      </c>
      <c r="AD365">
        <v>2</v>
      </c>
      <c r="AE365" t="s">
        <v>67</v>
      </c>
      <c r="AI365">
        <v>9</v>
      </c>
      <c r="AJ365">
        <v>28</v>
      </c>
    </row>
    <row r="366" spans="1:36" x14ac:dyDescent="0.25">
      <c r="A366" t="s">
        <v>958</v>
      </c>
      <c r="B366">
        <v>364</v>
      </c>
      <c r="C366" t="s">
        <v>43</v>
      </c>
      <c r="D366">
        <v>2</v>
      </c>
      <c r="F366">
        <v>1</v>
      </c>
      <c r="G366" t="s">
        <v>73</v>
      </c>
      <c r="H366" t="s">
        <v>99</v>
      </c>
      <c r="I366" t="s">
        <v>75</v>
      </c>
      <c r="K366" t="s">
        <v>45</v>
      </c>
      <c r="L366">
        <v>2</v>
      </c>
      <c r="N366">
        <v>1</v>
      </c>
      <c r="O366" t="s">
        <v>47</v>
      </c>
      <c r="S366" t="s">
        <v>63</v>
      </c>
      <c r="T366">
        <v>3</v>
      </c>
      <c r="V366">
        <v>1</v>
      </c>
      <c r="W366" t="s">
        <v>72</v>
      </c>
      <c r="AA366" t="s">
        <v>227</v>
      </c>
      <c r="AB366">
        <v>1</v>
      </c>
      <c r="AC366">
        <v>1</v>
      </c>
      <c r="AD366">
        <v>1</v>
      </c>
      <c r="AE366" t="s">
        <v>228</v>
      </c>
      <c r="AF366" t="s">
        <v>231</v>
      </c>
      <c r="AI366">
        <v>7</v>
      </c>
      <c r="AJ366">
        <v>21</v>
      </c>
    </row>
    <row r="367" spans="1:36" x14ac:dyDescent="0.25">
      <c r="A367" t="s">
        <v>959</v>
      </c>
      <c r="B367">
        <v>365</v>
      </c>
      <c r="C367" t="s">
        <v>38</v>
      </c>
      <c r="D367">
        <v>1</v>
      </c>
      <c r="E367">
        <v>1</v>
      </c>
      <c r="F367">
        <v>2</v>
      </c>
      <c r="G367" t="s">
        <v>67</v>
      </c>
      <c r="H367" t="s">
        <v>70</v>
      </c>
      <c r="K367" t="s">
        <v>227</v>
      </c>
      <c r="L367">
        <v>1</v>
      </c>
      <c r="M367">
        <v>1</v>
      </c>
      <c r="N367">
        <v>3</v>
      </c>
      <c r="O367" t="s">
        <v>228</v>
      </c>
      <c r="S367" t="s">
        <v>43</v>
      </c>
      <c r="T367">
        <v>1</v>
      </c>
      <c r="V367">
        <v>1</v>
      </c>
      <c r="W367" t="s">
        <v>73</v>
      </c>
      <c r="X367" t="s">
        <v>99</v>
      </c>
      <c r="Y367" t="s">
        <v>100</v>
      </c>
      <c r="Z367" t="s">
        <v>101</v>
      </c>
      <c r="AA367" t="s">
        <v>45</v>
      </c>
      <c r="AB367">
        <v>1</v>
      </c>
      <c r="AD367">
        <v>1</v>
      </c>
      <c r="AE367" t="s">
        <v>140</v>
      </c>
      <c r="AI367">
        <v>7</v>
      </c>
      <c r="AJ367">
        <v>27</v>
      </c>
    </row>
    <row r="368" spans="1:36" x14ac:dyDescent="0.25">
      <c r="A368" t="s">
        <v>960</v>
      </c>
      <c r="B368">
        <v>366</v>
      </c>
      <c r="C368" t="s">
        <v>45</v>
      </c>
      <c r="D368">
        <v>3</v>
      </c>
      <c r="F368">
        <v>1</v>
      </c>
      <c r="G368" t="s">
        <v>140</v>
      </c>
      <c r="K368" t="s">
        <v>38</v>
      </c>
      <c r="L368">
        <v>1</v>
      </c>
      <c r="M368">
        <v>1</v>
      </c>
      <c r="N368">
        <v>1</v>
      </c>
      <c r="O368" t="s">
        <v>67</v>
      </c>
      <c r="P368" t="s">
        <v>70</v>
      </c>
      <c r="S368" t="s">
        <v>43</v>
      </c>
      <c r="T368">
        <v>2</v>
      </c>
      <c r="V368">
        <v>1</v>
      </c>
      <c r="W368" t="s">
        <v>73</v>
      </c>
      <c r="AA368" t="s">
        <v>63</v>
      </c>
      <c r="AB368">
        <v>2</v>
      </c>
      <c r="AD368">
        <v>1</v>
      </c>
      <c r="AE368" t="s">
        <v>72</v>
      </c>
      <c r="AI368">
        <v>5</v>
      </c>
      <c r="AJ368">
        <v>22</v>
      </c>
    </row>
    <row r="369" spans="1:36" x14ac:dyDescent="0.25">
      <c r="A369" t="s">
        <v>961</v>
      </c>
      <c r="B369">
        <v>367</v>
      </c>
      <c r="C369" t="s">
        <v>43</v>
      </c>
      <c r="D369">
        <v>1</v>
      </c>
      <c r="F369">
        <v>1</v>
      </c>
      <c r="G369" t="s">
        <v>73</v>
      </c>
      <c r="K369" t="s">
        <v>63</v>
      </c>
      <c r="L369">
        <v>2</v>
      </c>
      <c r="N369">
        <v>1</v>
      </c>
      <c r="O369" t="s">
        <v>72</v>
      </c>
      <c r="P369" t="s">
        <v>95</v>
      </c>
      <c r="Q369" t="s">
        <v>104</v>
      </c>
      <c r="S369" t="s">
        <v>45</v>
      </c>
      <c r="T369">
        <v>3</v>
      </c>
      <c r="V369">
        <v>1</v>
      </c>
      <c r="W369" t="s">
        <v>47</v>
      </c>
      <c r="X369" t="s">
        <v>76</v>
      </c>
      <c r="AA369" t="s">
        <v>227</v>
      </c>
      <c r="AB369">
        <v>1</v>
      </c>
      <c r="AC369">
        <v>1</v>
      </c>
      <c r="AD369">
        <v>1</v>
      </c>
      <c r="AE369" t="s">
        <v>228</v>
      </c>
      <c r="AI369">
        <v>6</v>
      </c>
      <c r="AJ369">
        <v>21</v>
      </c>
    </row>
    <row r="370" spans="1:36" x14ac:dyDescent="0.25">
      <c r="A370" t="s">
        <v>962</v>
      </c>
      <c r="B370">
        <v>368</v>
      </c>
      <c r="C370" t="s">
        <v>43</v>
      </c>
      <c r="D370">
        <v>1</v>
      </c>
      <c r="F370">
        <v>1</v>
      </c>
      <c r="G370" t="s">
        <v>73</v>
      </c>
      <c r="H370" t="s">
        <v>99</v>
      </c>
      <c r="K370" t="s">
        <v>63</v>
      </c>
      <c r="L370">
        <v>2</v>
      </c>
      <c r="N370">
        <v>1</v>
      </c>
      <c r="O370" t="s">
        <v>72</v>
      </c>
      <c r="P370" t="s">
        <v>146</v>
      </c>
      <c r="S370" t="s">
        <v>38</v>
      </c>
      <c r="T370">
        <v>2</v>
      </c>
      <c r="U370">
        <v>1</v>
      </c>
      <c r="V370">
        <v>2</v>
      </c>
      <c r="W370" t="s">
        <v>67</v>
      </c>
      <c r="X370" t="s">
        <v>96</v>
      </c>
      <c r="AA370" t="s">
        <v>227</v>
      </c>
      <c r="AB370">
        <v>2</v>
      </c>
      <c r="AC370">
        <v>1</v>
      </c>
      <c r="AD370">
        <v>1</v>
      </c>
      <c r="AE370" t="s">
        <v>228</v>
      </c>
      <c r="AI370">
        <v>7</v>
      </c>
      <c r="AJ370">
        <v>23</v>
      </c>
    </row>
    <row r="371" spans="1:36" x14ac:dyDescent="0.25">
      <c r="A371" t="s">
        <v>963</v>
      </c>
      <c r="B371">
        <v>369</v>
      </c>
      <c r="C371" t="s">
        <v>43</v>
      </c>
      <c r="D371">
        <v>2</v>
      </c>
      <c r="F371">
        <v>1</v>
      </c>
      <c r="G371" t="s">
        <v>135</v>
      </c>
      <c r="K371" t="s">
        <v>38</v>
      </c>
      <c r="L371">
        <v>3</v>
      </c>
      <c r="M371">
        <v>1</v>
      </c>
      <c r="N371">
        <v>2</v>
      </c>
      <c r="O371" t="s">
        <v>67</v>
      </c>
      <c r="P371" t="s">
        <v>96</v>
      </c>
      <c r="S371" t="s">
        <v>45</v>
      </c>
      <c r="T371">
        <v>2</v>
      </c>
      <c r="V371">
        <v>1</v>
      </c>
      <c r="W371" t="s">
        <v>140</v>
      </c>
      <c r="AA371" t="s">
        <v>63</v>
      </c>
      <c r="AB371">
        <v>1</v>
      </c>
      <c r="AD371">
        <v>1</v>
      </c>
      <c r="AE371" t="s">
        <v>72</v>
      </c>
      <c r="AF371" t="s">
        <v>95</v>
      </c>
      <c r="AG371" t="s">
        <v>147</v>
      </c>
      <c r="AI371">
        <v>8</v>
      </c>
      <c r="AJ371">
        <v>23</v>
      </c>
    </row>
    <row r="372" spans="1:36" x14ac:dyDescent="0.25">
      <c r="A372" t="s">
        <v>964</v>
      </c>
      <c r="B372">
        <v>370</v>
      </c>
      <c r="C372" t="s">
        <v>43</v>
      </c>
      <c r="D372">
        <v>2</v>
      </c>
      <c r="F372">
        <v>1</v>
      </c>
      <c r="G372" t="s">
        <v>73</v>
      </c>
      <c r="H372" t="s">
        <v>74</v>
      </c>
      <c r="I372" t="s">
        <v>100</v>
      </c>
      <c r="K372" t="s">
        <v>38</v>
      </c>
      <c r="L372">
        <v>1</v>
      </c>
      <c r="M372">
        <v>1</v>
      </c>
      <c r="N372">
        <v>2</v>
      </c>
      <c r="O372" t="s">
        <v>152</v>
      </c>
      <c r="P372" t="s">
        <v>70</v>
      </c>
      <c r="S372" t="s">
        <v>45</v>
      </c>
      <c r="T372">
        <v>3</v>
      </c>
      <c r="V372">
        <v>1</v>
      </c>
      <c r="W372" t="s">
        <v>140</v>
      </c>
      <c r="AA372" t="s">
        <v>227</v>
      </c>
      <c r="AB372">
        <v>3</v>
      </c>
      <c r="AC372">
        <v>1</v>
      </c>
      <c r="AD372">
        <v>1</v>
      </c>
      <c r="AE372" t="s">
        <v>228</v>
      </c>
      <c r="AI372">
        <v>9</v>
      </c>
      <c r="AJ372">
        <v>25</v>
      </c>
    </row>
    <row r="373" spans="1:36" x14ac:dyDescent="0.25">
      <c r="A373" t="s">
        <v>965</v>
      </c>
      <c r="B373">
        <v>371</v>
      </c>
      <c r="C373" t="s">
        <v>43</v>
      </c>
      <c r="D373">
        <v>3</v>
      </c>
      <c r="F373">
        <v>1</v>
      </c>
      <c r="G373" t="s">
        <v>135</v>
      </c>
      <c r="H373" t="s">
        <v>74</v>
      </c>
      <c r="I373" t="s">
        <v>75</v>
      </c>
      <c r="J373" t="s">
        <v>138</v>
      </c>
      <c r="K373" t="s">
        <v>38</v>
      </c>
      <c r="L373">
        <v>1</v>
      </c>
      <c r="M373">
        <v>1</v>
      </c>
      <c r="N373">
        <v>1</v>
      </c>
      <c r="O373" t="s">
        <v>152</v>
      </c>
      <c r="P373" t="s">
        <v>70</v>
      </c>
      <c r="Q373" t="s">
        <v>153</v>
      </c>
      <c r="S373" t="s">
        <v>63</v>
      </c>
      <c r="T373">
        <v>1</v>
      </c>
      <c r="V373">
        <v>1</v>
      </c>
      <c r="W373" t="s">
        <v>72</v>
      </c>
      <c r="AA373" t="s">
        <v>227</v>
      </c>
      <c r="AB373">
        <v>1</v>
      </c>
      <c r="AC373">
        <v>1</v>
      </c>
      <c r="AD373">
        <v>3</v>
      </c>
      <c r="AE373" t="s">
        <v>229</v>
      </c>
      <c r="AF373" t="s">
        <v>233</v>
      </c>
      <c r="AG373" t="s">
        <v>235</v>
      </c>
      <c r="AH373" t="s">
        <v>238</v>
      </c>
      <c r="AI373">
        <v>12</v>
      </c>
      <c r="AJ373">
        <v>42</v>
      </c>
    </row>
    <row r="374" spans="1:36" x14ac:dyDescent="0.25">
      <c r="A374" t="s">
        <v>966</v>
      </c>
      <c r="B374">
        <v>372</v>
      </c>
      <c r="C374" t="s">
        <v>43</v>
      </c>
      <c r="D374">
        <v>3</v>
      </c>
      <c r="F374">
        <v>1</v>
      </c>
      <c r="G374" t="s">
        <v>73</v>
      </c>
      <c r="H374" t="s">
        <v>99</v>
      </c>
      <c r="I374" t="s">
        <v>100</v>
      </c>
      <c r="J374" t="s">
        <v>101</v>
      </c>
      <c r="K374" t="s">
        <v>227</v>
      </c>
      <c r="L374">
        <v>2</v>
      </c>
      <c r="M374">
        <v>1</v>
      </c>
      <c r="N374">
        <v>1</v>
      </c>
      <c r="O374" t="s">
        <v>228</v>
      </c>
      <c r="S374" t="s">
        <v>45</v>
      </c>
      <c r="T374">
        <v>2</v>
      </c>
      <c r="V374">
        <v>1</v>
      </c>
      <c r="W374" t="s">
        <v>86</v>
      </c>
      <c r="AA374" t="s">
        <v>63</v>
      </c>
      <c r="AB374">
        <v>3</v>
      </c>
      <c r="AD374">
        <v>1</v>
      </c>
      <c r="AE374" t="s">
        <v>72</v>
      </c>
      <c r="AF374" t="s">
        <v>91</v>
      </c>
      <c r="AG374" t="s">
        <v>148</v>
      </c>
      <c r="AI374">
        <v>11</v>
      </c>
      <c r="AJ374">
        <v>44</v>
      </c>
    </row>
    <row r="375" spans="1:36" x14ac:dyDescent="0.25">
      <c r="A375" t="s">
        <v>967</v>
      </c>
      <c r="B375">
        <v>373</v>
      </c>
      <c r="C375" t="s">
        <v>45</v>
      </c>
      <c r="D375">
        <v>2</v>
      </c>
      <c r="F375">
        <v>1</v>
      </c>
      <c r="G375" t="s">
        <v>140</v>
      </c>
      <c r="K375" t="s">
        <v>38</v>
      </c>
      <c r="L375">
        <v>1</v>
      </c>
      <c r="M375">
        <v>1</v>
      </c>
      <c r="N375">
        <v>1</v>
      </c>
      <c r="O375" t="s">
        <v>152</v>
      </c>
      <c r="P375" t="s">
        <v>70</v>
      </c>
      <c r="Q375" t="s">
        <v>41</v>
      </c>
      <c r="S375" t="s">
        <v>43</v>
      </c>
      <c r="T375">
        <v>1</v>
      </c>
      <c r="V375">
        <v>1</v>
      </c>
      <c r="W375" t="s">
        <v>135</v>
      </c>
      <c r="X375" t="s">
        <v>136</v>
      </c>
      <c r="AA375" t="s">
        <v>227</v>
      </c>
      <c r="AB375">
        <v>1</v>
      </c>
      <c r="AC375">
        <v>1</v>
      </c>
      <c r="AD375">
        <v>1</v>
      </c>
      <c r="AE375" t="s">
        <v>228</v>
      </c>
      <c r="AI375">
        <v>4</v>
      </c>
      <c r="AJ375">
        <v>18</v>
      </c>
    </row>
    <row r="376" spans="1:36" x14ac:dyDescent="0.25">
      <c r="A376" t="s">
        <v>968</v>
      </c>
      <c r="B376">
        <v>374</v>
      </c>
      <c r="C376" t="s">
        <v>63</v>
      </c>
      <c r="D376">
        <v>1</v>
      </c>
      <c r="F376">
        <v>1</v>
      </c>
      <c r="G376" t="s">
        <v>72</v>
      </c>
      <c r="H376" t="s">
        <v>95</v>
      </c>
      <c r="K376" t="s">
        <v>38</v>
      </c>
      <c r="L376">
        <v>1</v>
      </c>
      <c r="M376">
        <v>1</v>
      </c>
      <c r="N376">
        <v>1</v>
      </c>
      <c r="O376" t="s">
        <v>67</v>
      </c>
      <c r="P376" t="s">
        <v>70</v>
      </c>
      <c r="S376" t="s">
        <v>43</v>
      </c>
      <c r="T376">
        <v>1</v>
      </c>
      <c r="V376">
        <v>1</v>
      </c>
      <c r="W376" t="s">
        <v>73</v>
      </c>
      <c r="X376" t="s">
        <v>74</v>
      </c>
      <c r="Y376" t="s">
        <v>100</v>
      </c>
      <c r="Z376" t="s">
        <v>101</v>
      </c>
      <c r="AA376" t="s">
        <v>227</v>
      </c>
      <c r="AB376">
        <v>1</v>
      </c>
      <c r="AC376">
        <v>1</v>
      </c>
      <c r="AD376">
        <v>1</v>
      </c>
      <c r="AE376" t="s">
        <v>228</v>
      </c>
      <c r="AI376">
        <v>5</v>
      </c>
      <c r="AJ376">
        <v>22</v>
      </c>
    </row>
    <row r="377" spans="1:36" x14ac:dyDescent="0.25">
      <c r="A377" t="s">
        <v>969</v>
      </c>
      <c r="B377">
        <v>375</v>
      </c>
      <c r="C377" t="s">
        <v>45</v>
      </c>
      <c r="D377">
        <v>1</v>
      </c>
      <c r="F377">
        <v>1</v>
      </c>
      <c r="G377" t="s">
        <v>140</v>
      </c>
      <c r="K377" t="s">
        <v>63</v>
      </c>
      <c r="L377">
        <v>2</v>
      </c>
      <c r="N377">
        <v>1</v>
      </c>
      <c r="O377" t="s">
        <v>72</v>
      </c>
      <c r="P377" t="s">
        <v>95</v>
      </c>
      <c r="Q377" t="s">
        <v>104</v>
      </c>
      <c r="S377" t="s">
        <v>38</v>
      </c>
      <c r="T377">
        <v>1</v>
      </c>
      <c r="U377">
        <v>1</v>
      </c>
      <c r="V377">
        <v>2</v>
      </c>
      <c r="W377" t="s">
        <v>67</v>
      </c>
      <c r="AA377" t="s">
        <v>227</v>
      </c>
      <c r="AB377">
        <v>2</v>
      </c>
      <c r="AC377">
        <v>1</v>
      </c>
      <c r="AD377">
        <v>3</v>
      </c>
      <c r="AE377" t="s">
        <v>228</v>
      </c>
      <c r="AF377" t="s">
        <v>231</v>
      </c>
      <c r="AG377" t="s">
        <v>235</v>
      </c>
      <c r="AI377">
        <v>9</v>
      </c>
      <c r="AJ377">
        <v>27</v>
      </c>
    </row>
    <row r="378" spans="1:36" x14ac:dyDescent="0.25">
      <c r="A378" t="s">
        <v>970</v>
      </c>
      <c r="B378">
        <v>376</v>
      </c>
      <c r="C378" t="s">
        <v>45</v>
      </c>
      <c r="D378">
        <v>2</v>
      </c>
      <c r="F378">
        <v>1</v>
      </c>
      <c r="G378" t="s">
        <v>86</v>
      </c>
      <c r="K378" t="s">
        <v>38</v>
      </c>
      <c r="L378">
        <v>1</v>
      </c>
      <c r="M378">
        <v>1</v>
      </c>
      <c r="N378">
        <v>2</v>
      </c>
      <c r="O378" t="s">
        <v>152</v>
      </c>
      <c r="P378" t="s">
        <v>70</v>
      </c>
      <c r="S378" t="s">
        <v>63</v>
      </c>
      <c r="T378">
        <v>1</v>
      </c>
      <c r="V378">
        <v>3</v>
      </c>
      <c r="W378" t="s">
        <v>72</v>
      </c>
      <c r="X378" t="s">
        <v>91</v>
      </c>
      <c r="AA378" t="s">
        <v>227</v>
      </c>
      <c r="AB378">
        <v>1</v>
      </c>
      <c r="AC378">
        <v>1</v>
      </c>
      <c r="AD378">
        <v>1</v>
      </c>
      <c r="AE378" t="s">
        <v>228</v>
      </c>
      <c r="AI378">
        <v>6</v>
      </c>
      <c r="AJ378">
        <v>21</v>
      </c>
    </row>
    <row r="379" spans="1:36" x14ac:dyDescent="0.25">
      <c r="A379" t="s">
        <v>971</v>
      </c>
      <c r="B379">
        <v>377</v>
      </c>
      <c r="C379" t="s">
        <v>63</v>
      </c>
      <c r="D379">
        <v>1</v>
      </c>
      <c r="F379">
        <v>1</v>
      </c>
      <c r="G379" t="s">
        <v>72</v>
      </c>
      <c r="H379" t="s">
        <v>91</v>
      </c>
      <c r="I379" t="s">
        <v>148</v>
      </c>
      <c r="K379" t="s">
        <v>38</v>
      </c>
      <c r="L379">
        <v>1</v>
      </c>
      <c r="M379">
        <v>1</v>
      </c>
      <c r="N379">
        <v>2</v>
      </c>
      <c r="O379" t="s">
        <v>152</v>
      </c>
      <c r="P379" t="s">
        <v>70</v>
      </c>
      <c r="S379" t="s">
        <v>45</v>
      </c>
      <c r="T379">
        <v>3</v>
      </c>
      <c r="V379">
        <v>2</v>
      </c>
      <c r="W379" t="s">
        <v>140</v>
      </c>
      <c r="AA379" t="s">
        <v>227</v>
      </c>
      <c r="AB379">
        <v>1</v>
      </c>
      <c r="AC379">
        <v>1</v>
      </c>
      <c r="AD379">
        <v>1</v>
      </c>
      <c r="AE379" t="s">
        <v>228</v>
      </c>
      <c r="AI379">
        <v>7</v>
      </c>
      <c r="AJ379">
        <v>26</v>
      </c>
    </row>
  </sheetData>
  <conditionalFormatting sqref="B1">
    <cfRule type="duplicateValues" dxfId="13" priority="8"/>
  </conditionalFormatting>
  <conditionalFormatting sqref="B380:B1048576 B1">
    <cfRule type="duplicateValues" dxfId="12" priority="6"/>
  </conditionalFormatting>
  <conditionalFormatting sqref="A380:B1048576">
    <cfRule type="duplicateValues" dxfId="11" priority="2879"/>
  </conditionalFormatting>
  <conditionalFormatting sqref="B2:B379">
    <cfRule type="duplicateValues" dxfId="10" priority="4477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34DB-9364-48EB-9A15-89282141558D}">
  <dimension ref="A1:P380"/>
  <sheetViews>
    <sheetView topLeftCell="A7" workbookViewId="0">
      <selection activeCell="O34" sqref="O34"/>
    </sheetView>
  </sheetViews>
  <sheetFormatPr defaultRowHeight="15" x14ac:dyDescent="0.25"/>
  <cols>
    <col min="1" max="1" width="10.5703125" bestFit="1" customWidth="1"/>
    <col min="2" max="2" width="11.42578125" bestFit="1" customWidth="1"/>
    <col min="3" max="3" width="13.5703125" bestFit="1" customWidth="1"/>
    <col min="4" max="5" width="11.42578125" bestFit="1" customWidth="1"/>
    <col min="6" max="6" width="13.5703125" bestFit="1" customWidth="1"/>
    <col min="7" max="7" width="9.42578125" bestFit="1" customWidth="1"/>
    <col min="9" max="10" width="11.42578125" bestFit="1" customWidth="1"/>
    <col min="11" max="11" width="9.42578125" bestFit="1" customWidth="1"/>
    <col min="12" max="12" width="7.42578125" bestFit="1" customWidth="1"/>
    <col min="13" max="13" width="10.85546875" style="3" bestFit="1" customWidth="1"/>
    <col min="15" max="15" width="25.140625" bestFit="1" customWidth="1"/>
    <col min="16" max="16" width="3" bestFit="1" customWidth="1"/>
    <col min="18" max="18" width="9.28515625" bestFit="1" customWidth="1"/>
  </cols>
  <sheetData>
    <row r="1" spans="1:16" ht="15.75" thickBot="1" x14ac:dyDescent="0.3">
      <c r="A1" s="36" t="s">
        <v>78</v>
      </c>
      <c r="B1" s="37"/>
      <c r="C1" s="37"/>
      <c r="D1" s="37"/>
      <c r="E1" s="37"/>
      <c r="F1" s="37"/>
      <c r="G1" s="38"/>
      <c r="I1" s="36" t="s">
        <v>82</v>
      </c>
      <c r="J1" s="37"/>
      <c r="K1" s="37"/>
      <c r="L1" s="37"/>
      <c r="M1" s="38"/>
      <c r="O1" s="4" t="s">
        <v>157</v>
      </c>
      <c r="P1" s="30">
        <f>MIN(Scenario1[crystals])</f>
        <v>3</v>
      </c>
    </row>
    <row r="2" spans="1:16" ht="15.75" thickBot="1" x14ac:dyDescent="0.3">
      <c r="A2" t="s">
        <v>59</v>
      </c>
      <c r="B2" t="s">
        <v>60</v>
      </c>
      <c r="C2" t="s">
        <v>81</v>
      </c>
      <c r="D2" t="s">
        <v>61</v>
      </c>
      <c r="E2" t="s">
        <v>62</v>
      </c>
      <c r="F2" t="s">
        <v>77</v>
      </c>
      <c r="G2" t="s">
        <v>58</v>
      </c>
      <c r="I2" t="s">
        <v>59</v>
      </c>
      <c r="J2" t="s">
        <v>60</v>
      </c>
      <c r="K2" t="s">
        <v>58</v>
      </c>
      <c r="L2" t="s">
        <v>79</v>
      </c>
      <c r="M2" s="3" t="s">
        <v>80</v>
      </c>
      <c r="O2" s="4" t="s">
        <v>107</v>
      </c>
      <c r="P2" s="30">
        <f>AVERAGE(Scenario1[crystals])</f>
        <v>9.4074074074074066</v>
      </c>
    </row>
    <row r="3" spans="1:16" ht="15.75" thickBot="1" x14ac:dyDescent="0.3">
      <c r="A3" t="s">
        <v>53</v>
      </c>
      <c r="B3" t="s">
        <v>56</v>
      </c>
      <c r="C3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" t="s">
        <v>48</v>
      </c>
      <c r="E3" t="s">
        <v>33</v>
      </c>
      <c r="F3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">
        <f>ScenarioStat1[[#This Row],[team-1-win]]+ScenarioStat1[[#This Row],[team-2-win]]</f>
        <v>1</v>
      </c>
      <c r="I3" t="s">
        <v>53</v>
      </c>
      <c r="J3" t="s">
        <v>56</v>
      </c>
      <c r="K3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3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7</v>
      </c>
      <c r="M3" s="3">
        <f>IF(ScenarioTeams1[[#This Row],[battles]],ScenarioTeams1[[#This Row],[wins]]/ScenarioTeams1[[#This Row],[battles]],0)</f>
        <v>0.33333333333333331</v>
      </c>
      <c r="O3" s="4" t="s">
        <v>159</v>
      </c>
      <c r="P3" s="30">
        <f>MAX(Scenario1[crystals])</f>
        <v>21</v>
      </c>
    </row>
    <row r="4" spans="1:16" ht="15.75" thickBot="1" x14ac:dyDescent="0.3">
      <c r="A4" t="s">
        <v>53</v>
      </c>
      <c r="B4" t="s">
        <v>56</v>
      </c>
      <c r="C4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4" t="s">
        <v>48</v>
      </c>
      <c r="E4" t="s">
        <v>43</v>
      </c>
      <c r="F4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4">
        <f>ScenarioStat1[[#This Row],[team-1-win]]+ScenarioStat1[[#This Row],[team-2-win]]</f>
        <v>1</v>
      </c>
      <c r="I4" t="s">
        <v>53</v>
      </c>
      <c r="J4" t="s">
        <v>48</v>
      </c>
      <c r="K4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4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10</v>
      </c>
      <c r="M4" s="3">
        <f>IF(ScenarioTeams1[[#This Row],[battles]],ScenarioTeams1[[#This Row],[wins]]/ScenarioTeams1[[#This Row],[battles]],0)</f>
        <v>0.47619047619047616</v>
      </c>
      <c r="P4" s="7"/>
    </row>
    <row r="5" spans="1:16" ht="15.75" thickBot="1" x14ac:dyDescent="0.3">
      <c r="A5" t="s">
        <v>53</v>
      </c>
      <c r="B5" t="s">
        <v>56</v>
      </c>
      <c r="C5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5" t="s">
        <v>48</v>
      </c>
      <c r="E5" t="s">
        <v>45</v>
      </c>
      <c r="F5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5">
        <f>ScenarioStat1[[#This Row],[team-1-win]]+ScenarioStat1[[#This Row],[team-2-win]]</f>
        <v>1</v>
      </c>
      <c r="I5" t="s">
        <v>53</v>
      </c>
      <c r="J5" t="s">
        <v>33</v>
      </c>
      <c r="K5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5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11</v>
      </c>
      <c r="M5" s="3">
        <f>IF(ScenarioTeams1[[#This Row],[battles]],ScenarioTeams1[[#This Row],[wins]]/ScenarioTeams1[[#This Row],[battles]],0)</f>
        <v>0.52380952380952384</v>
      </c>
      <c r="O5" s="4" t="s">
        <v>158</v>
      </c>
      <c r="P5" s="30">
        <f>MIN(Scenario1[turns])</f>
        <v>16</v>
      </c>
    </row>
    <row r="6" spans="1:16" ht="15.75" thickBot="1" x14ac:dyDescent="0.3">
      <c r="A6" t="s">
        <v>53</v>
      </c>
      <c r="B6" t="s">
        <v>56</v>
      </c>
      <c r="C6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6" t="s">
        <v>48</v>
      </c>
      <c r="E6" t="s">
        <v>63</v>
      </c>
      <c r="F6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6">
        <f>ScenarioStat1[[#This Row],[team-1-win]]+ScenarioStat1[[#This Row],[team-2-win]]</f>
        <v>1</v>
      </c>
      <c r="I6" t="s">
        <v>53</v>
      </c>
      <c r="J6" t="s">
        <v>43</v>
      </c>
      <c r="K6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6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10</v>
      </c>
      <c r="M6" s="3">
        <f>IF(ScenarioTeams1[[#This Row],[battles]],ScenarioTeams1[[#This Row],[wins]]/ScenarioTeams1[[#This Row],[battles]],0)</f>
        <v>0.47619047619047616</v>
      </c>
      <c r="O6" s="5" t="s">
        <v>108</v>
      </c>
      <c r="P6" s="31">
        <f>AVERAGE(Scenario1[turns])</f>
        <v>28.256613756613756</v>
      </c>
    </row>
    <row r="7" spans="1:16" ht="15.75" thickBot="1" x14ac:dyDescent="0.3">
      <c r="A7" t="s">
        <v>53</v>
      </c>
      <c r="B7" t="s">
        <v>56</v>
      </c>
      <c r="C7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7" t="s">
        <v>48</v>
      </c>
      <c r="E7" t="s">
        <v>38</v>
      </c>
      <c r="F7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7">
        <f>ScenarioStat1[[#This Row],[team-1-win]]+ScenarioStat1[[#This Row],[team-2-win]]</f>
        <v>1</v>
      </c>
      <c r="I7" t="s">
        <v>53</v>
      </c>
      <c r="J7" t="s">
        <v>45</v>
      </c>
      <c r="K7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7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10</v>
      </c>
      <c r="M7" s="3">
        <f>IF(ScenarioTeams1[[#This Row],[battles]],ScenarioTeams1[[#This Row],[wins]]/ScenarioTeams1[[#This Row],[battles]],0)</f>
        <v>0.47619047619047616</v>
      </c>
      <c r="O7" s="5" t="s">
        <v>160</v>
      </c>
      <c r="P7" s="31">
        <f>MAX(Scenario1[turns])</f>
        <v>63</v>
      </c>
    </row>
    <row r="8" spans="1:16" ht="15.75" thickBot="1" x14ac:dyDescent="0.3">
      <c r="A8" t="s">
        <v>53</v>
      </c>
      <c r="B8" t="s">
        <v>56</v>
      </c>
      <c r="C8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8" t="s">
        <v>48</v>
      </c>
      <c r="E8" t="s">
        <v>227</v>
      </c>
      <c r="F8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8">
        <f>ScenarioStat1[[#This Row],[team-1-win]]+ScenarioStat1[[#This Row],[team-2-win]]</f>
        <v>1</v>
      </c>
      <c r="I8" t="s">
        <v>53</v>
      </c>
      <c r="J8" t="s">
        <v>63</v>
      </c>
      <c r="K8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8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5</v>
      </c>
      <c r="M8" s="3">
        <f>IF(ScenarioTeams1[[#This Row],[battles]],ScenarioTeams1[[#This Row],[wins]]/ScenarioTeams1[[#This Row],[battles]],0)</f>
        <v>0.23809523809523808</v>
      </c>
    </row>
    <row r="9" spans="1:16" ht="15.75" thickBot="1" x14ac:dyDescent="0.3">
      <c r="A9" t="s">
        <v>53</v>
      </c>
      <c r="B9" t="s">
        <v>56</v>
      </c>
      <c r="C9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9" t="s">
        <v>33</v>
      </c>
      <c r="E9" t="s">
        <v>43</v>
      </c>
      <c r="F9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9">
        <f>ScenarioStat1[[#This Row],[team-1-win]]+ScenarioStat1[[#This Row],[team-2-win]]</f>
        <v>1</v>
      </c>
      <c r="I9" t="s">
        <v>53</v>
      </c>
      <c r="J9" t="s">
        <v>38</v>
      </c>
      <c r="K9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9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18</v>
      </c>
      <c r="M9" s="3">
        <f>IF(ScenarioTeams1[[#This Row],[battles]],ScenarioTeams1[[#This Row],[wins]]/ScenarioTeams1[[#This Row],[battles]],0)</f>
        <v>0.8571428571428571</v>
      </c>
      <c r="O9" s="4" t="s">
        <v>185</v>
      </c>
      <c r="P9" s="30">
        <f>120000*$P$6/1000/60</f>
        <v>56.513227513227513</v>
      </c>
    </row>
    <row r="10" spans="1:16" ht="15.75" thickBot="1" x14ac:dyDescent="0.3">
      <c r="A10" t="s">
        <v>53</v>
      </c>
      <c r="B10" t="s">
        <v>56</v>
      </c>
      <c r="C10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0" t="s">
        <v>33</v>
      </c>
      <c r="E10" t="s">
        <v>45</v>
      </c>
      <c r="F10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0">
        <f>ScenarioStat1[[#This Row],[team-1-win]]+ScenarioStat1[[#This Row],[team-2-win]]</f>
        <v>1</v>
      </c>
      <c r="I10" t="s">
        <v>53</v>
      </c>
      <c r="J10" t="s">
        <v>227</v>
      </c>
      <c r="K10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10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2</v>
      </c>
      <c r="M10" s="3">
        <f>IF(ScenarioTeams1[[#This Row],[battles]],ScenarioTeams1[[#This Row],[wins]]/ScenarioTeams1[[#This Row],[battles]],0)</f>
        <v>9.5238095238095233E-2</v>
      </c>
      <c r="O10" s="5" t="s">
        <v>186</v>
      </c>
      <c r="P10" s="31">
        <f>P9*COUNTA(ScenarioStat1[hero-1])/60/24</f>
        <v>14.834722222222224</v>
      </c>
    </row>
    <row r="11" spans="1:16" x14ac:dyDescent="0.25">
      <c r="A11" t="s">
        <v>53</v>
      </c>
      <c r="B11" t="s">
        <v>56</v>
      </c>
      <c r="C11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1" t="s">
        <v>33</v>
      </c>
      <c r="E11" t="s">
        <v>63</v>
      </c>
      <c r="F11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1">
        <f>ScenarioStat1[[#This Row],[team-1-win]]+ScenarioStat1[[#This Row],[team-2-win]]</f>
        <v>1</v>
      </c>
      <c r="I11" t="s">
        <v>56</v>
      </c>
      <c r="J11" t="s">
        <v>48</v>
      </c>
      <c r="K11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11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11</v>
      </c>
      <c r="M11" s="3">
        <f>IF(ScenarioTeams1[[#This Row],[battles]],ScenarioTeams1[[#This Row],[wins]]/ScenarioTeams1[[#This Row],[battles]],0)</f>
        <v>0.52380952380952384</v>
      </c>
    </row>
    <row r="12" spans="1:16" x14ac:dyDescent="0.25">
      <c r="A12" t="s">
        <v>53</v>
      </c>
      <c r="B12" t="s">
        <v>56</v>
      </c>
      <c r="C12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2" t="s">
        <v>33</v>
      </c>
      <c r="E12" t="s">
        <v>38</v>
      </c>
      <c r="F12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2">
        <f>ScenarioStat1[[#This Row],[team-1-win]]+ScenarioStat1[[#This Row],[team-2-win]]</f>
        <v>1</v>
      </c>
      <c r="I12" t="s">
        <v>56</v>
      </c>
      <c r="J12" t="s">
        <v>33</v>
      </c>
      <c r="K12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12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4</v>
      </c>
      <c r="M12" s="3">
        <f>IF(ScenarioTeams1[[#This Row],[battles]],ScenarioTeams1[[#This Row],[wins]]/ScenarioTeams1[[#This Row],[battles]],0)</f>
        <v>0.19047619047619047</v>
      </c>
    </row>
    <row r="13" spans="1:16" x14ac:dyDescent="0.25">
      <c r="A13" t="s">
        <v>53</v>
      </c>
      <c r="B13" t="s">
        <v>56</v>
      </c>
      <c r="C13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3" t="s">
        <v>33</v>
      </c>
      <c r="E13" t="s">
        <v>227</v>
      </c>
      <c r="F13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3">
        <f>ScenarioStat1[[#This Row],[team-1-win]]+ScenarioStat1[[#This Row],[team-2-win]]</f>
        <v>1</v>
      </c>
      <c r="I13" t="s">
        <v>56</v>
      </c>
      <c r="J13" t="s">
        <v>43</v>
      </c>
      <c r="K13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13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10</v>
      </c>
      <c r="M13" s="3">
        <f>IF(ScenarioTeams1[[#This Row],[battles]],ScenarioTeams1[[#This Row],[wins]]/ScenarioTeams1[[#This Row],[battles]],0)</f>
        <v>0.47619047619047616</v>
      </c>
    </row>
    <row r="14" spans="1:16" x14ac:dyDescent="0.25">
      <c r="A14" t="s">
        <v>53</v>
      </c>
      <c r="B14" t="s">
        <v>56</v>
      </c>
      <c r="C14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4" t="s">
        <v>43</v>
      </c>
      <c r="E14" t="s">
        <v>45</v>
      </c>
      <c r="F14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4">
        <f>ScenarioStat1[[#This Row],[team-1-win]]+ScenarioStat1[[#This Row],[team-2-win]]</f>
        <v>1</v>
      </c>
      <c r="I14" t="s">
        <v>56</v>
      </c>
      <c r="J14" t="s">
        <v>45</v>
      </c>
      <c r="K14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14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6</v>
      </c>
      <c r="M14" s="3">
        <f>IF(ScenarioTeams1[[#This Row],[battles]],ScenarioTeams1[[#This Row],[wins]]/ScenarioTeams1[[#This Row],[battles]],0)</f>
        <v>0.2857142857142857</v>
      </c>
    </row>
    <row r="15" spans="1:16" x14ac:dyDescent="0.25">
      <c r="A15" t="s">
        <v>53</v>
      </c>
      <c r="B15" t="s">
        <v>56</v>
      </c>
      <c r="C15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5" t="s">
        <v>43</v>
      </c>
      <c r="E15" t="s">
        <v>63</v>
      </c>
      <c r="F15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5">
        <f>ScenarioStat1[[#This Row],[team-1-win]]+ScenarioStat1[[#This Row],[team-2-win]]</f>
        <v>1</v>
      </c>
      <c r="I15" t="s">
        <v>56</v>
      </c>
      <c r="J15" t="s">
        <v>63</v>
      </c>
      <c r="K15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15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8</v>
      </c>
      <c r="M15" s="3">
        <f>IF(ScenarioTeams1[[#This Row],[battles]],ScenarioTeams1[[#This Row],[wins]]/ScenarioTeams1[[#This Row],[battles]],0)</f>
        <v>0.38095238095238093</v>
      </c>
    </row>
    <row r="16" spans="1:16" x14ac:dyDescent="0.25">
      <c r="A16" t="s">
        <v>53</v>
      </c>
      <c r="B16" t="s">
        <v>56</v>
      </c>
      <c r="C16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6" t="s">
        <v>43</v>
      </c>
      <c r="E16" t="s">
        <v>38</v>
      </c>
      <c r="F16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6">
        <f>ScenarioStat1[[#This Row],[team-1-win]]+ScenarioStat1[[#This Row],[team-2-win]]</f>
        <v>1</v>
      </c>
      <c r="I16" t="s">
        <v>56</v>
      </c>
      <c r="J16" t="s">
        <v>38</v>
      </c>
      <c r="K16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16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16</v>
      </c>
      <c r="M16" s="3">
        <f>IF(ScenarioTeams1[[#This Row],[battles]],ScenarioTeams1[[#This Row],[wins]]/ScenarioTeams1[[#This Row],[battles]],0)</f>
        <v>0.76190476190476186</v>
      </c>
    </row>
    <row r="17" spans="1:13" x14ac:dyDescent="0.25">
      <c r="A17" t="s">
        <v>53</v>
      </c>
      <c r="B17" t="s">
        <v>56</v>
      </c>
      <c r="C17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7" t="s">
        <v>43</v>
      </c>
      <c r="E17" t="s">
        <v>227</v>
      </c>
      <c r="F17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7">
        <f>ScenarioStat1[[#This Row],[team-1-win]]+ScenarioStat1[[#This Row],[team-2-win]]</f>
        <v>1</v>
      </c>
      <c r="I17" t="s">
        <v>56</v>
      </c>
      <c r="J17" t="s">
        <v>227</v>
      </c>
      <c r="K17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17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7</v>
      </c>
      <c r="M17" s="3">
        <f>IF(ScenarioTeams1[[#This Row],[battles]],ScenarioTeams1[[#This Row],[wins]]/ScenarioTeams1[[#This Row],[battles]],0)</f>
        <v>0.33333333333333331</v>
      </c>
    </row>
    <row r="18" spans="1:13" x14ac:dyDescent="0.25">
      <c r="A18" t="s">
        <v>53</v>
      </c>
      <c r="B18" t="s">
        <v>56</v>
      </c>
      <c r="C18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8" t="s">
        <v>45</v>
      </c>
      <c r="E18" t="s">
        <v>63</v>
      </c>
      <c r="F18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8">
        <f>ScenarioStat1[[#This Row],[team-1-win]]+ScenarioStat1[[#This Row],[team-2-win]]</f>
        <v>1</v>
      </c>
      <c r="I18" t="s">
        <v>48</v>
      </c>
      <c r="J18" t="s">
        <v>33</v>
      </c>
      <c r="K18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18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12</v>
      </c>
      <c r="M18" s="3">
        <f>IF(ScenarioTeams1[[#This Row],[battles]],ScenarioTeams1[[#This Row],[wins]]/ScenarioTeams1[[#This Row],[battles]],0)</f>
        <v>0.5714285714285714</v>
      </c>
    </row>
    <row r="19" spans="1:13" x14ac:dyDescent="0.25">
      <c r="A19" t="s">
        <v>53</v>
      </c>
      <c r="B19" t="s">
        <v>56</v>
      </c>
      <c r="C19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9" t="s">
        <v>45</v>
      </c>
      <c r="E19" t="s">
        <v>38</v>
      </c>
      <c r="F19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9">
        <f>ScenarioStat1[[#This Row],[team-1-win]]+ScenarioStat1[[#This Row],[team-2-win]]</f>
        <v>1</v>
      </c>
      <c r="I19" t="s">
        <v>48</v>
      </c>
      <c r="J19" t="s">
        <v>43</v>
      </c>
      <c r="K19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19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12</v>
      </c>
      <c r="M19" s="3">
        <f>IF(ScenarioTeams1[[#This Row],[battles]],ScenarioTeams1[[#This Row],[wins]]/ScenarioTeams1[[#This Row],[battles]],0)</f>
        <v>0.5714285714285714</v>
      </c>
    </row>
    <row r="20" spans="1:13" x14ac:dyDescent="0.25">
      <c r="A20" t="s">
        <v>53</v>
      </c>
      <c r="B20" t="s">
        <v>56</v>
      </c>
      <c r="C20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0" t="s">
        <v>45</v>
      </c>
      <c r="E20" t="s">
        <v>227</v>
      </c>
      <c r="F20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0">
        <f>ScenarioStat1[[#This Row],[team-1-win]]+ScenarioStat1[[#This Row],[team-2-win]]</f>
        <v>1</v>
      </c>
      <c r="I20" t="s">
        <v>48</v>
      </c>
      <c r="J20" t="s">
        <v>45</v>
      </c>
      <c r="K20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20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11</v>
      </c>
      <c r="M20" s="3">
        <f>IF(ScenarioTeams1[[#This Row],[battles]],ScenarioTeams1[[#This Row],[wins]]/ScenarioTeams1[[#This Row],[battles]],0)</f>
        <v>0.52380952380952384</v>
      </c>
    </row>
    <row r="21" spans="1:13" x14ac:dyDescent="0.25">
      <c r="A21" t="s">
        <v>53</v>
      </c>
      <c r="B21" t="s">
        <v>56</v>
      </c>
      <c r="C21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1" t="s">
        <v>63</v>
      </c>
      <c r="E21" t="s">
        <v>38</v>
      </c>
      <c r="F21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1">
        <f>ScenarioStat1[[#This Row],[team-1-win]]+ScenarioStat1[[#This Row],[team-2-win]]</f>
        <v>1</v>
      </c>
      <c r="I21" t="s">
        <v>48</v>
      </c>
      <c r="J21" t="s">
        <v>63</v>
      </c>
      <c r="K21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21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10</v>
      </c>
      <c r="M21" s="3">
        <f>IF(ScenarioTeams1[[#This Row],[battles]],ScenarioTeams1[[#This Row],[wins]]/ScenarioTeams1[[#This Row],[battles]],0)</f>
        <v>0.47619047619047616</v>
      </c>
    </row>
    <row r="22" spans="1:13" x14ac:dyDescent="0.25">
      <c r="A22" t="s">
        <v>53</v>
      </c>
      <c r="B22" t="s">
        <v>56</v>
      </c>
      <c r="C22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2" t="s">
        <v>63</v>
      </c>
      <c r="E22" t="s">
        <v>227</v>
      </c>
      <c r="F22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2">
        <f>ScenarioStat1[[#This Row],[team-1-win]]+ScenarioStat1[[#This Row],[team-2-win]]</f>
        <v>1</v>
      </c>
      <c r="I22" t="s">
        <v>48</v>
      </c>
      <c r="J22" t="s">
        <v>38</v>
      </c>
      <c r="K22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22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20</v>
      </c>
      <c r="M22" s="3">
        <f>IF(ScenarioTeams1[[#This Row],[battles]],ScenarioTeams1[[#This Row],[wins]]/ScenarioTeams1[[#This Row],[battles]],0)</f>
        <v>0.95238095238095233</v>
      </c>
    </row>
    <row r="23" spans="1:13" x14ac:dyDescent="0.25">
      <c r="A23" t="s">
        <v>53</v>
      </c>
      <c r="B23" t="s">
        <v>56</v>
      </c>
      <c r="C23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3" t="s">
        <v>38</v>
      </c>
      <c r="E23" t="s">
        <v>227</v>
      </c>
      <c r="F23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3">
        <f>ScenarioStat1[[#This Row],[team-1-win]]+ScenarioStat1[[#This Row],[team-2-win]]</f>
        <v>1</v>
      </c>
      <c r="I23" t="s">
        <v>48</v>
      </c>
      <c r="J23" t="s">
        <v>227</v>
      </c>
      <c r="K23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23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10</v>
      </c>
      <c r="M23" s="3">
        <f>IF(ScenarioTeams1[[#This Row],[battles]],ScenarioTeams1[[#This Row],[wins]]/ScenarioTeams1[[#This Row],[battles]],0)</f>
        <v>0.47619047619047616</v>
      </c>
    </row>
    <row r="24" spans="1:13" x14ac:dyDescent="0.25">
      <c r="A24" t="s">
        <v>53</v>
      </c>
      <c r="B24" t="s">
        <v>48</v>
      </c>
      <c r="C24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4" t="s">
        <v>56</v>
      </c>
      <c r="E24" t="s">
        <v>33</v>
      </c>
      <c r="F24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4">
        <f>ScenarioStat1[[#This Row],[team-1-win]]+ScenarioStat1[[#This Row],[team-2-win]]</f>
        <v>1</v>
      </c>
      <c r="I24" t="s">
        <v>33</v>
      </c>
      <c r="J24" t="s">
        <v>43</v>
      </c>
      <c r="K24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24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11</v>
      </c>
      <c r="M24" s="3">
        <f>IF(ScenarioTeams1[[#This Row],[battles]],ScenarioTeams1[[#This Row],[wins]]/ScenarioTeams1[[#This Row],[battles]],0)</f>
        <v>0.52380952380952384</v>
      </c>
    </row>
    <row r="25" spans="1:13" x14ac:dyDescent="0.25">
      <c r="A25" t="s">
        <v>53</v>
      </c>
      <c r="B25" t="s">
        <v>48</v>
      </c>
      <c r="C25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5" t="s">
        <v>56</v>
      </c>
      <c r="E25" t="s">
        <v>43</v>
      </c>
      <c r="F25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5">
        <f>ScenarioStat1[[#This Row],[team-1-win]]+ScenarioStat1[[#This Row],[team-2-win]]</f>
        <v>1</v>
      </c>
      <c r="I25" t="s">
        <v>33</v>
      </c>
      <c r="J25" t="s">
        <v>45</v>
      </c>
      <c r="K25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25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16</v>
      </c>
      <c r="M25" s="3">
        <f>IF(ScenarioTeams1[[#This Row],[battles]],ScenarioTeams1[[#This Row],[wins]]/ScenarioTeams1[[#This Row],[battles]],0)</f>
        <v>0.76190476190476186</v>
      </c>
    </row>
    <row r="26" spans="1:13" x14ac:dyDescent="0.25">
      <c r="A26" t="s">
        <v>53</v>
      </c>
      <c r="B26" t="s">
        <v>48</v>
      </c>
      <c r="C26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6" t="s">
        <v>56</v>
      </c>
      <c r="E26" t="s">
        <v>45</v>
      </c>
      <c r="F26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6">
        <f>ScenarioStat1[[#This Row],[team-1-win]]+ScenarioStat1[[#This Row],[team-2-win]]</f>
        <v>1</v>
      </c>
      <c r="I26" t="s">
        <v>33</v>
      </c>
      <c r="J26" t="s">
        <v>63</v>
      </c>
      <c r="K26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26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8</v>
      </c>
      <c r="M26" s="3">
        <f>IF(ScenarioTeams1[[#This Row],[battles]],ScenarioTeams1[[#This Row],[wins]]/ScenarioTeams1[[#This Row],[battles]],0)</f>
        <v>0.38095238095238093</v>
      </c>
    </row>
    <row r="27" spans="1:13" x14ac:dyDescent="0.25">
      <c r="A27" t="s">
        <v>53</v>
      </c>
      <c r="B27" t="s">
        <v>48</v>
      </c>
      <c r="C27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7" t="s">
        <v>56</v>
      </c>
      <c r="E27" t="s">
        <v>63</v>
      </c>
      <c r="F27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7">
        <f>ScenarioStat1[[#This Row],[team-1-win]]+ScenarioStat1[[#This Row],[team-2-win]]</f>
        <v>1</v>
      </c>
      <c r="I27" t="s">
        <v>33</v>
      </c>
      <c r="J27" t="s">
        <v>38</v>
      </c>
      <c r="K27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27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18</v>
      </c>
      <c r="M27" s="3">
        <f>IF(ScenarioTeams1[[#This Row],[battles]],ScenarioTeams1[[#This Row],[wins]]/ScenarioTeams1[[#This Row],[battles]],0)</f>
        <v>0.8571428571428571</v>
      </c>
    </row>
    <row r="28" spans="1:13" x14ac:dyDescent="0.25">
      <c r="A28" t="s">
        <v>53</v>
      </c>
      <c r="B28" t="s">
        <v>48</v>
      </c>
      <c r="C28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8" t="s">
        <v>56</v>
      </c>
      <c r="E28" t="s">
        <v>38</v>
      </c>
      <c r="F28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8">
        <f>ScenarioStat1[[#This Row],[team-1-win]]+ScenarioStat1[[#This Row],[team-2-win]]</f>
        <v>1</v>
      </c>
      <c r="I28" t="s">
        <v>33</v>
      </c>
      <c r="J28" t="s">
        <v>227</v>
      </c>
      <c r="K28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28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9</v>
      </c>
      <c r="M28" s="3">
        <f>IF(ScenarioTeams1[[#This Row],[battles]],ScenarioTeams1[[#This Row],[wins]]/ScenarioTeams1[[#This Row],[battles]],0)</f>
        <v>0.42857142857142855</v>
      </c>
    </row>
    <row r="29" spans="1:13" x14ac:dyDescent="0.25">
      <c r="A29" t="s">
        <v>53</v>
      </c>
      <c r="B29" t="s">
        <v>48</v>
      </c>
      <c r="C29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9" t="s">
        <v>56</v>
      </c>
      <c r="E29" t="s">
        <v>227</v>
      </c>
      <c r="F29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9">
        <f>ScenarioStat1[[#This Row],[team-1-win]]+ScenarioStat1[[#This Row],[team-2-win]]</f>
        <v>1</v>
      </c>
      <c r="I29" t="s">
        <v>43</v>
      </c>
      <c r="J29" t="s">
        <v>45</v>
      </c>
      <c r="K29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29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10</v>
      </c>
      <c r="M29" s="3">
        <f>IF(ScenarioTeams1[[#This Row],[battles]],ScenarioTeams1[[#This Row],[wins]]/ScenarioTeams1[[#This Row],[battles]],0)</f>
        <v>0.47619047619047616</v>
      </c>
    </row>
    <row r="30" spans="1:13" x14ac:dyDescent="0.25">
      <c r="A30" t="s">
        <v>53</v>
      </c>
      <c r="B30" t="s">
        <v>48</v>
      </c>
      <c r="C30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0" t="s">
        <v>33</v>
      </c>
      <c r="E30" t="s">
        <v>43</v>
      </c>
      <c r="F30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0">
        <f>ScenarioStat1[[#This Row],[team-1-win]]+ScenarioStat1[[#This Row],[team-2-win]]</f>
        <v>1</v>
      </c>
      <c r="I30" t="s">
        <v>43</v>
      </c>
      <c r="J30" t="s">
        <v>63</v>
      </c>
      <c r="K30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30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12</v>
      </c>
      <c r="M30" s="3">
        <f>IF(ScenarioTeams1[[#This Row],[battles]],ScenarioTeams1[[#This Row],[wins]]/ScenarioTeams1[[#This Row],[battles]],0)</f>
        <v>0.5714285714285714</v>
      </c>
    </row>
    <row r="31" spans="1:13" x14ac:dyDescent="0.25">
      <c r="A31" t="s">
        <v>53</v>
      </c>
      <c r="B31" t="s">
        <v>48</v>
      </c>
      <c r="C31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1" t="s">
        <v>33</v>
      </c>
      <c r="E31" t="s">
        <v>45</v>
      </c>
      <c r="F31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1">
        <f>ScenarioStat1[[#This Row],[team-1-win]]+ScenarioStat1[[#This Row],[team-2-win]]</f>
        <v>1</v>
      </c>
      <c r="I31" t="s">
        <v>43</v>
      </c>
      <c r="J31" t="s">
        <v>38</v>
      </c>
      <c r="K31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31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17</v>
      </c>
      <c r="M31" s="3">
        <f>IF(ScenarioTeams1[[#This Row],[battles]],ScenarioTeams1[[#This Row],[wins]]/ScenarioTeams1[[#This Row],[battles]],0)</f>
        <v>0.80952380952380953</v>
      </c>
    </row>
    <row r="32" spans="1:13" x14ac:dyDescent="0.25">
      <c r="A32" t="s">
        <v>53</v>
      </c>
      <c r="B32" t="s">
        <v>48</v>
      </c>
      <c r="C32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2" t="s">
        <v>33</v>
      </c>
      <c r="E32" t="s">
        <v>63</v>
      </c>
      <c r="F32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2">
        <f>ScenarioStat1[[#This Row],[team-1-win]]+ScenarioStat1[[#This Row],[team-2-win]]</f>
        <v>1</v>
      </c>
      <c r="I32" t="s">
        <v>43</v>
      </c>
      <c r="J32" t="s">
        <v>227</v>
      </c>
      <c r="K32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32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11</v>
      </c>
      <c r="M32" s="3">
        <f>IF(ScenarioTeams1[[#This Row],[battles]],ScenarioTeams1[[#This Row],[wins]]/ScenarioTeams1[[#This Row],[battles]],0)</f>
        <v>0.52380952380952384</v>
      </c>
    </row>
    <row r="33" spans="1:13" x14ac:dyDescent="0.25">
      <c r="A33" t="s">
        <v>53</v>
      </c>
      <c r="B33" t="s">
        <v>48</v>
      </c>
      <c r="C33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3" t="s">
        <v>33</v>
      </c>
      <c r="E33" t="s">
        <v>38</v>
      </c>
      <c r="F33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3">
        <f>ScenarioStat1[[#This Row],[team-1-win]]+ScenarioStat1[[#This Row],[team-2-win]]</f>
        <v>1</v>
      </c>
      <c r="I33" t="s">
        <v>45</v>
      </c>
      <c r="J33" t="s">
        <v>63</v>
      </c>
      <c r="K33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33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7</v>
      </c>
      <c r="M33" s="3">
        <f>IF(ScenarioTeams1[[#This Row],[battles]],ScenarioTeams1[[#This Row],[wins]]/ScenarioTeams1[[#This Row],[battles]],0)</f>
        <v>0.33333333333333331</v>
      </c>
    </row>
    <row r="34" spans="1:13" x14ac:dyDescent="0.25">
      <c r="A34" t="s">
        <v>53</v>
      </c>
      <c r="B34" t="s">
        <v>48</v>
      </c>
      <c r="C34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4" t="s">
        <v>33</v>
      </c>
      <c r="E34" t="s">
        <v>227</v>
      </c>
      <c r="F34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4">
        <f>ScenarioStat1[[#This Row],[team-1-win]]+ScenarioStat1[[#This Row],[team-2-win]]</f>
        <v>1</v>
      </c>
      <c r="I34" t="s">
        <v>45</v>
      </c>
      <c r="J34" t="s">
        <v>38</v>
      </c>
      <c r="K34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34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18</v>
      </c>
      <c r="M34" s="3">
        <f>IF(ScenarioTeams1[[#This Row],[battles]],ScenarioTeams1[[#This Row],[wins]]/ScenarioTeams1[[#This Row],[battles]],0)</f>
        <v>0.8571428571428571</v>
      </c>
    </row>
    <row r="35" spans="1:13" x14ac:dyDescent="0.25">
      <c r="A35" t="s">
        <v>53</v>
      </c>
      <c r="B35" t="s">
        <v>48</v>
      </c>
      <c r="C35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5" t="s">
        <v>43</v>
      </c>
      <c r="E35" t="s">
        <v>45</v>
      </c>
      <c r="F35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5">
        <f>ScenarioStat1[[#This Row],[team-1-win]]+ScenarioStat1[[#This Row],[team-2-win]]</f>
        <v>1</v>
      </c>
      <c r="I35" t="s">
        <v>45</v>
      </c>
      <c r="J35" t="s">
        <v>227</v>
      </c>
      <c r="K35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35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7</v>
      </c>
      <c r="M35" s="3">
        <f>IF(ScenarioTeams1[[#This Row],[battles]],ScenarioTeams1[[#This Row],[wins]]/ScenarioTeams1[[#This Row],[battles]],0)</f>
        <v>0.33333333333333331</v>
      </c>
    </row>
    <row r="36" spans="1:13" x14ac:dyDescent="0.25">
      <c r="A36" t="s">
        <v>53</v>
      </c>
      <c r="B36" t="s">
        <v>48</v>
      </c>
      <c r="C36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6" t="s">
        <v>43</v>
      </c>
      <c r="E36" t="s">
        <v>63</v>
      </c>
      <c r="F36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6">
        <f>ScenarioStat1[[#This Row],[team-1-win]]+ScenarioStat1[[#This Row],[team-2-win]]</f>
        <v>1</v>
      </c>
      <c r="I36" t="s">
        <v>63</v>
      </c>
      <c r="J36" t="s">
        <v>38</v>
      </c>
      <c r="K36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36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11</v>
      </c>
      <c r="M36" s="3">
        <f>IF(ScenarioTeams1[[#This Row],[battles]],ScenarioTeams1[[#This Row],[wins]]/ScenarioTeams1[[#This Row],[battles]],0)</f>
        <v>0.52380952380952384</v>
      </c>
    </row>
    <row r="37" spans="1:13" x14ac:dyDescent="0.25">
      <c r="A37" t="s">
        <v>53</v>
      </c>
      <c r="B37" t="s">
        <v>48</v>
      </c>
      <c r="C37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7" t="s">
        <v>43</v>
      </c>
      <c r="E37" t="s">
        <v>38</v>
      </c>
      <c r="F37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7">
        <f>ScenarioStat1[[#This Row],[team-1-win]]+ScenarioStat1[[#This Row],[team-2-win]]</f>
        <v>1</v>
      </c>
      <c r="I37" t="s">
        <v>38</v>
      </c>
      <c r="J37" t="s">
        <v>227</v>
      </c>
      <c r="K37">
        <f>COUNTIFS(ScenarioStat1[hero-1],ScenarioTeams1[[#This Row],[hero-1]],ScenarioStat1[hero-2],ScenarioTeams1[[#This Row],[hero-2]],ScenarioStat1[battles],"1")+COUNTIFS(ScenarioStat1[hero-3],ScenarioTeams1[[#This Row],[hero-1]],ScenarioStat1[hero-4],ScenarioTeams1[[#This Row],[hero-2]],ScenarioStat1[battles],"1")</f>
        <v>21</v>
      </c>
      <c r="L37">
        <f>COUNTIFS(ScenarioStat1[hero-1],ScenarioTeams1[[#This Row],[hero-1]],ScenarioStat1[hero-2],ScenarioTeams1[[#This Row],[hero-2]],ScenarioStat1[team-1-win],"1")+COUNTIFS(ScenarioStat1[hero-3],ScenarioTeams1[[#This Row],[hero-1]],ScenarioStat1[hero-4],ScenarioTeams1[[#This Row],[hero-2]],ScenarioStat1[team-2-win],"1")</f>
        <v>12</v>
      </c>
      <c r="M37" s="3">
        <f>IF(ScenarioTeams1[[#This Row],[battles]],ScenarioTeams1[[#This Row],[wins]]/ScenarioTeams1[[#This Row],[battles]],0)</f>
        <v>0.5714285714285714</v>
      </c>
    </row>
    <row r="38" spans="1:13" x14ac:dyDescent="0.25">
      <c r="A38" t="s">
        <v>53</v>
      </c>
      <c r="B38" t="s">
        <v>48</v>
      </c>
      <c r="C38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8" t="s">
        <v>43</v>
      </c>
      <c r="E38" t="s">
        <v>227</v>
      </c>
      <c r="F38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8">
        <f>ScenarioStat1[[#This Row],[team-1-win]]+ScenarioStat1[[#This Row],[team-2-win]]</f>
        <v>1</v>
      </c>
    </row>
    <row r="39" spans="1:13" x14ac:dyDescent="0.25">
      <c r="A39" t="s">
        <v>53</v>
      </c>
      <c r="B39" t="s">
        <v>48</v>
      </c>
      <c r="C39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9" t="s">
        <v>45</v>
      </c>
      <c r="E39" t="s">
        <v>63</v>
      </c>
      <c r="F39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9">
        <f>ScenarioStat1[[#This Row],[team-1-win]]+ScenarioStat1[[#This Row],[team-2-win]]</f>
        <v>1</v>
      </c>
    </row>
    <row r="40" spans="1:13" x14ac:dyDescent="0.25">
      <c r="A40" t="s">
        <v>53</v>
      </c>
      <c r="B40" t="s">
        <v>48</v>
      </c>
      <c r="C40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40" t="s">
        <v>45</v>
      </c>
      <c r="E40" t="s">
        <v>38</v>
      </c>
      <c r="F40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40">
        <f>ScenarioStat1[[#This Row],[team-1-win]]+ScenarioStat1[[#This Row],[team-2-win]]</f>
        <v>1</v>
      </c>
    </row>
    <row r="41" spans="1:13" x14ac:dyDescent="0.25">
      <c r="A41" t="s">
        <v>53</v>
      </c>
      <c r="B41" t="s">
        <v>48</v>
      </c>
      <c r="C41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41" t="s">
        <v>45</v>
      </c>
      <c r="E41" t="s">
        <v>227</v>
      </c>
      <c r="F41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41">
        <f>ScenarioStat1[[#This Row],[team-1-win]]+ScenarioStat1[[#This Row],[team-2-win]]</f>
        <v>1</v>
      </c>
    </row>
    <row r="42" spans="1:13" x14ac:dyDescent="0.25">
      <c r="A42" t="s">
        <v>53</v>
      </c>
      <c r="B42" t="s">
        <v>48</v>
      </c>
      <c r="C42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42" t="s">
        <v>63</v>
      </c>
      <c r="E42" t="s">
        <v>38</v>
      </c>
      <c r="F42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42">
        <f>ScenarioStat1[[#This Row],[team-1-win]]+ScenarioStat1[[#This Row],[team-2-win]]</f>
        <v>1</v>
      </c>
    </row>
    <row r="43" spans="1:13" x14ac:dyDescent="0.25">
      <c r="A43" t="s">
        <v>53</v>
      </c>
      <c r="B43" t="s">
        <v>48</v>
      </c>
      <c r="C43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43" t="s">
        <v>63</v>
      </c>
      <c r="E43" t="s">
        <v>227</v>
      </c>
      <c r="F43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43">
        <f>ScenarioStat1[[#This Row],[team-1-win]]+ScenarioStat1[[#This Row],[team-2-win]]</f>
        <v>1</v>
      </c>
    </row>
    <row r="44" spans="1:13" x14ac:dyDescent="0.25">
      <c r="A44" t="s">
        <v>53</v>
      </c>
      <c r="B44" t="s">
        <v>48</v>
      </c>
      <c r="C44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44" t="s">
        <v>38</v>
      </c>
      <c r="E44" t="s">
        <v>227</v>
      </c>
      <c r="F44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44">
        <f>ScenarioStat1[[#This Row],[team-1-win]]+ScenarioStat1[[#This Row],[team-2-win]]</f>
        <v>1</v>
      </c>
    </row>
    <row r="45" spans="1:13" x14ac:dyDescent="0.25">
      <c r="A45" t="s">
        <v>53</v>
      </c>
      <c r="B45" t="s">
        <v>33</v>
      </c>
      <c r="C45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45" t="s">
        <v>56</v>
      </c>
      <c r="E45" t="s">
        <v>48</v>
      </c>
      <c r="F45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45">
        <f>ScenarioStat1[[#This Row],[team-1-win]]+ScenarioStat1[[#This Row],[team-2-win]]</f>
        <v>1</v>
      </c>
    </row>
    <row r="46" spans="1:13" x14ac:dyDescent="0.25">
      <c r="A46" t="s">
        <v>53</v>
      </c>
      <c r="B46" t="s">
        <v>33</v>
      </c>
      <c r="C46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46" t="s">
        <v>56</v>
      </c>
      <c r="E46" t="s">
        <v>43</v>
      </c>
      <c r="F46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46">
        <f>ScenarioStat1[[#This Row],[team-1-win]]+ScenarioStat1[[#This Row],[team-2-win]]</f>
        <v>1</v>
      </c>
    </row>
    <row r="47" spans="1:13" x14ac:dyDescent="0.25">
      <c r="A47" t="s">
        <v>53</v>
      </c>
      <c r="B47" t="s">
        <v>33</v>
      </c>
      <c r="C47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47" t="s">
        <v>56</v>
      </c>
      <c r="E47" t="s">
        <v>45</v>
      </c>
      <c r="F47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47">
        <f>ScenarioStat1[[#This Row],[team-1-win]]+ScenarioStat1[[#This Row],[team-2-win]]</f>
        <v>1</v>
      </c>
    </row>
    <row r="48" spans="1:13" x14ac:dyDescent="0.25">
      <c r="A48" t="s">
        <v>53</v>
      </c>
      <c r="B48" t="s">
        <v>33</v>
      </c>
      <c r="C48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48" t="s">
        <v>56</v>
      </c>
      <c r="E48" t="s">
        <v>63</v>
      </c>
      <c r="F48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48">
        <f>ScenarioStat1[[#This Row],[team-1-win]]+ScenarioStat1[[#This Row],[team-2-win]]</f>
        <v>1</v>
      </c>
    </row>
    <row r="49" spans="1:7" x14ac:dyDescent="0.25">
      <c r="A49" t="s">
        <v>53</v>
      </c>
      <c r="B49" t="s">
        <v>33</v>
      </c>
      <c r="C49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49" t="s">
        <v>56</v>
      </c>
      <c r="E49" t="s">
        <v>38</v>
      </c>
      <c r="F49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49">
        <f>ScenarioStat1[[#This Row],[team-1-win]]+ScenarioStat1[[#This Row],[team-2-win]]</f>
        <v>1</v>
      </c>
    </row>
    <row r="50" spans="1:7" x14ac:dyDescent="0.25">
      <c r="A50" t="s">
        <v>53</v>
      </c>
      <c r="B50" t="s">
        <v>33</v>
      </c>
      <c r="C50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50" t="s">
        <v>56</v>
      </c>
      <c r="E50" t="s">
        <v>227</v>
      </c>
      <c r="F50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50">
        <f>ScenarioStat1[[#This Row],[team-1-win]]+ScenarioStat1[[#This Row],[team-2-win]]</f>
        <v>1</v>
      </c>
    </row>
    <row r="51" spans="1:7" x14ac:dyDescent="0.25">
      <c r="A51" t="s">
        <v>53</v>
      </c>
      <c r="B51" t="s">
        <v>33</v>
      </c>
      <c r="C51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51" t="s">
        <v>48</v>
      </c>
      <c r="E51" t="s">
        <v>43</v>
      </c>
      <c r="F51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51">
        <f>ScenarioStat1[[#This Row],[team-1-win]]+ScenarioStat1[[#This Row],[team-2-win]]</f>
        <v>1</v>
      </c>
    </row>
    <row r="52" spans="1:7" x14ac:dyDescent="0.25">
      <c r="A52" t="s">
        <v>53</v>
      </c>
      <c r="B52" t="s">
        <v>33</v>
      </c>
      <c r="C52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52" t="s">
        <v>48</v>
      </c>
      <c r="E52" t="s">
        <v>45</v>
      </c>
      <c r="F52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52">
        <f>ScenarioStat1[[#This Row],[team-1-win]]+ScenarioStat1[[#This Row],[team-2-win]]</f>
        <v>1</v>
      </c>
    </row>
    <row r="53" spans="1:7" x14ac:dyDescent="0.25">
      <c r="A53" t="s">
        <v>53</v>
      </c>
      <c r="B53" t="s">
        <v>33</v>
      </c>
      <c r="C53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53" t="s">
        <v>48</v>
      </c>
      <c r="E53" t="s">
        <v>63</v>
      </c>
      <c r="F53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53">
        <f>ScenarioStat1[[#This Row],[team-1-win]]+ScenarioStat1[[#This Row],[team-2-win]]</f>
        <v>1</v>
      </c>
    </row>
    <row r="54" spans="1:7" x14ac:dyDescent="0.25">
      <c r="A54" t="s">
        <v>53</v>
      </c>
      <c r="B54" t="s">
        <v>33</v>
      </c>
      <c r="C54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54" t="s">
        <v>48</v>
      </c>
      <c r="E54" t="s">
        <v>38</v>
      </c>
      <c r="F54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54">
        <f>ScenarioStat1[[#This Row],[team-1-win]]+ScenarioStat1[[#This Row],[team-2-win]]</f>
        <v>1</v>
      </c>
    </row>
    <row r="55" spans="1:7" x14ac:dyDescent="0.25">
      <c r="A55" t="s">
        <v>53</v>
      </c>
      <c r="B55" t="s">
        <v>33</v>
      </c>
      <c r="C55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55" t="s">
        <v>48</v>
      </c>
      <c r="E55" t="s">
        <v>227</v>
      </c>
      <c r="F55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55">
        <f>ScenarioStat1[[#This Row],[team-1-win]]+ScenarioStat1[[#This Row],[team-2-win]]</f>
        <v>1</v>
      </c>
    </row>
    <row r="56" spans="1:7" x14ac:dyDescent="0.25">
      <c r="A56" t="s">
        <v>53</v>
      </c>
      <c r="B56" t="s">
        <v>33</v>
      </c>
      <c r="C56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56" t="s">
        <v>43</v>
      </c>
      <c r="E56" t="s">
        <v>45</v>
      </c>
      <c r="F56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56">
        <f>ScenarioStat1[[#This Row],[team-1-win]]+ScenarioStat1[[#This Row],[team-2-win]]</f>
        <v>1</v>
      </c>
    </row>
    <row r="57" spans="1:7" x14ac:dyDescent="0.25">
      <c r="A57" t="s">
        <v>53</v>
      </c>
      <c r="B57" t="s">
        <v>33</v>
      </c>
      <c r="C57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57" t="s">
        <v>43</v>
      </c>
      <c r="E57" t="s">
        <v>63</v>
      </c>
      <c r="F57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57">
        <f>ScenarioStat1[[#This Row],[team-1-win]]+ScenarioStat1[[#This Row],[team-2-win]]</f>
        <v>1</v>
      </c>
    </row>
    <row r="58" spans="1:7" x14ac:dyDescent="0.25">
      <c r="A58" t="s">
        <v>53</v>
      </c>
      <c r="B58" t="s">
        <v>33</v>
      </c>
      <c r="C58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58" t="s">
        <v>43</v>
      </c>
      <c r="E58" t="s">
        <v>38</v>
      </c>
      <c r="F58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58">
        <f>ScenarioStat1[[#This Row],[team-1-win]]+ScenarioStat1[[#This Row],[team-2-win]]</f>
        <v>1</v>
      </c>
    </row>
    <row r="59" spans="1:7" x14ac:dyDescent="0.25">
      <c r="A59" t="s">
        <v>53</v>
      </c>
      <c r="B59" t="s">
        <v>33</v>
      </c>
      <c r="C59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59" t="s">
        <v>43</v>
      </c>
      <c r="E59" t="s">
        <v>227</v>
      </c>
      <c r="F59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59">
        <f>ScenarioStat1[[#This Row],[team-1-win]]+ScenarioStat1[[#This Row],[team-2-win]]</f>
        <v>1</v>
      </c>
    </row>
    <row r="60" spans="1:7" x14ac:dyDescent="0.25">
      <c r="A60" t="s">
        <v>53</v>
      </c>
      <c r="B60" t="s">
        <v>33</v>
      </c>
      <c r="C60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60" t="s">
        <v>45</v>
      </c>
      <c r="E60" t="s">
        <v>63</v>
      </c>
      <c r="F60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60">
        <f>ScenarioStat1[[#This Row],[team-1-win]]+ScenarioStat1[[#This Row],[team-2-win]]</f>
        <v>1</v>
      </c>
    </row>
    <row r="61" spans="1:7" x14ac:dyDescent="0.25">
      <c r="A61" t="s">
        <v>53</v>
      </c>
      <c r="B61" t="s">
        <v>33</v>
      </c>
      <c r="C61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61" t="s">
        <v>45</v>
      </c>
      <c r="E61" t="s">
        <v>38</v>
      </c>
      <c r="F61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61">
        <f>ScenarioStat1[[#This Row],[team-1-win]]+ScenarioStat1[[#This Row],[team-2-win]]</f>
        <v>1</v>
      </c>
    </row>
    <row r="62" spans="1:7" x14ac:dyDescent="0.25">
      <c r="A62" t="s">
        <v>53</v>
      </c>
      <c r="B62" t="s">
        <v>33</v>
      </c>
      <c r="C62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62" t="s">
        <v>45</v>
      </c>
      <c r="E62" t="s">
        <v>227</v>
      </c>
      <c r="F62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62">
        <f>ScenarioStat1[[#This Row],[team-1-win]]+ScenarioStat1[[#This Row],[team-2-win]]</f>
        <v>1</v>
      </c>
    </row>
    <row r="63" spans="1:7" x14ac:dyDescent="0.25">
      <c r="A63" t="s">
        <v>53</v>
      </c>
      <c r="B63" t="s">
        <v>33</v>
      </c>
      <c r="C63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63" t="s">
        <v>63</v>
      </c>
      <c r="E63" t="s">
        <v>38</v>
      </c>
      <c r="F63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63">
        <f>ScenarioStat1[[#This Row],[team-1-win]]+ScenarioStat1[[#This Row],[team-2-win]]</f>
        <v>1</v>
      </c>
    </row>
    <row r="64" spans="1:7" x14ac:dyDescent="0.25">
      <c r="A64" t="s">
        <v>53</v>
      </c>
      <c r="B64" t="s">
        <v>33</v>
      </c>
      <c r="C64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64" t="s">
        <v>63</v>
      </c>
      <c r="E64" t="s">
        <v>227</v>
      </c>
      <c r="F64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64">
        <f>ScenarioStat1[[#This Row],[team-1-win]]+ScenarioStat1[[#This Row],[team-2-win]]</f>
        <v>1</v>
      </c>
    </row>
    <row r="65" spans="1:7" x14ac:dyDescent="0.25">
      <c r="A65" t="s">
        <v>53</v>
      </c>
      <c r="B65" t="s">
        <v>33</v>
      </c>
      <c r="C65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65" t="s">
        <v>38</v>
      </c>
      <c r="E65" t="s">
        <v>227</v>
      </c>
      <c r="F65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65">
        <f>ScenarioStat1[[#This Row],[team-1-win]]+ScenarioStat1[[#This Row],[team-2-win]]</f>
        <v>1</v>
      </c>
    </row>
    <row r="66" spans="1:7" x14ac:dyDescent="0.25">
      <c r="A66" t="s">
        <v>53</v>
      </c>
      <c r="B66" t="s">
        <v>43</v>
      </c>
      <c r="C66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66" t="s">
        <v>56</v>
      </c>
      <c r="E66" t="s">
        <v>48</v>
      </c>
      <c r="F66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66">
        <f>ScenarioStat1[[#This Row],[team-1-win]]+ScenarioStat1[[#This Row],[team-2-win]]</f>
        <v>1</v>
      </c>
    </row>
    <row r="67" spans="1:7" x14ac:dyDescent="0.25">
      <c r="A67" t="s">
        <v>53</v>
      </c>
      <c r="B67" t="s">
        <v>43</v>
      </c>
      <c r="C67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67" t="s">
        <v>56</v>
      </c>
      <c r="E67" t="s">
        <v>33</v>
      </c>
      <c r="F67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67">
        <f>ScenarioStat1[[#This Row],[team-1-win]]+ScenarioStat1[[#This Row],[team-2-win]]</f>
        <v>1</v>
      </c>
    </row>
    <row r="68" spans="1:7" x14ac:dyDescent="0.25">
      <c r="A68" t="s">
        <v>53</v>
      </c>
      <c r="B68" t="s">
        <v>43</v>
      </c>
      <c r="C68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68" t="s">
        <v>56</v>
      </c>
      <c r="E68" t="s">
        <v>45</v>
      </c>
      <c r="F68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68">
        <f>ScenarioStat1[[#This Row],[team-1-win]]+ScenarioStat1[[#This Row],[team-2-win]]</f>
        <v>1</v>
      </c>
    </row>
    <row r="69" spans="1:7" x14ac:dyDescent="0.25">
      <c r="A69" t="s">
        <v>53</v>
      </c>
      <c r="B69" t="s">
        <v>43</v>
      </c>
      <c r="C69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69" t="s">
        <v>56</v>
      </c>
      <c r="E69" t="s">
        <v>63</v>
      </c>
      <c r="F69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69">
        <f>ScenarioStat1[[#This Row],[team-1-win]]+ScenarioStat1[[#This Row],[team-2-win]]</f>
        <v>1</v>
      </c>
    </row>
    <row r="70" spans="1:7" x14ac:dyDescent="0.25">
      <c r="A70" t="s">
        <v>53</v>
      </c>
      <c r="B70" t="s">
        <v>43</v>
      </c>
      <c r="C70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70" t="s">
        <v>56</v>
      </c>
      <c r="E70" t="s">
        <v>38</v>
      </c>
      <c r="F70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70">
        <f>ScenarioStat1[[#This Row],[team-1-win]]+ScenarioStat1[[#This Row],[team-2-win]]</f>
        <v>1</v>
      </c>
    </row>
    <row r="71" spans="1:7" x14ac:dyDescent="0.25">
      <c r="A71" t="s">
        <v>53</v>
      </c>
      <c r="B71" t="s">
        <v>43</v>
      </c>
      <c r="C71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71" t="s">
        <v>56</v>
      </c>
      <c r="E71" t="s">
        <v>227</v>
      </c>
      <c r="F71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71">
        <f>ScenarioStat1[[#This Row],[team-1-win]]+ScenarioStat1[[#This Row],[team-2-win]]</f>
        <v>1</v>
      </c>
    </row>
    <row r="72" spans="1:7" x14ac:dyDescent="0.25">
      <c r="A72" t="s">
        <v>53</v>
      </c>
      <c r="B72" t="s">
        <v>43</v>
      </c>
      <c r="C72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72" t="s">
        <v>48</v>
      </c>
      <c r="E72" t="s">
        <v>33</v>
      </c>
      <c r="F72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72">
        <f>ScenarioStat1[[#This Row],[team-1-win]]+ScenarioStat1[[#This Row],[team-2-win]]</f>
        <v>1</v>
      </c>
    </row>
    <row r="73" spans="1:7" x14ac:dyDescent="0.25">
      <c r="A73" t="s">
        <v>53</v>
      </c>
      <c r="B73" t="s">
        <v>43</v>
      </c>
      <c r="C73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73" t="s">
        <v>48</v>
      </c>
      <c r="E73" t="s">
        <v>45</v>
      </c>
      <c r="F73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73">
        <f>ScenarioStat1[[#This Row],[team-1-win]]+ScenarioStat1[[#This Row],[team-2-win]]</f>
        <v>1</v>
      </c>
    </row>
    <row r="74" spans="1:7" x14ac:dyDescent="0.25">
      <c r="A74" t="s">
        <v>53</v>
      </c>
      <c r="B74" t="s">
        <v>43</v>
      </c>
      <c r="C74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74" t="s">
        <v>48</v>
      </c>
      <c r="E74" t="s">
        <v>63</v>
      </c>
      <c r="F74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74">
        <f>ScenarioStat1[[#This Row],[team-1-win]]+ScenarioStat1[[#This Row],[team-2-win]]</f>
        <v>1</v>
      </c>
    </row>
    <row r="75" spans="1:7" x14ac:dyDescent="0.25">
      <c r="A75" t="s">
        <v>53</v>
      </c>
      <c r="B75" t="s">
        <v>43</v>
      </c>
      <c r="C75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75" t="s">
        <v>48</v>
      </c>
      <c r="E75" t="s">
        <v>38</v>
      </c>
      <c r="F75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75">
        <f>ScenarioStat1[[#This Row],[team-1-win]]+ScenarioStat1[[#This Row],[team-2-win]]</f>
        <v>1</v>
      </c>
    </row>
    <row r="76" spans="1:7" x14ac:dyDescent="0.25">
      <c r="A76" t="s">
        <v>53</v>
      </c>
      <c r="B76" t="s">
        <v>43</v>
      </c>
      <c r="C76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76" t="s">
        <v>48</v>
      </c>
      <c r="E76" t="s">
        <v>227</v>
      </c>
      <c r="F76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76">
        <f>ScenarioStat1[[#This Row],[team-1-win]]+ScenarioStat1[[#This Row],[team-2-win]]</f>
        <v>1</v>
      </c>
    </row>
    <row r="77" spans="1:7" x14ac:dyDescent="0.25">
      <c r="A77" t="s">
        <v>53</v>
      </c>
      <c r="B77" t="s">
        <v>43</v>
      </c>
      <c r="C77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77" t="s">
        <v>33</v>
      </c>
      <c r="E77" t="s">
        <v>45</v>
      </c>
      <c r="F77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77">
        <f>ScenarioStat1[[#This Row],[team-1-win]]+ScenarioStat1[[#This Row],[team-2-win]]</f>
        <v>1</v>
      </c>
    </row>
    <row r="78" spans="1:7" x14ac:dyDescent="0.25">
      <c r="A78" t="s">
        <v>53</v>
      </c>
      <c r="B78" t="s">
        <v>43</v>
      </c>
      <c r="C78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78" t="s">
        <v>33</v>
      </c>
      <c r="E78" t="s">
        <v>63</v>
      </c>
      <c r="F78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78">
        <f>ScenarioStat1[[#This Row],[team-1-win]]+ScenarioStat1[[#This Row],[team-2-win]]</f>
        <v>1</v>
      </c>
    </row>
    <row r="79" spans="1:7" x14ac:dyDescent="0.25">
      <c r="A79" t="s">
        <v>53</v>
      </c>
      <c r="B79" t="s">
        <v>43</v>
      </c>
      <c r="C79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79" t="s">
        <v>33</v>
      </c>
      <c r="E79" t="s">
        <v>38</v>
      </c>
      <c r="F79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79">
        <f>ScenarioStat1[[#This Row],[team-1-win]]+ScenarioStat1[[#This Row],[team-2-win]]</f>
        <v>1</v>
      </c>
    </row>
    <row r="80" spans="1:7" x14ac:dyDescent="0.25">
      <c r="A80" t="s">
        <v>53</v>
      </c>
      <c r="B80" t="s">
        <v>43</v>
      </c>
      <c r="C80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80" t="s">
        <v>33</v>
      </c>
      <c r="E80" t="s">
        <v>227</v>
      </c>
      <c r="F80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80">
        <f>ScenarioStat1[[#This Row],[team-1-win]]+ScenarioStat1[[#This Row],[team-2-win]]</f>
        <v>1</v>
      </c>
    </row>
    <row r="81" spans="1:7" x14ac:dyDescent="0.25">
      <c r="A81" t="s">
        <v>53</v>
      </c>
      <c r="B81" t="s">
        <v>43</v>
      </c>
      <c r="C81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81" t="s">
        <v>45</v>
      </c>
      <c r="E81" t="s">
        <v>63</v>
      </c>
      <c r="F81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81">
        <f>ScenarioStat1[[#This Row],[team-1-win]]+ScenarioStat1[[#This Row],[team-2-win]]</f>
        <v>1</v>
      </c>
    </row>
    <row r="82" spans="1:7" x14ac:dyDescent="0.25">
      <c r="A82" t="s">
        <v>53</v>
      </c>
      <c r="B82" t="s">
        <v>43</v>
      </c>
      <c r="C82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82" t="s">
        <v>45</v>
      </c>
      <c r="E82" t="s">
        <v>38</v>
      </c>
      <c r="F82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82">
        <f>ScenarioStat1[[#This Row],[team-1-win]]+ScenarioStat1[[#This Row],[team-2-win]]</f>
        <v>1</v>
      </c>
    </row>
    <row r="83" spans="1:7" x14ac:dyDescent="0.25">
      <c r="A83" t="s">
        <v>53</v>
      </c>
      <c r="B83" t="s">
        <v>43</v>
      </c>
      <c r="C83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83" t="s">
        <v>45</v>
      </c>
      <c r="E83" t="s">
        <v>227</v>
      </c>
      <c r="F83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83">
        <f>ScenarioStat1[[#This Row],[team-1-win]]+ScenarioStat1[[#This Row],[team-2-win]]</f>
        <v>1</v>
      </c>
    </row>
    <row r="84" spans="1:7" x14ac:dyDescent="0.25">
      <c r="A84" t="s">
        <v>53</v>
      </c>
      <c r="B84" t="s">
        <v>43</v>
      </c>
      <c r="C84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84" t="s">
        <v>63</v>
      </c>
      <c r="E84" t="s">
        <v>38</v>
      </c>
      <c r="F84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84">
        <f>ScenarioStat1[[#This Row],[team-1-win]]+ScenarioStat1[[#This Row],[team-2-win]]</f>
        <v>1</v>
      </c>
    </row>
    <row r="85" spans="1:7" x14ac:dyDescent="0.25">
      <c r="A85" t="s">
        <v>53</v>
      </c>
      <c r="B85" t="s">
        <v>43</v>
      </c>
      <c r="C85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85" t="s">
        <v>63</v>
      </c>
      <c r="E85" t="s">
        <v>227</v>
      </c>
      <c r="F85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85">
        <f>ScenarioStat1[[#This Row],[team-1-win]]+ScenarioStat1[[#This Row],[team-2-win]]</f>
        <v>1</v>
      </c>
    </row>
    <row r="86" spans="1:7" x14ac:dyDescent="0.25">
      <c r="A86" t="s">
        <v>53</v>
      </c>
      <c r="B86" t="s">
        <v>43</v>
      </c>
      <c r="C86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86" t="s">
        <v>38</v>
      </c>
      <c r="E86" t="s">
        <v>227</v>
      </c>
      <c r="F86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86">
        <f>ScenarioStat1[[#This Row],[team-1-win]]+ScenarioStat1[[#This Row],[team-2-win]]</f>
        <v>1</v>
      </c>
    </row>
    <row r="87" spans="1:7" x14ac:dyDescent="0.25">
      <c r="A87" t="s">
        <v>53</v>
      </c>
      <c r="B87" t="s">
        <v>45</v>
      </c>
      <c r="C87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87" t="s">
        <v>56</v>
      </c>
      <c r="E87" t="s">
        <v>48</v>
      </c>
      <c r="F87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87">
        <f>ScenarioStat1[[#This Row],[team-1-win]]+ScenarioStat1[[#This Row],[team-2-win]]</f>
        <v>1</v>
      </c>
    </row>
    <row r="88" spans="1:7" x14ac:dyDescent="0.25">
      <c r="A88" t="s">
        <v>53</v>
      </c>
      <c r="B88" t="s">
        <v>45</v>
      </c>
      <c r="C88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88" t="s">
        <v>56</v>
      </c>
      <c r="E88" t="s">
        <v>33</v>
      </c>
      <c r="F88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88">
        <f>ScenarioStat1[[#This Row],[team-1-win]]+ScenarioStat1[[#This Row],[team-2-win]]</f>
        <v>1</v>
      </c>
    </row>
    <row r="89" spans="1:7" x14ac:dyDescent="0.25">
      <c r="A89" t="s">
        <v>53</v>
      </c>
      <c r="B89" t="s">
        <v>45</v>
      </c>
      <c r="C89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89" t="s">
        <v>56</v>
      </c>
      <c r="E89" t="s">
        <v>43</v>
      </c>
      <c r="F89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89">
        <f>ScenarioStat1[[#This Row],[team-1-win]]+ScenarioStat1[[#This Row],[team-2-win]]</f>
        <v>1</v>
      </c>
    </row>
    <row r="90" spans="1:7" x14ac:dyDescent="0.25">
      <c r="A90" t="s">
        <v>53</v>
      </c>
      <c r="B90" t="s">
        <v>45</v>
      </c>
      <c r="C90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90" t="s">
        <v>56</v>
      </c>
      <c r="E90" t="s">
        <v>63</v>
      </c>
      <c r="F90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90">
        <f>ScenarioStat1[[#This Row],[team-1-win]]+ScenarioStat1[[#This Row],[team-2-win]]</f>
        <v>1</v>
      </c>
    </row>
    <row r="91" spans="1:7" x14ac:dyDescent="0.25">
      <c r="A91" t="s">
        <v>53</v>
      </c>
      <c r="B91" t="s">
        <v>45</v>
      </c>
      <c r="C91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91" t="s">
        <v>56</v>
      </c>
      <c r="E91" t="s">
        <v>38</v>
      </c>
      <c r="F91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91">
        <f>ScenarioStat1[[#This Row],[team-1-win]]+ScenarioStat1[[#This Row],[team-2-win]]</f>
        <v>1</v>
      </c>
    </row>
    <row r="92" spans="1:7" x14ac:dyDescent="0.25">
      <c r="A92" t="s">
        <v>53</v>
      </c>
      <c r="B92" t="s">
        <v>45</v>
      </c>
      <c r="C92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92" t="s">
        <v>56</v>
      </c>
      <c r="E92" t="s">
        <v>227</v>
      </c>
      <c r="F92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92">
        <f>ScenarioStat1[[#This Row],[team-1-win]]+ScenarioStat1[[#This Row],[team-2-win]]</f>
        <v>1</v>
      </c>
    </row>
    <row r="93" spans="1:7" x14ac:dyDescent="0.25">
      <c r="A93" t="s">
        <v>53</v>
      </c>
      <c r="B93" t="s">
        <v>45</v>
      </c>
      <c r="C93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93" t="s">
        <v>48</v>
      </c>
      <c r="E93" t="s">
        <v>33</v>
      </c>
      <c r="F93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93">
        <f>ScenarioStat1[[#This Row],[team-1-win]]+ScenarioStat1[[#This Row],[team-2-win]]</f>
        <v>1</v>
      </c>
    </row>
    <row r="94" spans="1:7" x14ac:dyDescent="0.25">
      <c r="A94" t="s">
        <v>53</v>
      </c>
      <c r="B94" t="s">
        <v>45</v>
      </c>
      <c r="C94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94" t="s">
        <v>48</v>
      </c>
      <c r="E94" t="s">
        <v>43</v>
      </c>
      <c r="F94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94">
        <f>ScenarioStat1[[#This Row],[team-1-win]]+ScenarioStat1[[#This Row],[team-2-win]]</f>
        <v>1</v>
      </c>
    </row>
    <row r="95" spans="1:7" x14ac:dyDescent="0.25">
      <c r="A95" t="s">
        <v>53</v>
      </c>
      <c r="B95" t="s">
        <v>45</v>
      </c>
      <c r="C95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95" t="s">
        <v>48</v>
      </c>
      <c r="E95" t="s">
        <v>63</v>
      </c>
      <c r="F95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95">
        <f>ScenarioStat1[[#This Row],[team-1-win]]+ScenarioStat1[[#This Row],[team-2-win]]</f>
        <v>1</v>
      </c>
    </row>
    <row r="96" spans="1:7" x14ac:dyDescent="0.25">
      <c r="A96" t="s">
        <v>53</v>
      </c>
      <c r="B96" t="s">
        <v>45</v>
      </c>
      <c r="C96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96" t="s">
        <v>48</v>
      </c>
      <c r="E96" t="s">
        <v>38</v>
      </c>
      <c r="F96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96">
        <f>ScenarioStat1[[#This Row],[team-1-win]]+ScenarioStat1[[#This Row],[team-2-win]]</f>
        <v>1</v>
      </c>
    </row>
    <row r="97" spans="1:7" x14ac:dyDescent="0.25">
      <c r="A97" t="s">
        <v>53</v>
      </c>
      <c r="B97" t="s">
        <v>45</v>
      </c>
      <c r="C97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97" t="s">
        <v>48</v>
      </c>
      <c r="E97" t="s">
        <v>227</v>
      </c>
      <c r="F97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97">
        <f>ScenarioStat1[[#This Row],[team-1-win]]+ScenarioStat1[[#This Row],[team-2-win]]</f>
        <v>1</v>
      </c>
    </row>
    <row r="98" spans="1:7" x14ac:dyDescent="0.25">
      <c r="A98" t="s">
        <v>53</v>
      </c>
      <c r="B98" t="s">
        <v>45</v>
      </c>
      <c r="C98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98" t="s">
        <v>33</v>
      </c>
      <c r="E98" t="s">
        <v>43</v>
      </c>
      <c r="F98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98">
        <f>ScenarioStat1[[#This Row],[team-1-win]]+ScenarioStat1[[#This Row],[team-2-win]]</f>
        <v>1</v>
      </c>
    </row>
    <row r="99" spans="1:7" x14ac:dyDescent="0.25">
      <c r="A99" t="s">
        <v>53</v>
      </c>
      <c r="B99" t="s">
        <v>45</v>
      </c>
      <c r="C99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99" t="s">
        <v>33</v>
      </c>
      <c r="E99" t="s">
        <v>63</v>
      </c>
      <c r="F99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99">
        <f>ScenarioStat1[[#This Row],[team-1-win]]+ScenarioStat1[[#This Row],[team-2-win]]</f>
        <v>1</v>
      </c>
    </row>
    <row r="100" spans="1:7" x14ac:dyDescent="0.25">
      <c r="A100" t="s">
        <v>53</v>
      </c>
      <c r="B100" t="s">
        <v>45</v>
      </c>
      <c r="C100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00" t="s">
        <v>33</v>
      </c>
      <c r="E100" t="s">
        <v>38</v>
      </c>
      <c r="F100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00">
        <f>ScenarioStat1[[#This Row],[team-1-win]]+ScenarioStat1[[#This Row],[team-2-win]]</f>
        <v>1</v>
      </c>
    </row>
    <row r="101" spans="1:7" x14ac:dyDescent="0.25">
      <c r="A101" t="s">
        <v>53</v>
      </c>
      <c r="B101" t="s">
        <v>45</v>
      </c>
      <c r="C101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01" t="s">
        <v>33</v>
      </c>
      <c r="E101" t="s">
        <v>227</v>
      </c>
      <c r="F101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01">
        <f>ScenarioStat1[[#This Row],[team-1-win]]+ScenarioStat1[[#This Row],[team-2-win]]</f>
        <v>1</v>
      </c>
    </row>
    <row r="102" spans="1:7" x14ac:dyDescent="0.25">
      <c r="A102" t="s">
        <v>53</v>
      </c>
      <c r="B102" t="s">
        <v>45</v>
      </c>
      <c r="C102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02" t="s">
        <v>43</v>
      </c>
      <c r="E102" t="s">
        <v>63</v>
      </c>
      <c r="F102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02">
        <f>ScenarioStat1[[#This Row],[team-1-win]]+ScenarioStat1[[#This Row],[team-2-win]]</f>
        <v>1</v>
      </c>
    </row>
    <row r="103" spans="1:7" x14ac:dyDescent="0.25">
      <c r="A103" t="s">
        <v>53</v>
      </c>
      <c r="B103" t="s">
        <v>45</v>
      </c>
      <c r="C103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03" t="s">
        <v>43</v>
      </c>
      <c r="E103" t="s">
        <v>38</v>
      </c>
      <c r="F103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03">
        <f>ScenarioStat1[[#This Row],[team-1-win]]+ScenarioStat1[[#This Row],[team-2-win]]</f>
        <v>1</v>
      </c>
    </row>
    <row r="104" spans="1:7" x14ac:dyDescent="0.25">
      <c r="A104" t="s">
        <v>53</v>
      </c>
      <c r="B104" t="s">
        <v>45</v>
      </c>
      <c r="C104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04" t="s">
        <v>43</v>
      </c>
      <c r="E104" t="s">
        <v>227</v>
      </c>
      <c r="F104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04">
        <f>ScenarioStat1[[#This Row],[team-1-win]]+ScenarioStat1[[#This Row],[team-2-win]]</f>
        <v>1</v>
      </c>
    </row>
    <row r="105" spans="1:7" x14ac:dyDescent="0.25">
      <c r="A105" t="s">
        <v>53</v>
      </c>
      <c r="B105" t="s">
        <v>45</v>
      </c>
      <c r="C105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05" t="s">
        <v>63</v>
      </c>
      <c r="E105" t="s">
        <v>38</v>
      </c>
      <c r="F105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05">
        <f>ScenarioStat1[[#This Row],[team-1-win]]+ScenarioStat1[[#This Row],[team-2-win]]</f>
        <v>1</v>
      </c>
    </row>
    <row r="106" spans="1:7" x14ac:dyDescent="0.25">
      <c r="A106" t="s">
        <v>53</v>
      </c>
      <c r="B106" t="s">
        <v>45</v>
      </c>
      <c r="C106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06" t="s">
        <v>63</v>
      </c>
      <c r="E106" t="s">
        <v>227</v>
      </c>
      <c r="F106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06">
        <f>ScenarioStat1[[#This Row],[team-1-win]]+ScenarioStat1[[#This Row],[team-2-win]]</f>
        <v>1</v>
      </c>
    </row>
    <row r="107" spans="1:7" x14ac:dyDescent="0.25">
      <c r="A107" t="s">
        <v>53</v>
      </c>
      <c r="B107" t="s">
        <v>45</v>
      </c>
      <c r="C107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07" t="s">
        <v>38</v>
      </c>
      <c r="E107" t="s">
        <v>227</v>
      </c>
      <c r="F107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07">
        <f>ScenarioStat1[[#This Row],[team-1-win]]+ScenarioStat1[[#This Row],[team-2-win]]</f>
        <v>1</v>
      </c>
    </row>
    <row r="108" spans="1:7" x14ac:dyDescent="0.25">
      <c r="A108" t="s">
        <v>53</v>
      </c>
      <c r="B108" t="s">
        <v>63</v>
      </c>
      <c r="C108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08" t="s">
        <v>56</v>
      </c>
      <c r="E108" t="s">
        <v>48</v>
      </c>
      <c r="F108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08">
        <f>ScenarioStat1[[#This Row],[team-1-win]]+ScenarioStat1[[#This Row],[team-2-win]]</f>
        <v>1</v>
      </c>
    </row>
    <row r="109" spans="1:7" x14ac:dyDescent="0.25">
      <c r="A109" t="s">
        <v>53</v>
      </c>
      <c r="B109" t="s">
        <v>63</v>
      </c>
      <c r="C109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09" t="s">
        <v>56</v>
      </c>
      <c r="E109" t="s">
        <v>33</v>
      </c>
      <c r="F109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09">
        <f>ScenarioStat1[[#This Row],[team-1-win]]+ScenarioStat1[[#This Row],[team-2-win]]</f>
        <v>1</v>
      </c>
    </row>
    <row r="110" spans="1:7" x14ac:dyDescent="0.25">
      <c r="A110" t="s">
        <v>53</v>
      </c>
      <c r="B110" t="s">
        <v>63</v>
      </c>
      <c r="C110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10" t="s">
        <v>56</v>
      </c>
      <c r="E110" t="s">
        <v>43</v>
      </c>
      <c r="F110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10">
        <f>ScenarioStat1[[#This Row],[team-1-win]]+ScenarioStat1[[#This Row],[team-2-win]]</f>
        <v>1</v>
      </c>
    </row>
    <row r="111" spans="1:7" x14ac:dyDescent="0.25">
      <c r="A111" t="s">
        <v>53</v>
      </c>
      <c r="B111" t="s">
        <v>63</v>
      </c>
      <c r="C111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11" t="s">
        <v>56</v>
      </c>
      <c r="E111" t="s">
        <v>45</v>
      </c>
      <c r="F111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11">
        <f>ScenarioStat1[[#This Row],[team-1-win]]+ScenarioStat1[[#This Row],[team-2-win]]</f>
        <v>1</v>
      </c>
    </row>
    <row r="112" spans="1:7" x14ac:dyDescent="0.25">
      <c r="A112" t="s">
        <v>53</v>
      </c>
      <c r="B112" t="s">
        <v>63</v>
      </c>
      <c r="C112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12" t="s">
        <v>56</v>
      </c>
      <c r="E112" t="s">
        <v>38</v>
      </c>
      <c r="F112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12">
        <f>ScenarioStat1[[#This Row],[team-1-win]]+ScenarioStat1[[#This Row],[team-2-win]]</f>
        <v>1</v>
      </c>
    </row>
    <row r="113" spans="1:7" x14ac:dyDescent="0.25">
      <c r="A113" t="s">
        <v>53</v>
      </c>
      <c r="B113" t="s">
        <v>63</v>
      </c>
      <c r="C113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13" t="s">
        <v>56</v>
      </c>
      <c r="E113" t="s">
        <v>227</v>
      </c>
      <c r="F113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13">
        <f>ScenarioStat1[[#This Row],[team-1-win]]+ScenarioStat1[[#This Row],[team-2-win]]</f>
        <v>1</v>
      </c>
    </row>
    <row r="114" spans="1:7" x14ac:dyDescent="0.25">
      <c r="A114" t="s">
        <v>53</v>
      </c>
      <c r="B114" t="s">
        <v>63</v>
      </c>
      <c r="C114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14" t="s">
        <v>48</v>
      </c>
      <c r="E114" t="s">
        <v>33</v>
      </c>
      <c r="F114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14">
        <f>ScenarioStat1[[#This Row],[team-1-win]]+ScenarioStat1[[#This Row],[team-2-win]]</f>
        <v>1</v>
      </c>
    </row>
    <row r="115" spans="1:7" x14ac:dyDescent="0.25">
      <c r="A115" t="s">
        <v>53</v>
      </c>
      <c r="B115" t="s">
        <v>63</v>
      </c>
      <c r="C115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15" t="s">
        <v>48</v>
      </c>
      <c r="E115" t="s">
        <v>43</v>
      </c>
      <c r="F115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15">
        <f>ScenarioStat1[[#This Row],[team-1-win]]+ScenarioStat1[[#This Row],[team-2-win]]</f>
        <v>1</v>
      </c>
    </row>
    <row r="116" spans="1:7" x14ac:dyDescent="0.25">
      <c r="A116" t="s">
        <v>53</v>
      </c>
      <c r="B116" t="s">
        <v>63</v>
      </c>
      <c r="C116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16" t="s">
        <v>48</v>
      </c>
      <c r="E116" t="s">
        <v>45</v>
      </c>
      <c r="F116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16">
        <f>ScenarioStat1[[#This Row],[team-1-win]]+ScenarioStat1[[#This Row],[team-2-win]]</f>
        <v>1</v>
      </c>
    </row>
    <row r="117" spans="1:7" x14ac:dyDescent="0.25">
      <c r="A117" t="s">
        <v>53</v>
      </c>
      <c r="B117" t="s">
        <v>63</v>
      </c>
      <c r="C117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17" t="s">
        <v>48</v>
      </c>
      <c r="E117" t="s">
        <v>38</v>
      </c>
      <c r="F117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17">
        <f>ScenarioStat1[[#This Row],[team-1-win]]+ScenarioStat1[[#This Row],[team-2-win]]</f>
        <v>1</v>
      </c>
    </row>
    <row r="118" spans="1:7" x14ac:dyDescent="0.25">
      <c r="A118" t="s">
        <v>53</v>
      </c>
      <c r="B118" t="s">
        <v>63</v>
      </c>
      <c r="C118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18" t="s">
        <v>48</v>
      </c>
      <c r="E118" t="s">
        <v>227</v>
      </c>
      <c r="F118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18">
        <f>ScenarioStat1[[#This Row],[team-1-win]]+ScenarioStat1[[#This Row],[team-2-win]]</f>
        <v>1</v>
      </c>
    </row>
    <row r="119" spans="1:7" x14ac:dyDescent="0.25">
      <c r="A119" t="s">
        <v>53</v>
      </c>
      <c r="B119" t="s">
        <v>63</v>
      </c>
      <c r="C119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19" t="s">
        <v>33</v>
      </c>
      <c r="E119" t="s">
        <v>43</v>
      </c>
      <c r="F119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19">
        <f>ScenarioStat1[[#This Row],[team-1-win]]+ScenarioStat1[[#This Row],[team-2-win]]</f>
        <v>1</v>
      </c>
    </row>
    <row r="120" spans="1:7" x14ac:dyDescent="0.25">
      <c r="A120" t="s">
        <v>53</v>
      </c>
      <c r="B120" t="s">
        <v>63</v>
      </c>
      <c r="C120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20" t="s">
        <v>33</v>
      </c>
      <c r="E120" t="s">
        <v>45</v>
      </c>
      <c r="F120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20">
        <f>ScenarioStat1[[#This Row],[team-1-win]]+ScenarioStat1[[#This Row],[team-2-win]]</f>
        <v>1</v>
      </c>
    </row>
    <row r="121" spans="1:7" x14ac:dyDescent="0.25">
      <c r="A121" t="s">
        <v>53</v>
      </c>
      <c r="B121" t="s">
        <v>63</v>
      </c>
      <c r="C121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21" t="s">
        <v>33</v>
      </c>
      <c r="E121" t="s">
        <v>38</v>
      </c>
      <c r="F121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21">
        <f>ScenarioStat1[[#This Row],[team-1-win]]+ScenarioStat1[[#This Row],[team-2-win]]</f>
        <v>1</v>
      </c>
    </row>
    <row r="122" spans="1:7" x14ac:dyDescent="0.25">
      <c r="A122" t="s">
        <v>53</v>
      </c>
      <c r="B122" t="s">
        <v>63</v>
      </c>
      <c r="C122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22" t="s">
        <v>33</v>
      </c>
      <c r="E122" t="s">
        <v>227</v>
      </c>
      <c r="F122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22">
        <f>ScenarioStat1[[#This Row],[team-1-win]]+ScenarioStat1[[#This Row],[team-2-win]]</f>
        <v>1</v>
      </c>
    </row>
    <row r="123" spans="1:7" x14ac:dyDescent="0.25">
      <c r="A123" t="s">
        <v>53</v>
      </c>
      <c r="B123" t="s">
        <v>63</v>
      </c>
      <c r="C123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23" t="s">
        <v>43</v>
      </c>
      <c r="E123" t="s">
        <v>45</v>
      </c>
      <c r="F123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23">
        <f>ScenarioStat1[[#This Row],[team-1-win]]+ScenarioStat1[[#This Row],[team-2-win]]</f>
        <v>1</v>
      </c>
    </row>
    <row r="124" spans="1:7" x14ac:dyDescent="0.25">
      <c r="A124" t="s">
        <v>53</v>
      </c>
      <c r="B124" t="s">
        <v>63</v>
      </c>
      <c r="C124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24" t="s">
        <v>43</v>
      </c>
      <c r="E124" t="s">
        <v>38</v>
      </c>
      <c r="F124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24">
        <f>ScenarioStat1[[#This Row],[team-1-win]]+ScenarioStat1[[#This Row],[team-2-win]]</f>
        <v>1</v>
      </c>
    </row>
    <row r="125" spans="1:7" x14ac:dyDescent="0.25">
      <c r="A125" t="s">
        <v>53</v>
      </c>
      <c r="B125" t="s">
        <v>63</v>
      </c>
      <c r="C125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25" t="s">
        <v>43</v>
      </c>
      <c r="E125" t="s">
        <v>227</v>
      </c>
      <c r="F125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25">
        <f>ScenarioStat1[[#This Row],[team-1-win]]+ScenarioStat1[[#This Row],[team-2-win]]</f>
        <v>1</v>
      </c>
    </row>
    <row r="126" spans="1:7" x14ac:dyDescent="0.25">
      <c r="A126" t="s">
        <v>53</v>
      </c>
      <c r="B126" t="s">
        <v>63</v>
      </c>
      <c r="C126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26" t="s">
        <v>45</v>
      </c>
      <c r="E126" t="s">
        <v>38</v>
      </c>
      <c r="F126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26">
        <f>ScenarioStat1[[#This Row],[team-1-win]]+ScenarioStat1[[#This Row],[team-2-win]]</f>
        <v>1</v>
      </c>
    </row>
    <row r="127" spans="1:7" x14ac:dyDescent="0.25">
      <c r="A127" t="s">
        <v>53</v>
      </c>
      <c r="B127" t="s">
        <v>63</v>
      </c>
      <c r="C127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27" t="s">
        <v>45</v>
      </c>
      <c r="E127" t="s">
        <v>227</v>
      </c>
      <c r="F127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27">
        <f>ScenarioStat1[[#This Row],[team-1-win]]+ScenarioStat1[[#This Row],[team-2-win]]</f>
        <v>1</v>
      </c>
    </row>
    <row r="128" spans="1:7" x14ac:dyDescent="0.25">
      <c r="A128" t="s">
        <v>53</v>
      </c>
      <c r="B128" t="s">
        <v>63</v>
      </c>
      <c r="C128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28" t="s">
        <v>38</v>
      </c>
      <c r="E128" t="s">
        <v>227</v>
      </c>
      <c r="F128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28">
        <f>ScenarioStat1[[#This Row],[team-1-win]]+ScenarioStat1[[#This Row],[team-2-win]]</f>
        <v>1</v>
      </c>
    </row>
    <row r="129" spans="1:7" x14ac:dyDescent="0.25">
      <c r="A129" t="s">
        <v>53</v>
      </c>
      <c r="B129" t="s">
        <v>38</v>
      </c>
      <c r="C129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29" t="s">
        <v>56</v>
      </c>
      <c r="E129" t="s">
        <v>48</v>
      </c>
      <c r="F129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29">
        <f>ScenarioStat1[[#This Row],[team-1-win]]+ScenarioStat1[[#This Row],[team-2-win]]</f>
        <v>1</v>
      </c>
    </row>
    <row r="130" spans="1:7" x14ac:dyDescent="0.25">
      <c r="A130" t="s">
        <v>53</v>
      </c>
      <c r="B130" t="s">
        <v>38</v>
      </c>
      <c r="C130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30" t="s">
        <v>56</v>
      </c>
      <c r="E130" t="s">
        <v>33</v>
      </c>
      <c r="F130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30">
        <f>ScenarioStat1[[#This Row],[team-1-win]]+ScenarioStat1[[#This Row],[team-2-win]]</f>
        <v>1</v>
      </c>
    </row>
    <row r="131" spans="1:7" x14ac:dyDescent="0.25">
      <c r="A131" t="s">
        <v>53</v>
      </c>
      <c r="B131" t="s">
        <v>38</v>
      </c>
      <c r="C131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31" t="s">
        <v>56</v>
      </c>
      <c r="E131" t="s">
        <v>43</v>
      </c>
      <c r="F131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31">
        <f>ScenarioStat1[[#This Row],[team-1-win]]+ScenarioStat1[[#This Row],[team-2-win]]</f>
        <v>1</v>
      </c>
    </row>
    <row r="132" spans="1:7" x14ac:dyDescent="0.25">
      <c r="A132" t="s">
        <v>53</v>
      </c>
      <c r="B132" t="s">
        <v>38</v>
      </c>
      <c r="C132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32" t="s">
        <v>56</v>
      </c>
      <c r="E132" t="s">
        <v>45</v>
      </c>
      <c r="F132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32">
        <f>ScenarioStat1[[#This Row],[team-1-win]]+ScenarioStat1[[#This Row],[team-2-win]]</f>
        <v>1</v>
      </c>
    </row>
    <row r="133" spans="1:7" x14ac:dyDescent="0.25">
      <c r="A133" t="s">
        <v>53</v>
      </c>
      <c r="B133" t="s">
        <v>38</v>
      </c>
      <c r="C133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33" t="s">
        <v>56</v>
      </c>
      <c r="E133" t="s">
        <v>63</v>
      </c>
      <c r="F133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33">
        <f>ScenarioStat1[[#This Row],[team-1-win]]+ScenarioStat1[[#This Row],[team-2-win]]</f>
        <v>1</v>
      </c>
    </row>
    <row r="134" spans="1:7" x14ac:dyDescent="0.25">
      <c r="A134" t="s">
        <v>53</v>
      </c>
      <c r="B134" t="s">
        <v>38</v>
      </c>
      <c r="C134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34" t="s">
        <v>56</v>
      </c>
      <c r="E134" t="s">
        <v>227</v>
      </c>
      <c r="F134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34">
        <f>ScenarioStat1[[#This Row],[team-1-win]]+ScenarioStat1[[#This Row],[team-2-win]]</f>
        <v>1</v>
      </c>
    </row>
    <row r="135" spans="1:7" x14ac:dyDescent="0.25">
      <c r="A135" t="s">
        <v>53</v>
      </c>
      <c r="B135" t="s">
        <v>38</v>
      </c>
      <c r="C135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35" t="s">
        <v>48</v>
      </c>
      <c r="E135" t="s">
        <v>33</v>
      </c>
      <c r="F135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35">
        <f>ScenarioStat1[[#This Row],[team-1-win]]+ScenarioStat1[[#This Row],[team-2-win]]</f>
        <v>1</v>
      </c>
    </row>
    <row r="136" spans="1:7" x14ac:dyDescent="0.25">
      <c r="A136" t="s">
        <v>53</v>
      </c>
      <c r="B136" t="s">
        <v>38</v>
      </c>
      <c r="C136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36" t="s">
        <v>48</v>
      </c>
      <c r="E136" t="s">
        <v>43</v>
      </c>
      <c r="F136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36">
        <f>ScenarioStat1[[#This Row],[team-1-win]]+ScenarioStat1[[#This Row],[team-2-win]]</f>
        <v>1</v>
      </c>
    </row>
    <row r="137" spans="1:7" x14ac:dyDescent="0.25">
      <c r="A137" t="s">
        <v>53</v>
      </c>
      <c r="B137" t="s">
        <v>38</v>
      </c>
      <c r="C137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37" t="s">
        <v>48</v>
      </c>
      <c r="E137" t="s">
        <v>45</v>
      </c>
      <c r="F137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37">
        <f>ScenarioStat1[[#This Row],[team-1-win]]+ScenarioStat1[[#This Row],[team-2-win]]</f>
        <v>1</v>
      </c>
    </row>
    <row r="138" spans="1:7" x14ac:dyDescent="0.25">
      <c r="A138" t="s">
        <v>53</v>
      </c>
      <c r="B138" t="s">
        <v>38</v>
      </c>
      <c r="C138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38" t="s">
        <v>48</v>
      </c>
      <c r="E138" t="s">
        <v>63</v>
      </c>
      <c r="F138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38">
        <f>ScenarioStat1[[#This Row],[team-1-win]]+ScenarioStat1[[#This Row],[team-2-win]]</f>
        <v>1</v>
      </c>
    </row>
    <row r="139" spans="1:7" x14ac:dyDescent="0.25">
      <c r="A139" t="s">
        <v>53</v>
      </c>
      <c r="B139" t="s">
        <v>38</v>
      </c>
      <c r="C139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39" t="s">
        <v>48</v>
      </c>
      <c r="E139" t="s">
        <v>227</v>
      </c>
      <c r="F139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39">
        <f>ScenarioStat1[[#This Row],[team-1-win]]+ScenarioStat1[[#This Row],[team-2-win]]</f>
        <v>1</v>
      </c>
    </row>
    <row r="140" spans="1:7" x14ac:dyDescent="0.25">
      <c r="A140" t="s">
        <v>53</v>
      </c>
      <c r="B140" t="s">
        <v>38</v>
      </c>
      <c r="C140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40" t="s">
        <v>33</v>
      </c>
      <c r="E140" t="s">
        <v>43</v>
      </c>
      <c r="F140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40">
        <f>ScenarioStat1[[#This Row],[team-1-win]]+ScenarioStat1[[#This Row],[team-2-win]]</f>
        <v>1</v>
      </c>
    </row>
    <row r="141" spans="1:7" x14ac:dyDescent="0.25">
      <c r="A141" t="s">
        <v>53</v>
      </c>
      <c r="B141" t="s">
        <v>38</v>
      </c>
      <c r="C141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41" t="s">
        <v>33</v>
      </c>
      <c r="E141" t="s">
        <v>45</v>
      </c>
      <c r="F141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41">
        <f>ScenarioStat1[[#This Row],[team-1-win]]+ScenarioStat1[[#This Row],[team-2-win]]</f>
        <v>1</v>
      </c>
    </row>
    <row r="142" spans="1:7" x14ac:dyDescent="0.25">
      <c r="A142" t="s">
        <v>53</v>
      </c>
      <c r="B142" t="s">
        <v>38</v>
      </c>
      <c r="C142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42" t="s">
        <v>33</v>
      </c>
      <c r="E142" t="s">
        <v>63</v>
      </c>
      <c r="F142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42">
        <f>ScenarioStat1[[#This Row],[team-1-win]]+ScenarioStat1[[#This Row],[team-2-win]]</f>
        <v>1</v>
      </c>
    </row>
    <row r="143" spans="1:7" x14ac:dyDescent="0.25">
      <c r="A143" t="s">
        <v>53</v>
      </c>
      <c r="B143" t="s">
        <v>38</v>
      </c>
      <c r="C143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43" t="s">
        <v>33</v>
      </c>
      <c r="E143" t="s">
        <v>227</v>
      </c>
      <c r="F143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43">
        <f>ScenarioStat1[[#This Row],[team-1-win]]+ScenarioStat1[[#This Row],[team-2-win]]</f>
        <v>1</v>
      </c>
    </row>
    <row r="144" spans="1:7" x14ac:dyDescent="0.25">
      <c r="A144" t="s">
        <v>53</v>
      </c>
      <c r="B144" t="s">
        <v>38</v>
      </c>
      <c r="C144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44" t="s">
        <v>43</v>
      </c>
      <c r="E144" t="s">
        <v>45</v>
      </c>
      <c r="F144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44">
        <f>ScenarioStat1[[#This Row],[team-1-win]]+ScenarioStat1[[#This Row],[team-2-win]]</f>
        <v>1</v>
      </c>
    </row>
    <row r="145" spans="1:7" x14ac:dyDescent="0.25">
      <c r="A145" t="s">
        <v>53</v>
      </c>
      <c r="B145" t="s">
        <v>38</v>
      </c>
      <c r="C145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45" t="s">
        <v>43</v>
      </c>
      <c r="E145" t="s">
        <v>63</v>
      </c>
      <c r="F145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45">
        <f>ScenarioStat1[[#This Row],[team-1-win]]+ScenarioStat1[[#This Row],[team-2-win]]</f>
        <v>1</v>
      </c>
    </row>
    <row r="146" spans="1:7" x14ac:dyDescent="0.25">
      <c r="A146" t="s">
        <v>53</v>
      </c>
      <c r="B146" t="s">
        <v>38</v>
      </c>
      <c r="C146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46" t="s">
        <v>43</v>
      </c>
      <c r="E146" t="s">
        <v>227</v>
      </c>
      <c r="F146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46">
        <f>ScenarioStat1[[#This Row],[team-1-win]]+ScenarioStat1[[#This Row],[team-2-win]]</f>
        <v>1</v>
      </c>
    </row>
    <row r="147" spans="1:7" x14ac:dyDescent="0.25">
      <c r="A147" t="s">
        <v>53</v>
      </c>
      <c r="B147" t="s">
        <v>38</v>
      </c>
      <c r="C147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47" t="s">
        <v>45</v>
      </c>
      <c r="E147" t="s">
        <v>63</v>
      </c>
      <c r="F147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47">
        <f>ScenarioStat1[[#This Row],[team-1-win]]+ScenarioStat1[[#This Row],[team-2-win]]</f>
        <v>1</v>
      </c>
    </row>
    <row r="148" spans="1:7" x14ac:dyDescent="0.25">
      <c r="A148" t="s">
        <v>53</v>
      </c>
      <c r="B148" t="s">
        <v>38</v>
      </c>
      <c r="C148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48" t="s">
        <v>45</v>
      </c>
      <c r="E148" t="s">
        <v>227</v>
      </c>
      <c r="F148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48">
        <f>ScenarioStat1[[#This Row],[team-1-win]]+ScenarioStat1[[#This Row],[team-2-win]]</f>
        <v>1</v>
      </c>
    </row>
    <row r="149" spans="1:7" x14ac:dyDescent="0.25">
      <c r="A149" t="s">
        <v>53</v>
      </c>
      <c r="B149" t="s">
        <v>38</v>
      </c>
      <c r="C149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49" t="s">
        <v>63</v>
      </c>
      <c r="E149" t="s">
        <v>227</v>
      </c>
      <c r="F149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49">
        <f>ScenarioStat1[[#This Row],[team-1-win]]+ScenarioStat1[[#This Row],[team-2-win]]</f>
        <v>1</v>
      </c>
    </row>
    <row r="150" spans="1:7" x14ac:dyDescent="0.25">
      <c r="A150" t="s">
        <v>53</v>
      </c>
      <c r="B150" t="s">
        <v>227</v>
      </c>
      <c r="C150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50" t="s">
        <v>56</v>
      </c>
      <c r="E150" t="s">
        <v>48</v>
      </c>
      <c r="F150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50">
        <f>ScenarioStat1[[#This Row],[team-1-win]]+ScenarioStat1[[#This Row],[team-2-win]]</f>
        <v>1</v>
      </c>
    </row>
    <row r="151" spans="1:7" x14ac:dyDescent="0.25">
      <c r="A151" t="s">
        <v>53</v>
      </c>
      <c r="B151" t="s">
        <v>227</v>
      </c>
      <c r="C151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51" t="s">
        <v>56</v>
      </c>
      <c r="E151" t="s">
        <v>33</v>
      </c>
      <c r="F151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51">
        <f>ScenarioStat1[[#This Row],[team-1-win]]+ScenarioStat1[[#This Row],[team-2-win]]</f>
        <v>1</v>
      </c>
    </row>
    <row r="152" spans="1:7" x14ac:dyDescent="0.25">
      <c r="A152" t="s">
        <v>53</v>
      </c>
      <c r="B152" t="s">
        <v>227</v>
      </c>
      <c r="C152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52" t="s">
        <v>56</v>
      </c>
      <c r="E152" t="s">
        <v>43</v>
      </c>
      <c r="F152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52">
        <f>ScenarioStat1[[#This Row],[team-1-win]]+ScenarioStat1[[#This Row],[team-2-win]]</f>
        <v>1</v>
      </c>
    </row>
    <row r="153" spans="1:7" x14ac:dyDescent="0.25">
      <c r="A153" t="s">
        <v>53</v>
      </c>
      <c r="B153" t="s">
        <v>227</v>
      </c>
      <c r="C153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53" t="s">
        <v>56</v>
      </c>
      <c r="E153" t="s">
        <v>45</v>
      </c>
      <c r="F153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53">
        <f>ScenarioStat1[[#This Row],[team-1-win]]+ScenarioStat1[[#This Row],[team-2-win]]</f>
        <v>1</v>
      </c>
    </row>
    <row r="154" spans="1:7" x14ac:dyDescent="0.25">
      <c r="A154" t="s">
        <v>53</v>
      </c>
      <c r="B154" t="s">
        <v>227</v>
      </c>
      <c r="C154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54" t="s">
        <v>56</v>
      </c>
      <c r="E154" t="s">
        <v>63</v>
      </c>
      <c r="F154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54">
        <f>ScenarioStat1[[#This Row],[team-1-win]]+ScenarioStat1[[#This Row],[team-2-win]]</f>
        <v>1</v>
      </c>
    </row>
    <row r="155" spans="1:7" x14ac:dyDescent="0.25">
      <c r="A155" t="s">
        <v>53</v>
      </c>
      <c r="B155" t="s">
        <v>227</v>
      </c>
      <c r="C155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55" t="s">
        <v>56</v>
      </c>
      <c r="E155" t="s">
        <v>38</v>
      </c>
      <c r="F155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55">
        <f>ScenarioStat1[[#This Row],[team-1-win]]+ScenarioStat1[[#This Row],[team-2-win]]</f>
        <v>1</v>
      </c>
    </row>
    <row r="156" spans="1:7" x14ac:dyDescent="0.25">
      <c r="A156" t="s">
        <v>53</v>
      </c>
      <c r="B156" t="s">
        <v>227</v>
      </c>
      <c r="C156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56" t="s">
        <v>48</v>
      </c>
      <c r="E156" t="s">
        <v>33</v>
      </c>
      <c r="F156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56">
        <f>ScenarioStat1[[#This Row],[team-1-win]]+ScenarioStat1[[#This Row],[team-2-win]]</f>
        <v>1</v>
      </c>
    </row>
    <row r="157" spans="1:7" x14ac:dyDescent="0.25">
      <c r="A157" t="s">
        <v>53</v>
      </c>
      <c r="B157" t="s">
        <v>227</v>
      </c>
      <c r="C157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57" t="s">
        <v>48</v>
      </c>
      <c r="E157" t="s">
        <v>43</v>
      </c>
      <c r="F157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57">
        <f>ScenarioStat1[[#This Row],[team-1-win]]+ScenarioStat1[[#This Row],[team-2-win]]</f>
        <v>1</v>
      </c>
    </row>
    <row r="158" spans="1:7" x14ac:dyDescent="0.25">
      <c r="A158" t="s">
        <v>53</v>
      </c>
      <c r="B158" t="s">
        <v>227</v>
      </c>
      <c r="C158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58" t="s">
        <v>48</v>
      </c>
      <c r="E158" t="s">
        <v>45</v>
      </c>
      <c r="F158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58">
        <f>ScenarioStat1[[#This Row],[team-1-win]]+ScenarioStat1[[#This Row],[team-2-win]]</f>
        <v>1</v>
      </c>
    </row>
    <row r="159" spans="1:7" x14ac:dyDescent="0.25">
      <c r="A159" t="s">
        <v>53</v>
      </c>
      <c r="B159" t="s">
        <v>227</v>
      </c>
      <c r="C159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59" t="s">
        <v>48</v>
      </c>
      <c r="E159" t="s">
        <v>63</v>
      </c>
      <c r="F159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59">
        <f>ScenarioStat1[[#This Row],[team-1-win]]+ScenarioStat1[[#This Row],[team-2-win]]</f>
        <v>1</v>
      </c>
    </row>
    <row r="160" spans="1:7" x14ac:dyDescent="0.25">
      <c r="A160" t="s">
        <v>53</v>
      </c>
      <c r="B160" t="s">
        <v>227</v>
      </c>
      <c r="C160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60" t="s">
        <v>48</v>
      </c>
      <c r="E160" t="s">
        <v>38</v>
      </c>
      <c r="F160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60">
        <f>ScenarioStat1[[#This Row],[team-1-win]]+ScenarioStat1[[#This Row],[team-2-win]]</f>
        <v>1</v>
      </c>
    </row>
    <row r="161" spans="1:7" x14ac:dyDescent="0.25">
      <c r="A161" t="s">
        <v>53</v>
      </c>
      <c r="B161" t="s">
        <v>227</v>
      </c>
      <c r="C161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61" t="s">
        <v>33</v>
      </c>
      <c r="E161" t="s">
        <v>43</v>
      </c>
      <c r="F161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61">
        <f>ScenarioStat1[[#This Row],[team-1-win]]+ScenarioStat1[[#This Row],[team-2-win]]</f>
        <v>1</v>
      </c>
    </row>
    <row r="162" spans="1:7" x14ac:dyDescent="0.25">
      <c r="A162" t="s">
        <v>53</v>
      </c>
      <c r="B162" t="s">
        <v>227</v>
      </c>
      <c r="C162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62" t="s">
        <v>33</v>
      </c>
      <c r="E162" t="s">
        <v>45</v>
      </c>
      <c r="F162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62">
        <f>ScenarioStat1[[#This Row],[team-1-win]]+ScenarioStat1[[#This Row],[team-2-win]]</f>
        <v>1</v>
      </c>
    </row>
    <row r="163" spans="1:7" x14ac:dyDescent="0.25">
      <c r="A163" t="s">
        <v>53</v>
      </c>
      <c r="B163" t="s">
        <v>227</v>
      </c>
      <c r="C163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63" t="s">
        <v>33</v>
      </c>
      <c r="E163" t="s">
        <v>63</v>
      </c>
      <c r="F163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63">
        <f>ScenarioStat1[[#This Row],[team-1-win]]+ScenarioStat1[[#This Row],[team-2-win]]</f>
        <v>1</v>
      </c>
    </row>
    <row r="164" spans="1:7" x14ac:dyDescent="0.25">
      <c r="A164" t="s">
        <v>53</v>
      </c>
      <c r="B164" t="s">
        <v>227</v>
      </c>
      <c r="C164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64" t="s">
        <v>33</v>
      </c>
      <c r="E164" t="s">
        <v>38</v>
      </c>
      <c r="F164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64">
        <f>ScenarioStat1[[#This Row],[team-1-win]]+ScenarioStat1[[#This Row],[team-2-win]]</f>
        <v>1</v>
      </c>
    </row>
    <row r="165" spans="1:7" x14ac:dyDescent="0.25">
      <c r="A165" t="s">
        <v>53</v>
      </c>
      <c r="B165" t="s">
        <v>227</v>
      </c>
      <c r="C165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65" t="s">
        <v>43</v>
      </c>
      <c r="E165" t="s">
        <v>45</v>
      </c>
      <c r="F165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65">
        <f>ScenarioStat1[[#This Row],[team-1-win]]+ScenarioStat1[[#This Row],[team-2-win]]</f>
        <v>1</v>
      </c>
    </row>
    <row r="166" spans="1:7" x14ac:dyDescent="0.25">
      <c r="A166" t="s">
        <v>53</v>
      </c>
      <c r="B166" t="s">
        <v>227</v>
      </c>
      <c r="C166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66" t="s">
        <v>43</v>
      </c>
      <c r="E166" t="s">
        <v>63</v>
      </c>
      <c r="F166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66">
        <f>ScenarioStat1[[#This Row],[team-1-win]]+ScenarioStat1[[#This Row],[team-2-win]]</f>
        <v>1</v>
      </c>
    </row>
    <row r="167" spans="1:7" x14ac:dyDescent="0.25">
      <c r="A167" t="s">
        <v>53</v>
      </c>
      <c r="B167" t="s">
        <v>227</v>
      </c>
      <c r="C167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67" t="s">
        <v>43</v>
      </c>
      <c r="E167" t="s">
        <v>38</v>
      </c>
      <c r="F167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67">
        <f>ScenarioStat1[[#This Row],[team-1-win]]+ScenarioStat1[[#This Row],[team-2-win]]</f>
        <v>1</v>
      </c>
    </row>
    <row r="168" spans="1:7" x14ac:dyDescent="0.25">
      <c r="A168" t="s">
        <v>53</v>
      </c>
      <c r="B168" t="s">
        <v>227</v>
      </c>
      <c r="C168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68" t="s">
        <v>45</v>
      </c>
      <c r="E168" t="s">
        <v>63</v>
      </c>
      <c r="F168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68">
        <f>ScenarioStat1[[#This Row],[team-1-win]]+ScenarioStat1[[#This Row],[team-2-win]]</f>
        <v>1</v>
      </c>
    </row>
    <row r="169" spans="1:7" x14ac:dyDescent="0.25">
      <c r="A169" t="s">
        <v>53</v>
      </c>
      <c r="B169" t="s">
        <v>227</v>
      </c>
      <c r="C169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69" t="s">
        <v>45</v>
      </c>
      <c r="E169" t="s">
        <v>38</v>
      </c>
      <c r="F169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69">
        <f>ScenarioStat1[[#This Row],[team-1-win]]+ScenarioStat1[[#This Row],[team-2-win]]</f>
        <v>1</v>
      </c>
    </row>
    <row r="170" spans="1:7" x14ac:dyDescent="0.25">
      <c r="A170" t="s">
        <v>53</v>
      </c>
      <c r="B170" t="s">
        <v>227</v>
      </c>
      <c r="C170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70" t="s">
        <v>63</v>
      </c>
      <c r="E170" t="s">
        <v>38</v>
      </c>
      <c r="F170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70">
        <f>ScenarioStat1[[#This Row],[team-1-win]]+ScenarioStat1[[#This Row],[team-2-win]]</f>
        <v>1</v>
      </c>
    </row>
    <row r="171" spans="1:7" x14ac:dyDescent="0.25">
      <c r="A171" t="s">
        <v>56</v>
      </c>
      <c r="B171" t="s">
        <v>48</v>
      </c>
      <c r="C171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71" t="s">
        <v>33</v>
      </c>
      <c r="E171" t="s">
        <v>43</v>
      </c>
      <c r="F171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71">
        <f>ScenarioStat1[[#This Row],[team-1-win]]+ScenarioStat1[[#This Row],[team-2-win]]</f>
        <v>1</v>
      </c>
    </row>
    <row r="172" spans="1:7" x14ac:dyDescent="0.25">
      <c r="A172" t="s">
        <v>56</v>
      </c>
      <c r="B172" t="s">
        <v>48</v>
      </c>
      <c r="C172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72" t="s">
        <v>33</v>
      </c>
      <c r="E172" t="s">
        <v>45</v>
      </c>
      <c r="F172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72">
        <f>ScenarioStat1[[#This Row],[team-1-win]]+ScenarioStat1[[#This Row],[team-2-win]]</f>
        <v>1</v>
      </c>
    </row>
    <row r="173" spans="1:7" x14ac:dyDescent="0.25">
      <c r="A173" t="s">
        <v>56</v>
      </c>
      <c r="B173" t="s">
        <v>48</v>
      </c>
      <c r="C173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73" t="s">
        <v>33</v>
      </c>
      <c r="E173" t="s">
        <v>63</v>
      </c>
      <c r="F173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73">
        <f>ScenarioStat1[[#This Row],[team-1-win]]+ScenarioStat1[[#This Row],[team-2-win]]</f>
        <v>1</v>
      </c>
    </row>
    <row r="174" spans="1:7" x14ac:dyDescent="0.25">
      <c r="A174" t="s">
        <v>56</v>
      </c>
      <c r="B174" t="s">
        <v>48</v>
      </c>
      <c r="C174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74" t="s">
        <v>33</v>
      </c>
      <c r="E174" t="s">
        <v>38</v>
      </c>
      <c r="F174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74">
        <f>ScenarioStat1[[#This Row],[team-1-win]]+ScenarioStat1[[#This Row],[team-2-win]]</f>
        <v>1</v>
      </c>
    </row>
    <row r="175" spans="1:7" x14ac:dyDescent="0.25">
      <c r="A175" t="s">
        <v>56</v>
      </c>
      <c r="B175" t="s">
        <v>48</v>
      </c>
      <c r="C175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75" t="s">
        <v>33</v>
      </c>
      <c r="E175" t="s">
        <v>227</v>
      </c>
      <c r="F175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75">
        <f>ScenarioStat1[[#This Row],[team-1-win]]+ScenarioStat1[[#This Row],[team-2-win]]</f>
        <v>1</v>
      </c>
    </row>
    <row r="176" spans="1:7" x14ac:dyDescent="0.25">
      <c r="A176" t="s">
        <v>56</v>
      </c>
      <c r="B176" t="s">
        <v>48</v>
      </c>
      <c r="C176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76" t="s">
        <v>43</v>
      </c>
      <c r="E176" t="s">
        <v>45</v>
      </c>
      <c r="F176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76">
        <f>ScenarioStat1[[#This Row],[team-1-win]]+ScenarioStat1[[#This Row],[team-2-win]]</f>
        <v>1</v>
      </c>
    </row>
    <row r="177" spans="1:7" x14ac:dyDescent="0.25">
      <c r="A177" t="s">
        <v>56</v>
      </c>
      <c r="B177" t="s">
        <v>48</v>
      </c>
      <c r="C177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77" t="s">
        <v>43</v>
      </c>
      <c r="E177" t="s">
        <v>63</v>
      </c>
      <c r="F177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77">
        <f>ScenarioStat1[[#This Row],[team-1-win]]+ScenarioStat1[[#This Row],[team-2-win]]</f>
        <v>1</v>
      </c>
    </row>
    <row r="178" spans="1:7" x14ac:dyDescent="0.25">
      <c r="A178" t="s">
        <v>56</v>
      </c>
      <c r="B178" t="s">
        <v>48</v>
      </c>
      <c r="C178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78" t="s">
        <v>43</v>
      </c>
      <c r="E178" t="s">
        <v>38</v>
      </c>
      <c r="F178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78">
        <f>ScenarioStat1[[#This Row],[team-1-win]]+ScenarioStat1[[#This Row],[team-2-win]]</f>
        <v>1</v>
      </c>
    </row>
    <row r="179" spans="1:7" x14ac:dyDescent="0.25">
      <c r="A179" t="s">
        <v>56</v>
      </c>
      <c r="B179" t="s">
        <v>48</v>
      </c>
      <c r="C179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79" t="s">
        <v>43</v>
      </c>
      <c r="E179" t="s">
        <v>227</v>
      </c>
      <c r="F179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79">
        <f>ScenarioStat1[[#This Row],[team-1-win]]+ScenarioStat1[[#This Row],[team-2-win]]</f>
        <v>1</v>
      </c>
    </row>
    <row r="180" spans="1:7" x14ac:dyDescent="0.25">
      <c r="A180" t="s">
        <v>56</v>
      </c>
      <c r="B180" t="s">
        <v>48</v>
      </c>
      <c r="C180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80" t="s">
        <v>45</v>
      </c>
      <c r="E180" t="s">
        <v>63</v>
      </c>
      <c r="F180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80">
        <f>ScenarioStat1[[#This Row],[team-1-win]]+ScenarioStat1[[#This Row],[team-2-win]]</f>
        <v>1</v>
      </c>
    </row>
    <row r="181" spans="1:7" x14ac:dyDescent="0.25">
      <c r="A181" t="s">
        <v>56</v>
      </c>
      <c r="B181" t="s">
        <v>48</v>
      </c>
      <c r="C181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81" t="s">
        <v>45</v>
      </c>
      <c r="E181" t="s">
        <v>38</v>
      </c>
      <c r="F181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81">
        <f>ScenarioStat1[[#This Row],[team-1-win]]+ScenarioStat1[[#This Row],[team-2-win]]</f>
        <v>1</v>
      </c>
    </row>
    <row r="182" spans="1:7" x14ac:dyDescent="0.25">
      <c r="A182" t="s">
        <v>56</v>
      </c>
      <c r="B182" t="s">
        <v>48</v>
      </c>
      <c r="C182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82" t="s">
        <v>45</v>
      </c>
      <c r="E182" t="s">
        <v>227</v>
      </c>
      <c r="F182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82">
        <f>ScenarioStat1[[#This Row],[team-1-win]]+ScenarioStat1[[#This Row],[team-2-win]]</f>
        <v>1</v>
      </c>
    </row>
    <row r="183" spans="1:7" x14ac:dyDescent="0.25">
      <c r="A183" t="s">
        <v>56</v>
      </c>
      <c r="B183" t="s">
        <v>48</v>
      </c>
      <c r="C183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83" t="s">
        <v>63</v>
      </c>
      <c r="E183" t="s">
        <v>38</v>
      </c>
      <c r="F183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83">
        <f>ScenarioStat1[[#This Row],[team-1-win]]+ScenarioStat1[[#This Row],[team-2-win]]</f>
        <v>1</v>
      </c>
    </row>
    <row r="184" spans="1:7" x14ac:dyDescent="0.25">
      <c r="A184" t="s">
        <v>56</v>
      </c>
      <c r="B184" t="s">
        <v>48</v>
      </c>
      <c r="C184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84" t="s">
        <v>63</v>
      </c>
      <c r="E184" t="s">
        <v>227</v>
      </c>
      <c r="F184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84">
        <f>ScenarioStat1[[#This Row],[team-1-win]]+ScenarioStat1[[#This Row],[team-2-win]]</f>
        <v>1</v>
      </c>
    </row>
    <row r="185" spans="1:7" x14ac:dyDescent="0.25">
      <c r="A185" t="s">
        <v>56</v>
      </c>
      <c r="B185" t="s">
        <v>48</v>
      </c>
      <c r="C185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85" t="s">
        <v>38</v>
      </c>
      <c r="E185" t="s">
        <v>227</v>
      </c>
      <c r="F185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85">
        <f>ScenarioStat1[[#This Row],[team-1-win]]+ScenarioStat1[[#This Row],[team-2-win]]</f>
        <v>1</v>
      </c>
    </row>
    <row r="186" spans="1:7" x14ac:dyDescent="0.25">
      <c r="A186" t="s">
        <v>56</v>
      </c>
      <c r="B186" t="s">
        <v>33</v>
      </c>
      <c r="C186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86" t="s">
        <v>48</v>
      </c>
      <c r="E186" t="s">
        <v>43</v>
      </c>
      <c r="F186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86">
        <f>ScenarioStat1[[#This Row],[team-1-win]]+ScenarioStat1[[#This Row],[team-2-win]]</f>
        <v>1</v>
      </c>
    </row>
    <row r="187" spans="1:7" x14ac:dyDescent="0.25">
      <c r="A187" t="s">
        <v>56</v>
      </c>
      <c r="B187" t="s">
        <v>33</v>
      </c>
      <c r="C187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87" t="s">
        <v>48</v>
      </c>
      <c r="E187" t="s">
        <v>45</v>
      </c>
      <c r="F187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87">
        <f>ScenarioStat1[[#This Row],[team-1-win]]+ScenarioStat1[[#This Row],[team-2-win]]</f>
        <v>1</v>
      </c>
    </row>
    <row r="188" spans="1:7" x14ac:dyDescent="0.25">
      <c r="A188" t="s">
        <v>56</v>
      </c>
      <c r="B188" t="s">
        <v>33</v>
      </c>
      <c r="C188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88" t="s">
        <v>48</v>
      </c>
      <c r="E188" t="s">
        <v>63</v>
      </c>
      <c r="F188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88">
        <f>ScenarioStat1[[#This Row],[team-1-win]]+ScenarioStat1[[#This Row],[team-2-win]]</f>
        <v>1</v>
      </c>
    </row>
    <row r="189" spans="1:7" x14ac:dyDescent="0.25">
      <c r="A189" t="s">
        <v>56</v>
      </c>
      <c r="B189" t="s">
        <v>33</v>
      </c>
      <c r="C189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89" t="s">
        <v>48</v>
      </c>
      <c r="E189" t="s">
        <v>38</v>
      </c>
      <c r="F189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89">
        <f>ScenarioStat1[[#This Row],[team-1-win]]+ScenarioStat1[[#This Row],[team-2-win]]</f>
        <v>1</v>
      </c>
    </row>
    <row r="190" spans="1:7" x14ac:dyDescent="0.25">
      <c r="A190" t="s">
        <v>56</v>
      </c>
      <c r="B190" t="s">
        <v>33</v>
      </c>
      <c r="C190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90" t="s">
        <v>48</v>
      </c>
      <c r="E190" t="s">
        <v>227</v>
      </c>
      <c r="F190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90">
        <f>ScenarioStat1[[#This Row],[team-1-win]]+ScenarioStat1[[#This Row],[team-2-win]]</f>
        <v>1</v>
      </c>
    </row>
    <row r="191" spans="1:7" x14ac:dyDescent="0.25">
      <c r="A191" t="s">
        <v>56</v>
      </c>
      <c r="B191" t="s">
        <v>33</v>
      </c>
      <c r="C191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91" t="s">
        <v>43</v>
      </c>
      <c r="E191" t="s">
        <v>45</v>
      </c>
      <c r="F191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91">
        <f>ScenarioStat1[[#This Row],[team-1-win]]+ScenarioStat1[[#This Row],[team-2-win]]</f>
        <v>1</v>
      </c>
    </row>
    <row r="192" spans="1:7" x14ac:dyDescent="0.25">
      <c r="A192" t="s">
        <v>56</v>
      </c>
      <c r="B192" t="s">
        <v>33</v>
      </c>
      <c r="C192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92" t="s">
        <v>43</v>
      </c>
      <c r="E192" t="s">
        <v>63</v>
      </c>
      <c r="F192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92">
        <f>ScenarioStat1[[#This Row],[team-1-win]]+ScenarioStat1[[#This Row],[team-2-win]]</f>
        <v>1</v>
      </c>
    </row>
    <row r="193" spans="1:7" x14ac:dyDescent="0.25">
      <c r="A193" t="s">
        <v>56</v>
      </c>
      <c r="B193" t="s">
        <v>33</v>
      </c>
      <c r="C193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93" t="s">
        <v>43</v>
      </c>
      <c r="E193" t="s">
        <v>38</v>
      </c>
      <c r="F193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93">
        <f>ScenarioStat1[[#This Row],[team-1-win]]+ScenarioStat1[[#This Row],[team-2-win]]</f>
        <v>1</v>
      </c>
    </row>
    <row r="194" spans="1:7" x14ac:dyDescent="0.25">
      <c r="A194" t="s">
        <v>56</v>
      </c>
      <c r="B194" t="s">
        <v>33</v>
      </c>
      <c r="C194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94" t="s">
        <v>43</v>
      </c>
      <c r="E194" t="s">
        <v>227</v>
      </c>
      <c r="F194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94">
        <f>ScenarioStat1[[#This Row],[team-1-win]]+ScenarioStat1[[#This Row],[team-2-win]]</f>
        <v>1</v>
      </c>
    </row>
    <row r="195" spans="1:7" x14ac:dyDescent="0.25">
      <c r="A195" t="s">
        <v>56</v>
      </c>
      <c r="B195" t="s">
        <v>33</v>
      </c>
      <c r="C195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95" t="s">
        <v>45</v>
      </c>
      <c r="E195" t="s">
        <v>63</v>
      </c>
      <c r="F195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95">
        <f>ScenarioStat1[[#This Row],[team-1-win]]+ScenarioStat1[[#This Row],[team-2-win]]</f>
        <v>1</v>
      </c>
    </row>
    <row r="196" spans="1:7" x14ac:dyDescent="0.25">
      <c r="A196" t="s">
        <v>56</v>
      </c>
      <c r="B196" t="s">
        <v>33</v>
      </c>
      <c r="C196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96" t="s">
        <v>45</v>
      </c>
      <c r="E196" t="s">
        <v>38</v>
      </c>
      <c r="F196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96">
        <f>ScenarioStat1[[#This Row],[team-1-win]]+ScenarioStat1[[#This Row],[team-2-win]]</f>
        <v>1</v>
      </c>
    </row>
    <row r="197" spans="1:7" x14ac:dyDescent="0.25">
      <c r="A197" t="s">
        <v>56</v>
      </c>
      <c r="B197" t="s">
        <v>33</v>
      </c>
      <c r="C197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97" t="s">
        <v>45</v>
      </c>
      <c r="E197" t="s">
        <v>227</v>
      </c>
      <c r="F197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97">
        <f>ScenarioStat1[[#This Row],[team-1-win]]+ScenarioStat1[[#This Row],[team-2-win]]</f>
        <v>1</v>
      </c>
    </row>
    <row r="198" spans="1:7" x14ac:dyDescent="0.25">
      <c r="A198" t="s">
        <v>56</v>
      </c>
      <c r="B198" t="s">
        <v>33</v>
      </c>
      <c r="C198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198" t="s">
        <v>63</v>
      </c>
      <c r="E198" t="s">
        <v>38</v>
      </c>
      <c r="F198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198">
        <f>ScenarioStat1[[#This Row],[team-1-win]]+ScenarioStat1[[#This Row],[team-2-win]]</f>
        <v>1</v>
      </c>
    </row>
    <row r="199" spans="1:7" x14ac:dyDescent="0.25">
      <c r="A199" t="s">
        <v>56</v>
      </c>
      <c r="B199" t="s">
        <v>33</v>
      </c>
      <c r="C199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199" t="s">
        <v>63</v>
      </c>
      <c r="E199" t="s">
        <v>227</v>
      </c>
      <c r="F199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199">
        <f>ScenarioStat1[[#This Row],[team-1-win]]+ScenarioStat1[[#This Row],[team-2-win]]</f>
        <v>1</v>
      </c>
    </row>
    <row r="200" spans="1:7" x14ac:dyDescent="0.25">
      <c r="A200" t="s">
        <v>56</v>
      </c>
      <c r="B200" t="s">
        <v>33</v>
      </c>
      <c r="C200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00" t="s">
        <v>38</v>
      </c>
      <c r="E200" t="s">
        <v>227</v>
      </c>
      <c r="F200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00">
        <f>ScenarioStat1[[#This Row],[team-1-win]]+ScenarioStat1[[#This Row],[team-2-win]]</f>
        <v>1</v>
      </c>
    </row>
    <row r="201" spans="1:7" x14ac:dyDescent="0.25">
      <c r="A201" t="s">
        <v>56</v>
      </c>
      <c r="B201" t="s">
        <v>43</v>
      </c>
      <c r="C201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01" t="s">
        <v>48</v>
      </c>
      <c r="E201" t="s">
        <v>33</v>
      </c>
      <c r="F201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01">
        <f>ScenarioStat1[[#This Row],[team-1-win]]+ScenarioStat1[[#This Row],[team-2-win]]</f>
        <v>1</v>
      </c>
    </row>
    <row r="202" spans="1:7" x14ac:dyDescent="0.25">
      <c r="A202" t="s">
        <v>56</v>
      </c>
      <c r="B202" t="s">
        <v>43</v>
      </c>
      <c r="C202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02" t="s">
        <v>48</v>
      </c>
      <c r="E202" t="s">
        <v>45</v>
      </c>
      <c r="F202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02">
        <f>ScenarioStat1[[#This Row],[team-1-win]]+ScenarioStat1[[#This Row],[team-2-win]]</f>
        <v>1</v>
      </c>
    </row>
    <row r="203" spans="1:7" x14ac:dyDescent="0.25">
      <c r="A203" t="s">
        <v>56</v>
      </c>
      <c r="B203" t="s">
        <v>43</v>
      </c>
      <c r="C203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03" t="s">
        <v>48</v>
      </c>
      <c r="E203" t="s">
        <v>63</v>
      </c>
      <c r="F203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03">
        <f>ScenarioStat1[[#This Row],[team-1-win]]+ScenarioStat1[[#This Row],[team-2-win]]</f>
        <v>1</v>
      </c>
    </row>
    <row r="204" spans="1:7" x14ac:dyDescent="0.25">
      <c r="A204" t="s">
        <v>56</v>
      </c>
      <c r="B204" t="s">
        <v>43</v>
      </c>
      <c r="C204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04" t="s">
        <v>48</v>
      </c>
      <c r="E204" t="s">
        <v>38</v>
      </c>
      <c r="F204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04">
        <f>ScenarioStat1[[#This Row],[team-1-win]]+ScenarioStat1[[#This Row],[team-2-win]]</f>
        <v>1</v>
      </c>
    </row>
    <row r="205" spans="1:7" x14ac:dyDescent="0.25">
      <c r="A205" t="s">
        <v>56</v>
      </c>
      <c r="B205" t="s">
        <v>43</v>
      </c>
      <c r="C205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05" t="s">
        <v>48</v>
      </c>
      <c r="E205" t="s">
        <v>227</v>
      </c>
      <c r="F205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05">
        <f>ScenarioStat1[[#This Row],[team-1-win]]+ScenarioStat1[[#This Row],[team-2-win]]</f>
        <v>1</v>
      </c>
    </row>
    <row r="206" spans="1:7" x14ac:dyDescent="0.25">
      <c r="A206" t="s">
        <v>56</v>
      </c>
      <c r="B206" t="s">
        <v>43</v>
      </c>
      <c r="C206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06" t="s">
        <v>33</v>
      </c>
      <c r="E206" t="s">
        <v>45</v>
      </c>
      <c r="F206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06">
        <f>ScenarioStat1[[#This Row],[team-1-win]]+ScenarioStat1[[#This Row],[team-2-win]]</f>
        <v>1</v>
      </c>
    </row>
    <row r="207" spans="1:7" x14ac:dyDescent="0.25">
      <c r="A207" t="s">
        <v>56</v>
      </c>
      <c r="B207" t="s">
        <v>43</v>
      </c>
      <c r="C207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07" t="s">
        <v>33</v>
      </c>
      <c r="E207" t="s">
        <v>63</v>
      </c>
      <c r="F207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07">
        <f>ScenarioStat1[[#This Row],[team-1-win]]+ScenarioStat1[[#This Row],[team-2-win]]</f>
        <v>1</v>
      </c>
    </row>
    <row r="208" spans="1:7" x14ac:dyDescent="0.25">
      <c r="A208" t="s">
        <v>56</v>
      </c>
      <c r="B208" t="s">
        <v>43</v>
      </c>
      <c r="C208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08" t="s">
        <v>33</v>
      </c>
      <c r="E208" t="s">
        <v>38</v>
      </c>
      <c r="F208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08">
        <f>ScenarioStat1[[#This Row],[team-1-win]]+ScenarioStat1[[#This Row],[team-2-win]]</f>
        <v>1</v>
      </c>
    </row>
    <row r="209" spans="1:7" x14ac:dyDescent="0.25">
      <c r="A209" t="s">
        <v>56</v>
      </c>
      <c r="B209" t="s">
        <v>43</v>
      </c>
      <c r="C209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09" t="s">
        <v>33</v>
      </c>
      <c r="E209" t="s">
        <v>227</v>
      </c>
      <c r="F209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09">
        <f>ScenarioStat1[[#This Row],[team-1-win]]+ScenarioStat1[[#This Row],[team-2-win]]</f>
        <v>1</v>
      </c>
    </row>
    <row r="210" spans="1:7" x14ac:dyDescent="0.25">
      <c r="A210" t="s">
        <v>56</v>
      </c>
      <c r="B210" t="s">
        <v>43</v>
      </c>
      <c r="C210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10" t="s">
        <v>45</v>
      </c>
      <c r="E210" t="s">
        <v>63</v>
      </c>
      <c r="F210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10">
        <f>ScenarioStat1[[#This Row],[team-1-win]]+ScenarioStat1[[#This Row],[team-2-win]]</f>
        <v>1</v>
      </c>
    </row>
    <row r="211" spans="1:7" x14ac:dyDescent="0.25">
      <c r="A211" t="s">
        <v>56</v>
      </c>
      <c r="B211" t="s">
        <v>43</v>
      </c>
      <c r="C211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11" t="s">
        <v>45</v>
      </c>
      <c r="E211" t="s">
        <v>38</v>
      </c>
      <c r="F211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11">
        <f>ScenarioStat1[[#This Row],[team-1-win]]+ScenarioStat1[[#This Row],[team-2-win]]</f>
        <v>1</v>
      </c>
    </row>
    <row r="212" spans="1:7" x14ac:dyDescent="0.25">
      <c r="A212" t="s">
        <v>56</v>
      </c>
      <c r="B212" t="s">
        <v>43</v>
      </c>
      <c r="C212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12" t="s">
        <v>45</v>
      </c>
      <c r="E212" t="s">
        <v>227</v>
      </c>
      <c r="F212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12">
        <f>ScenarioStat1[[#This Row],[team-1-win]]+ScenarioStat1[[#This Row],[team-2-win]]</f>
        <v>1</v>
      </c>
    </row>
    <row r="213" spans="1:7" x14ac:dyDescent="0.25">
      <c r="A213" t="s">
        <v>56</v>
      </c>
      <c r="B213" t="s">
        <v>43</v>
      </c>
      <c r="C213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13" t="s">
        <v>63</v>
      </c>
      <c r="E213" t="s">
        <v>38</v>
      </c>
      <c r="F213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13">
        <f>ScenarioStat1[[#This Row],[team-1-win]]+ScenarioStat1[[#This Row],[team-2-win]]</f>
        <v>1</v>
      </c>
    </row>
    <row r="214" spans="1:7" x14ac:dyDescent="0.25">
      <c r="A214" t="s">
        <v>56</v>
      </c>
      <c r="B214" t="s">
        <v>43</v>
      </c>
      <c r="C214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14" t="s">
        <v>63</v>
      </c>
      <c r="E214" t="s">
        <v>227</v>
      </c>
      <c r="F214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14">
        <f>ScenarioStat1[[#This Row],[team-1-win]]+ScenarioStat1[[#This Row],[team-2-win]]</f>
        <v>1</v>
      </c>
    </row>
    <row r="215" spans="1:7" x14ac:dyDescent="0.25">
      <c r="A215" t="s">
        <v>56</v>
      </c>
      <c r="B215" t="s">
        <v>43</v>
      </c>
      <c r="C215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15" t="s">
        <v>38</v>
      </c>
      <c r="E215" t="s">
        <v>227</v>
      </c>
      <c r="F215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15">
        <f>ScenarioStat1[[#This Row],[team-1-win]]+ScenarioStat1[[#This Row],[team-2-win]]</f>
        <v>1</v>
      </c>
    </row>
    <row r="216" spans="1:7" x14ac:dyDescent="0.25">
      <c r="A216" t="s">
        <v>56</v>
      </c>
      <c r="B216" t="s">
        <v>45</v>
      </c>
      <c r="C216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16" t="s">
        <v>48</v>
      </c>
      <c r="E216" t="s">
        <v>33</v>
      </c>
      <c r="F216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16">
        <f>ScenarioStat1[[#This Row],[team-1-win]]+ScenarioStat1[[#This Row],[team-2-win]]</f>
        <v>1</v>
      </c>
    </row>
    <row r="217" spans="1:7" x14ac:dyDescent="0.25">
      <c r="A217" t="s">
        <v>56</v>
      </c>
      <c r="B217" t="s">
        <v>45</v>
      </c>
      <c r="C217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17" t="s">
        <v>48</v>
      </c>
      <c r="E217" t="s">
        <v>43</v>
      </c>
      <c r="F217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17">
        <f>ScenarioStat1[[#This Row],[team-1-win]]+ScenarioStat1[[#This Row],[team-2-win]]</f>
        <v>1</v>
      </c>
    </row>
    <row r="218" spans="1:7" x14ac:dyDescent="0.25">
      <c r="A218" t="s">
        <v>56</v>
      </c>
      <c r="B218" t="s">
        <v>45</v>
      </c>
      <c r="C218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18" t="s">
        <v>48</v>
      </c>
      <c r="E218" t="s">
        <v>63</v>
      </c>
      <c r="F218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18">
        <f>ScenarioStat1[[#This Row],[team-1-win]]+ScenarioStat1[[#This Row],[team-2-win]]</f>
        <v>1</v>
      </c>
    </row>
    <row r="219" spans="1:7" x14ac:dyDescent="0.25">
      <c r="A219" t="s">
        <v>56</v>
      </c>
      <c r="B219" t="s">
        <v>45</v>
      </c>
      <c r="C219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19" t="s">
        <v>48</v>
      </c>
      <c r="E219" t="s">
        <v>38</v>
      </c>
      <c r="F219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19">
        <f>ScenarioStat1[[#This Row],[team-1-win]]+ScenarioStat1[[#This Row],[team-2-win]]</f>
        <v>1</v>
      </c>
    </row>
    <row r="220" spans="1:7" x14ac:dyDescent="0.25">
      <c r="A220" t="s">
        <v>56</v>
      </c>
      <c r="B220" t="s">
        <v>45</v>
      </c>
      <c r="C220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20" t="s">
        <v>48</v>
      </c>
      <c r="E220" t="s">
        <v>227</v>
      </c>
      <c r="F220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20">
        <f>ScenarioStat1[[#This Row],[team-1-win]]+ScenarioStat1[[#This Row],[team-2-win]]</f>
        <v>1</v>
      </c>
    </row>
    <row r="221" spans="1:7" x14ac:dyDescent="0.25">
      <c r="A221" t="s">
        <v>56</v>
      </c>
      <c r="B221" t="s">
        <v>45</v>
      </c>
      <c r="C221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21" t="s">
        <v>33</v>
      </c>
      <c r="E221" t="s">
        <v>43</v>
      </c>
      <c r="F221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21">
        <f>ScenarioStat1[[#This Row],[team-1-win]]+ScenarioStat1[[#This Row],[team-2-win]]</f>
        <v>1</v>
      </c>
    </row>
    <row r="222" spans="1:7" x14ac:dyDescent="0.25">
      <c r="A222" t="s">
        <v>56</v>
      </c>
      <c r="B222" t="s">
        <v>45</v>
      </c>
      <c r="C222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22" t="s">
        <v>33</v>
      </c>
      <c r="E222" t="s">
        <v>63</v>
      </c>
      <c r="F222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22">
        <f>ScenarioStat1[[#This Row],[team-1-win]]+ScenarioStat1[[#This Row],[team-2-win]]</f>
        <v>1</v>
      </c>
    </row>
    <row r="223" spans="1:7" x14ac:dyDescent="0.25">
      <c r="A223" t="s">
        <v>56</v>
      </c>
      <c r="B223" t="s">
        <v>45</v>
      </c>
      <c r="C223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23" t="s">
        <v>33</v>
      </c>
      <c r="E223" t="s">
        <v>38</v>
      </c>
      <c r="F223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23">
        <f>ScenarioStat1[[#This Row],[team-1-win]]+ScenarioStat1[[#This Row],[team-2-win]]</f>
        <v>1</v>
      </c>
    </row>
    <row r="224" spans="1:7" x14ac:dyDescent="0.25">
      <c r="A224" t="s">
        <v>56</v>
      </c>
      <c r="B224" t="s">
        <v>45</v>
      </c>
      <c r="C224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24" t="s">
        <v>33</v>
      </c>
      <c r="E224" t="s">
        <v>227</v>
      </c>
      <c r="F224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24">
        <f>ScenarioStat1[[#This Row],[team-1-win]]+ScenarioStat1[[#This Row],[team-2-win]]</f>
        <v>1</v>
      </c>
    </row>
    <row r="225" spans="1:7" x14ac:dyDescent="0.25">
      <c r="A225" t="s">
        <v>56</v>
      </c>
      <c r="B225" t="s">
        <v>45</v>
      </c>
      <c r="C225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25" t="s">
        <v>43</v>
      </c>
      <c r="E225" t="s">
        <v>63</v>
      </c>
      <c r="F225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25">
        <f>ScenarioStat1[[#This Row],[team-1-win]]+ScenarioStat1[[#This Row],[team-2-win]]</f>
        <v>1</v>
      </c>
    </row>
    <row r="226" spans="1:7" x14ac:dyDescent="0.25">
      <c r="A226" t="s">
        <v>56</v>
      </c>
      <c r="B226" t="s">
        <v>45</v>
      </c>
      <c r="C226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26" t="s">
        <v>43</v>
      </c>
      <c r="E226" t="s">
        <v>38</v>
      </c>
      <c r="F226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26">
        <f>ScenarioStat1[[#This Row],[team-1-win]]+ScenarioStat1[[#This Row],[team-2-win]]</f>
        <v>1</v>
      </c>
    </row>
    <row r="227" spans="1:7" x14ac:dyDescent="0.25">
      <c r="A227" t="s">
        <v>56</v>
      </c>
      <c r="B227" t="s">
        <v>45</v>
      </c>
      <c r="C227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27" t="s">
        <v>43</v>
      </c>
      <c r="E227" t="s">
        <v>227</v>
      </c>
      <c r="F227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27">
        <f>ScenarioStat1[[#This Row],[team-1-win]]+ScenarioStat1[[#This Row],[team-2-win]]</f>
        <v>1</v>
      </c>
    </row>
    <row r="228" spans="1:7" x14ac:dyDescent="0.25">
      <c r="A228" t="s">
        <v>56</v>
      </c>
      <c r="B228" t="s">
        <v>45</v>
      </c>
      <c r="C228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28" t="s">
        <v>63</v>
      </c>
      <c r="E228" t="s">
        <v>38</v>
      </c>
      <c r="F228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28">
        <f>ScenarioStat1[[#This Row],[team-1-win]]+ScenarioStat1[[#This Row],[team-2-win]]</f>
        <v>1</v>
      </c>
    </row>
    <row r="229" spans="1:7" x14ac:dyDescent="0.25">
      <c r="A229" t="s">
        <v>56</v>
      </c>
      <c r="B229" t="s">
        <v>45</v>
      </c>
      <c r="C229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29" t="s">
        <v>63</v>
      </c>
      <c r="E229" t="s">
        <v>227</v>
      </c>
      <c r="F229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29">
        <f>ScenarioStat1[[#This Row],[team-1-win]]+ScenarioStat1[[#This Row],[team-2-win]]</f>
        <v>1</v>
      </c>
    </row>
    <row r="230" spans="1:7" x14ac:dyDescent="0.25">
      <c r="A230" t="s">
        <v>56</v>
      </c>
      <c r="B230" t="s">
        <v>45</v>
      </c>
      <c r="C230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30" t="s">
        <v>38</v>
      </c>
      <c r="E230" t="s">
        <v>227</v>
      </c>
      <c r="F230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30">
        <f>ScenarioStat1[[#This Row],[team-1-win]]+ScenarioStat1[[#This Row],[team-2-win]]</f>
        <v>1</v>
      </c>
    </row>
    <row r="231" spans="1:7" x14ac:dyDescent="0.25">
      <c r="A231" t="s">
        <v>56</v>
      </c>
      <c r="B231" t="s">
        <v>63</v>
      </c>
      <c r="C231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31" t="s">
        <v>48</v>
      </c>
      <c r="E231" t="s">
        <v>33</v>
      </c>
      <c r="F231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31">
        <f>ScenarioStat1[[#This Row],[team-1-win]]+ScenarioStat1[[#This Row],[team-2-win]]</f>
        <v>1</v>
      </c>
    </row>
    <row r="232" spans="1:7" x14ac:dyDescent="0.25">
      <c r="A232" t="s">
        <v>56</v>
      </c>
      <c r="B232" t="s">
        <v>63</v>
      </c>
      <c r="C232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32" t="s">
        <v>48</v>
      </c>
      <c r="E232" t="s">
        <v>43</v>
      </c>
      <c r="F232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32">
        <f>ScenarioStat1[[#This Row],[team-1-win]]+ScenarioStat1[[#This Row],[team-2-win]]</f>
        <v>1</v>
      </c>
    </row>
    <row r="233" spans="1:7" x14ac:dyDescent="0.25">
      <c r="A233" t="s">
        <v>56</v>
      </c>
      <c r="B233" t="s">
        <v>63</v>
      </c>
      <c r="C233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33" t="s">
        <v>48</v>
      </c>
      <c r="E233" t="s">
        <v>45</v>
      </c>
      <c r="F233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33">
        <f>ScenarioStat1[[#This Row],[team-1-win]]+ScenarioStat1[[#This Row],[team-2-win]]</f>
        <v>1</v>
      </c>
    </row>
    <row r="234" spans="1:7" x14ac:dyDescent="0.25">
      <c r="A234" t="s">
        <v>56</v>
      </c>
      <c r="B234" t="s">
        <v>63</v>
      </c>
      <c r="C234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34" t="s">
        <v>48</v>
      </c>
      <c r="E234" t="s">
        <v>38</v>
      </c>
      <c r="F234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34">
        <f>ScenarioStat1[[#This Row],[team-1-win]]+ScenarioStat1[[#This Row],[team-2-win]]</f>
        <v>1</v>
      </c>
    </row>
    <row r="235" spans="1:7" x14ac:dyDescent="0.25">
      <c r="A235" t="s">
        <v>56</v>
      </c>
      <c r="B235" t="s">
        <v>63</v>
      </c>
      <c r="C235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35" t="s">
        <v>48</v>
      </c>
      <c r="E235" t="s">
        <v>227</v>
      </c>
      <c r="F235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35">
        <f>ScenarioStat1[[#This Row],[team-1-win]]+ScenarioStat1[[#This Row],[team-2-win]]</f>
        <v>1</v>
      </c>
    </row>
    <row r="236" spans="1:7" x14ac:dyDescent="0.25">
      <c r="A236" t="s">
        <v>56</v>
      </c>
      <c r="B236" t="s">
        <v>63</v>
      </c>
      <c r="C236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36" t="s">
        <v>33</v>
      </c>
      <c r="E236" t="s">
        <v>43</v>
      </c>
      <c r="F236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36">
        <f>ScenarioStat1[[#This Row],[team-1-win]]+ScenarioStat1[[#This Row],[team-2-win]]</f>
        <v>1</v>
      </c>
    </row>
    <row r="237" spans="1:7" x14ac:dyDescent="0.25">
      <c r="A237" t="s">
        <v>56</v>
      </c>
      <c r="B237" t="s">
        <v>63</v>
      </c>
      <c r="C237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37" t="s">
        <v>33</v>
      </c>
      <c r="E237" t="s">
        <v>45</v>
      </c>
      <c r="F237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37">
        <f>ScenarioStat1[[#This Row],[team-1-win]]+ScenarioStat1[[#This Row],[team-2-win]]</f>
        <v>1</v>
      </c>
    </row>
    <row r="238" spans="1:7" x14ac:dyDescent="0.25">
      <c r="A238" t="s">
        <v>56</v>
      </c>
      <c r="B238" t="s">
        <v>63</v>
      </c>
      <c r="C238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38" t="s">
        <v>33</v>
      </c>
      <c r="E238" t="s">
        <v>38</v>
      </c>
      <c r="F238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38">
        <f>ScenarioStat1[[#This Row],[team-1-win]]+ScenarioStat1[[#This Row],[team-2-win]]</f>
        <v>1</v>
      </c>
    </row>
    <row r="239" spans="1:7" x14ac:dyDescent="0.25">
      <c r="A239" t="s">
        <v>56</v>
      </c>
      <c r="B239" t="s">
        <v>63</v>
      </c>
      <c r="C239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39" t="s">
        <v>33</v>
      </c>
      <c r="E239" t="s">
        <v>227</v>
      </c>
      <c r="F239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39">
        <f>ScenarioStat1[[#This Row],[team-1-win]]+ScenarioStat1[[#This Row],[team-2-win]]</f>
        <v>1</v>
      </c>
    </row>
    <row r="240" spans="1:7" x14ac:dyDescent="0.25">
      <c r="A240" t="s">
        <v>56</v>
      </c>
      <c r="B240" t="s">
        <v>63</v>
      </c>
      <c r="C240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40" t="s">
        <v>43</v>
      </c>
      <c r="E240" t="s">
        <v>45</v>
      </c>
      <c r="F240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40">
        <f>ScenarioStat1[[#This Row],[team-1-win]]+ScenarioStat1[[#This Row],[team-2-win]]</f>
        <v>1</v>
      </c>
    </row>
    <row r="241" spans="1:7" x14ac:dyDescent="0.25">
      <c r="A241" t="s">
        <v>56</v>
      </c>
      <c r="B241" t="s">
        <v>63</v>
      </c>
      <c r="C241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41" t="s">
        <v>43</v>
      </c>
      <c r="E241" t="s">
        <v>38</v>
      </c>
      <c r="F241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41">
        <f>ScenarioStat1[[#This Row],[team-1-win]]+ScenarioStat1[[#This Row],[team-2-win]]</f>
        <v>1</v>
      </c>
    </row>
    <row r="242" spans="1:7" x14ac:dyDescent="0.25">
      <c r="A242" t="s">
        <v>56</v>
      </c>
      <c r="B242" t="s">
        <v>63</v>
      </c>
      <c r="C242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42" t="s">
        <v>43</v>
      </c>
      <c r="E242" t="s">
        <v>227</v>
      </c>
      <c r="F242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42">
        <f>ScenarioStat1[[#This Row],[team-1-win]]+ScenarioStat1[[#This Row],[team-2-win]]</f>
        <v>1</v>
      </c>
    </row>
    <row r="243" spans="1:7" x14ac:dyDescent="0.25">
      <c r="A243" t="s">
        <v>56</v>
      </c>
      <c r="B243" t="s">
        <v>63</v>
      </c>
      <c r="C243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43" t="s">
        <v>45</v>
      </c>
      <c r="E243" t="s">
        <v>38</v>
      </c>
      <c r="F243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43">
        <f>ScenarioStat1[[#This Row],[team-1-win]]+ScenarioStat1[[#This Row],[team-2-win]]</f>
        <v>1</v>
      </c>
    </row>
    <row r="244" spans="1:7" x14ac:dyDescent="0.25">
      <c r="A244" t="s">
        <v>56</v>
      </c>
      <c r="B244" t="s">
        <v>63</v>
      </c>
      <c r="C244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44" t="s">
        <v>45</v>
      </c>
      <c r="E244" t="s">
        <v>227</v>
      </c>
      <c r="F244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44">
        <f>ScenarioStat1[[#This Row],[team-1-win]]+ScenarioStat1[[#This Row],[team-2-win]]</f>
        <v>1</v>
      </c>
    </row>
    <row r="245" spans="1:7" x14ac:dyDescent="0.25">
      <c r="A245" t="s">
        <v>56</v>
      </c>
      <c r="B245" t="s">
        <v>63</v>
      </c>
      <c r="C245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45" t="s">
        <v>38</v>
      </c>
      <c r="E245" t="s">
        <v>227</v>
      </c>
      <c r="F245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45">
        <f>ScenarioStat1[[#This Row],[team-1-win]]+ScenarioStat1[[#This Row],[team-2-win]]</f>
        <v>1</v>
      </c>
    </row>
    <row r="246" spans="1:7" x14ac:dyDescent="0.25">
      <c r="A246" t="s">
        <v>56</v>
      </c>
      <c r="B246" t="s">
        <v>38</v>
      </c>
      <c r="C246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46" t="s">
        <v>48</v>
      </c>
      <c r="E246" t="s">
        <v>33</v>
      </c>
      <c r="F246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46">
        <f>ScenarioStat1[[#This Row],[team-1-win]]+ScenarioStat1[[#This Row],[team-2-win]]</f>
        <v>1</v>
      </c>
    </row>
    <row r="247" spans="1:7" x14ac:dyDescent="0.25">
      <c r="A247" t="s">
        <v>56</v>
      </c>
      <c r="B247" t="s">
        <v>38</v>
      </c>
      <c r="C247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47" t="s">
        <v>48</v>
      </c>
      <c r="E247" t="s">
        <v>43</v>
      </c>
      <c r="F247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47">
        <f>ScenarioStat1[[#This Row],[team-1-win]]+ScenarioStat1[[#This Row],[team-2-win]]</f>
        <v>1</v>
      </c>
    </row>
    <row r="248" spans="1:7" x14ac:dyDescent="0.25">
      <c r="A248" t="s">
        <v>56</v>
      </c>
      <c r="B248" t="s">
        <v>38</v>
      </c>
      <c r="C248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48" t="s">
        <v>48</v>
      </c>
      <c r="E248" t="s">
        <v>45</v>
      </c>
      <c r="F248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48">
        <f>ScenarioStat1[[#This Row],[team-1-win]]+ScenarioStat1[[#This Row],[team-2-win]]</f>
        <v>1</v>
      </c>
    </row>
    <row r="249" spans="1:7" x14ac:dyDescent="0.25">
      <c r="A249" t="s">
        <v>56</v>
      </c>
      <c r="B249" t="s">
        <v>38</v>
      </c>
      <c r="C249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49" t="s">
        <v>48</v>
      </c>
      <c r="E249" t="s">
        <v>63</v>
      </c>
      <c r="F249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49">
        <f>ScenarioStat1[[#This Row],[team-1-win]]+ScenarioStat1[[#This Row],[team-2-win]]</f>
        <v>1</v>
      </c>
    </row>
    <row r="250" spans="1:7" x14ac:dyDescent="0.25">
      <c r="A250" t="s">
        <v>56</v>
      </c>
      <c r="B250" t="s">
        <v>38</v>
      </c>
      <c r="C250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50" t="s">
        <v>48</v>
      </c>
      <c r="E250" t="s">
        <v>227</v>
      </c>
      <c r="F250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50">
        <f>ScenarioStat1[[#This Row],[team-1-win]]+ScenarioStat1[[#This Row],[team-2-win]]</f>
        <v>1</v>
      </c>
    </row>
    <row r="251" spans="1:7" x14ac:dyDescent="0.25">
      <c r="A251" t="s">
        <v>56</v>
      </c>
      <c r="B251" t="s">
        <v>38</v>
      </c>
      <c r="C251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51" t="s">
        <v>33</v>
      </c>
      <c r="E251" t="s">
        <v>43</v>
      </c>
      <c r="F251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51">
        <f>ScenarioStat1[[#This Row],[team-1-win]]+ScenarioStat1[[#This Row],[team-2-win]]</f>
        <v>1</v>
      </c>
    </row>
    <row r="252" spans="1:7" x14ac:dyDescent="0.25">
      <c r="A252" t="s">
        <v>56</v>
      </c>
      <c r="B252" t="s">
        <v>38</v>
      </c>
      <c r="C252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52" t="s">
        <v>33</v>
      </c>
      <c r="E252" t="s">
        <v>45</v>
      </c>
      <c r="F252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52">
        <f>ScenarioStat1[[#This Row],[team-1-win]]+ScenarioStat1[[#This Row],[team-2-win]]</f>
        <v>1</v>
      </c>
    </row>
    <row r="253" spans="1:7" x14ac:dyDescent="0.25">
      <c r="A253" t="s">
        <v>56</v>
      </c>
      <c r="B253" t="s">
        <v>38</v>
      </c>
      <c r="C253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53" t="s">
        <v>33</v>
      </c>
      <c r="E253" t="s">
        <v>63</v>
      </c>
      <c r="F253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53">
        <f>ScenarioStat1[[#This Row],[team-1-win]]+ScenarioStat1[[#This Row],[team-2-win]]</f>
        <v>1</v>
      </c>
    </row>
    <row r="254" spans="1:7" x14ac:dyDescent="0.25">
      <c r="A254" t="s">
        <v>56</v>
      </c>
      <c r="B254" t="s">
        <v>38</v>
      </c>
      <c r="C254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54" t="s">
        <v>33</v>
      </c>
      <c r="E254" t="s">
        <v>227</v>
      </c>
      <c r="F254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54">
        <f>ScenarioStat1[[#This Row],[team-1-win]]+ScenarioStat1[[#This Row],[team-2-win]]</f>
        <v>1</v>
      </c>
    </row>
    <row r="255" spans="1:7" x14ac:dyDescent="0.25">
      <c r="A255" t="s">
        <v>56</v>
      </c>
      <c r="B255" t="s">
        <v>38</v>
      </c>
      <c r="C255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55" t="s">
        <v>43</v>
      </c>
      <c r="E255" t="s">
        <v>45</v>
      </c>
      <c r="F255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55">
        <f>ScenarioStat1[[#This Row],[team-1-win]]+ScenarioStat1[[#This Row],[team-2-win]]</f>
        <v>1</v>
      </c>
    </row>
    <row r="256" spans="1:7" x14ac:dyDescent="0.25">
      <c r="A256" t="s">
        <v>56</v>
      </c>
      <c r="B256" t="s">
        <v>38</v>
      </c>
      <c r="C256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56" t="s">
        <v>43</v>
      </c>
      <c r="E256" t="s">
        <v>63</v>
      </c>
      <c r="F256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56">
        <f>ScenarioStat1[[#This Row],[team-1-win]]+ScenarioStat1[[#This Row],[team-2-win]]</f>
        <v>1</v>
      </c>
    </row>
    <row r="257" spans="1:7" x14ac:dyDescent="0.25">
      <c r="A257" t="s">
        <v>56</v>
      </c>
      <c r="B257" t="s">
        <v>38</v>
      </c>
      <c r="C257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57" t="s">
        <v>43</v>
      </c>
      <c r="E257" t="s">
        <v>227</v>
      </c>
      <c r="F257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57">
        <f>ScenarioStat1[[#This Row],[team-1-win]]+ScenarioStat1[[#This Row],[team-2-win]]</f>
        <v>1</v>
      </c>
    </row>
    <row r="258" spans="1:7" x14ac:dyDescent="0.25">
      <c r="A258" t="s">
        <v>56</v>
      </c>
      <c r="B258" t="s">
        <v>38</v>
      </c>
      <c r="C258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58" t="s">
        <v>45</v>
      </c>
      <c r="E258" t="s">
        <v>63</v>
      </c>
      <c r="F258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58">
        <f>ScenarioStat1[[#This Row],[team-1-win]]+ScenarioStat1[[#This Row],[team-2-win]]</f>
        <v>1</v>
      </c>
    </row>
    <row r="259" spans="1:7" x14ac:dyDescent="0.25">
      <c r="A259" t="s">
        <v>56</v>
      </c>
      <c r="B259" t="s">
        <v>38</v>
      </c>
      <c r="C259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59" t="s">
        <v>45</v>
      </c>
      <c r="E259" t="s">
        <v>227</v>
      </c>
      <c r="F259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59">
        <f>ScenarioStat1[[#This Row],[team-1-win]]+ScenarioStat1[[#This Row],[team-2-win]]</f>
        <v>1</v>
      </c>
    </row>
    <row r="260" spans="1:7" x14ac:dyDescent="0.25">
      <c r="A260" t="s">
        <v>56</v>
      </c>
      <c r="B260" t="s">
        <v>38</v>
      </c>
      <c r="C260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60" t="s">
        <v>63</v>
      </c>
      <c r="E260" t="s">
        <v>227</v>
      </c>
      <c r="F260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60">
        <f>ScenarioStat1[[#This Row],[team-1-win]]+ScenarioStat1[[#This Row],[team-2-win]]</f>
        <v>1</v>
      </c>
    </row>
    <row r="261" spans="1:7" x14ac:dyDescent="0.25">
      <c r="A261" t="s">
        <v>56</v>
      </c>
      <c r="B261" t="s">
        <v>227</v>
      </c>
      <c r="C261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61" t="s">
        <v>48</v>
      </c>
      <c r="E261" t="s">
        <v>33</v>
      </c>
      <c r="F261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61">
        <f>ScenarioStat1[[#This Row],[team-1-win]]+ScenarioStat1[[#This Row],[team-2-win]]</f>
        <v>1</v>
      </c>
    </row>
    <row r="262" spans="1:7" x14ac:dyDescent="0.25">
      <c r="A262" t="s">
        <v>56</v>
      </c>
      <c r="B262" t="s">
        <v>227</v>
      </c>
      <c r="C262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62" t="s">
        <v>48</v>
      </c>
      <c r="E262" t="s">
        <v>43</v>
      </c>
      <c r="F262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62">
        <f>ScenarioStat1[[#This Row],[team-1-win]]+ScenarioStat1[[#This Row],[team-2-win]]</f>
        <v>1</v>
      </c>
    </row>
    <row r="263" spans="1:7" x14ac:dyDescent="0.25">
      <c r="A263" t="s">
        <v>56</v>
      </c>
      <c r="B263" t="s">
        <v>227</v>
      </c>
      <c r="C263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63" t="s">
        <v>48</v>
      </c>
      <c r="E263" t="s">
        <v>45</v>
      </c>
      <c r="F263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63">
        <f>ScenarioStat1[[#This Row],[team-1-win]]+ScenarioStat1[[#This Row],[team-2-win]]</f>
        <v>1</v>
      </c>
    </row>
    <row r="264" spans="1:7" x14ac:dyDescent="0.25">
      <c r="A264" t="s">
        <v>56</v>
      </c>
      <c r="B264" t="s">
        <v>227</v>
      </c>
      <c r="C264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64" t="s">
        <v>48</v>
      </c>
      <c r="E264" t="s">
        <v>63</v>
      </c>
      <c r="F264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64">
        <f>ScenarioStat1[[#This Row],[team-1-win]]+ScenarioStat1[[#This Row],[team-2-win]]</f>
        <v>1</v>
      </c>
    </row>
    <row r="265" spans="1:7" x14ac:dyDescent="0.25">
      <c r="A265" t="s">
        <v>56</v>
      </c>
      <c r="B265" t="s">
        <v>227</v>
      </c>
      <c r="C265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65" t="s">
        <v>48</v>
      </c>
      <c r="E265" t="s">
        <v>38</v>
      </c>
      <c r="F265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65">
        <f>ScenarioStat1[[#This Row],[team-1-win]]+ScenarioStat1[[#This Row],[team-2-win]]</f>
        <v>1</v>
      </c>
    </row>
    <row r="266" spans="1:7" x14ac:dyDescent="0.25">
      <c r="A266" t="s">
        <v>56</v>
      </c>
      <c r="B266" t="s">
        <v>227</v>
      </c>
      <c r="C266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66" t="s">
        <v>33</v>
      </c>
      <c r="E266" t="s">
        <v>43</v>
      </c>
      <c r="F266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66">
        <f>ScenarioStat1[[#This Row],[team-1-win]]+ScenarioStat1[[#This Row],[team-2-win]]</f>
        <v>1</v>
      </c>
    </row>
    <row r="267" spans="1:7" x14ac:dyDescent="0.25">
      <c r="A267" t="s">
        <v>56</v>
      </c>
      <c r="B267" t="s">
        <v>227</v>
      </c>
      <c r="C267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67" t="s">
        <v>33</v>
      </c>
      <c r="E267" t="s">
        <v>45</v>
      </c>
      <c r="F267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67">
        <f>ScenarioStat1[[#This Row],[team-1-win]]+ScenarioStat1[[#This Row],[team-2-win]]</f>
        <v>1</v>
      </c>
    </row>
    <row r="268" spans="1:7" x14ac:dyDescent="0.25">
      <c r="A268" t="s">
        <v>56</v>
      </c>
      <c r="B268" t="s">
        <v>227</v>
      </c>
      <c r="C268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68" t="s">
        <v>33</v>
      </c>
      <c r="E268" t="s">
        <v>63</v>
      </c>
      <c r="F268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68">
        <f>ScenarioStat1[[#This Row],[team-1-win]]+ScenarioStat1[[#This Row],[team-2-win]]</f>
        <v>1</v>
      </c>
    </row>
    <row r="269" spans="1:7" x14ac:dyDescent="0.25">
      <c r="A269" t="s">
        <v>56</v>
      </c>
      <c r="B269" t="s">
        <v>227</v>
      </c>
      <c r="C269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69" t="s">
        <v>33</v>
      </c>
      <c r="E269" t="s">
        <v>38</v>
      </c>
      <c r="F269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69">
        <f>ScenarioStat1[[#This Row],[team-1-win]]+ScenarioStat1[[#This Row],[team-2-win]]</f>
        <v>1</v>
      </c>
    </row>
    <row r="270" spans="1:7" x14ac:dyDescent="0.25">
      <c r="A270" t="s">
        <v>56</v>
      </c>
      <c r="B270" t="s">
        <v>227</v>
      </c>
      <c r="C270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70" t="s">
        <v>43</v>
      </c>
      <c r="E270" t="s">
        <v>45</v>
      </c>
      <c r="F270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70">
        <f>ScenarioStat1[[#This Row],[team-1-win]]+ScenarioStat1[[#This Row],[team-2-win]]</f>
        <v>1</v>
      </c>
    </row>
    <row r="271" spans="1:7" x14ac:dyDescent="0.25">
      <c r="A271" t="s">
        <v>56</v>
      </c>
      <c r="B271" t="s">
        <v>227</v>
      </c>
      <c r="C271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71" t="s">
        <v>43</v>
      </c>
      <c r="E271" t="s">
        <v>63</v>
      </c>
      <c r="F271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71">
        <f>ScenarioStat1[[#This Row],[team-1-win]]+ScenarioStat1[[#This Row],[team-2-win]]</f>
        <v>1</v>
      </c>
    </row>
    <row r="272" spans="1:7" x14ac:dyDescent="0.25">
      <c r="A272" t="s">
        <v>56</v>
      </c>
      <c r="B272" t="s">
        <v>227</v>
      </c>
      <c r="C272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72" t="s">
        <v>43</v>
      </c>
      <c r="E272" t="s">
        <v>38</v>
      </c>
      <c r="F272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72">
        <f>ScenarioStat1[[#This Row],[team-1-win]]+ScenarioStat1[[#This Row],[team-2-win]]</f>
        <v>1</v>
      </c>
    </row>
    <row r="273" spans="1:7" x14ac:dyDescent="0.25">
      <c r="A273" t="s">
        <v>56</v>
      </c>
      <c r="B273" t="s">
        <v>227</v>
      </c>
      <c r="C273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73" t="s">
        <v>45</v>
      </c>
      <c r="E273" t="s">
        <v>63</v>
      </c>
      <c r="F273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73">
        <f>ScenarioStat1[[#This Row],[team-1-win]]+ScenarioStat1[[#This Row],[team-2-win]]</f>
        <v>1</v>
      </c>
    </row>
    <row r="274" spans="1:7" x14ac:dyDescent="0.25">
      <c r="A274" t="s">
        <v>56</v>
      </c>
      <c r="B274" t="s">
        <v>227</v>
      </c>
      <c r="C274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74" t="s">
        <v>45</v>
      </c>
      <c r="E274" t="s">
        <v>38</v>
      </c>
      <c r="F274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74">
        <f>ScenarioStat1[[#This Row],[team-1-win]]+ScenarioStat1[[#This Row],[team-2-win]]</f>
        <v>1</v>
      </c>
    </row>
    <row r="275" spans="1:7" x14ac:dyDescent="0.25">
      <c r="A275" t="s">
        <v>56</v>
      </c>
      <c r="B275" t="s">
        <v>227</v>
      </c>
      <c r="C275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75" t="s">
        <v>63</v>
      </c>
      <c r="E275" t="s">
        <v>38</v>
      </c>
      <c r="F275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75">
        <f>ScenarioStat1[[#This Row],[team-1-win]]+ScenarioStat1[[#This Row],[team-2-win]]</f>
        <v>1</v>
      </c>
    </row>
    <row r="276" spans="1:7" x14ac:dyDescent="0.25">
      <c r="A276" t="s">
        <v>48</v>
      </c>
      <c r="B276" t="s">
        <v>33</v>
      </c>
      <c r="C276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76" t="s">
        <v>43</v>
      </c>
      <c r="E276" t="s">
        <v>45</v>
      </c>
      <c r="F276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76">
        <f>ScenarioStat1[[#This Row],[team-1-win]]+ScenarioStat1[[#This Row],[team-2-win]]</f>
        <v>1</v>
      </c>
    </row>
    <row r="277" spans="1:7" x14ac:dyDescent="0.25">
      <c r="A277" t="s">
        <v>48</v>
      </c>
      <c r="B277" t="s">
        <v>33</v>
      </c>
      <c r="C277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77" t="s">
        <v>43</v>
      </c>
      <c r="E277" t="s">
        <v>63</v>
      </c>
      <c r="F277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77">
        <f>ScenarioStat1[[#This Row],[team-1-win]]+ScenarioStat1[[#This Row],[team-2-win]]</f>
        <v>1</v>
      </c>
    </row>
    <row r="278" spans="1:7" x14ac:dyDescent="0.25">
      <c r="A278" t="s">
        <v>48</v>
      </c>
      <c r="B278" t="s">
        <v>33</v>
      </c>
      <c r="C278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78" t="s">
        <v>43</v>
      </c>
      <c r="E278" t="s">
        <v>38</v>
      </c>
      <c r="F278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78">
        <f>ScenarioStat1[[#This Row],[team-1-win]]+ScenarioStat1[[#This Row],[team-2-win]]</f>
        <v>1</v>
      </c>
    </row>
    <row r="279" spans="1:7" x14ac:dyDescent="0.25">
      <c r="A279" t="s">
        <v>48</v>
      </c>
      <c r="B279" t="s">
        <v>33</v>
      </c>
      <c r="C279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79" t="s">
        <v>43</v>
      </c>
      <c r="E279" t="s">
        <v>227</v>
      </c>
      <c r="F279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79">
        <f>ScenarioStat1[[#This Row],[team-1-win]]+ScenarioStat1[[#This Row],[team-2-win]]</f>
        <v>1</v>
      </c>
    </row>
    <row r="280" spans="1:7" x14ac:dyDescent="0.25">
      <c r="A280" t="s">
        <v>48</v>
      </c>
      <c r="B280" t="s">
        <v>33</v>
      </c>
      <c r="C280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80" t="s">
        <v>45</v>
      </c>
      <c r="E280" t="s">
        <v>63</v>
      </c>
      <c r="F280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80">
        <f>ScenarioStat1[[#This Row],[team-1-win]]+ScenarioStat1[[#This Row],[team-2-win]]</f>
        <v>1</v>
      </c>
    </row>
    <row r="281" spans="1:7" x14ac:dyDescent="0.25">
      <c r="A281" t="s">
        <v>48</v>
      </c>
      <c r="B281" t="s">
        <v>33</v>
      </c>
      <c r="C281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81" t="s">
        <v>45</v>
      </c>
      <c r="E281" t="s">
        <v>38</v>
      </c>
      <c r="F281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81">
        <f>ScenarioStat1[[#This Row],[team-1-win]]+ScenarioStat1[[#This Row],[team-2-win]]</f>
        <v>1</v>
      </c>
    </row>
    <row r="282" spans="1:7" x14ac:dyDescent="0.25">
      <c r="A282" t="s">
        <v>48</v>
      </c>
      <c r="B282" t="s">
        <v>33</v>
      </c>
      <c r="C282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82" t="s">
        <v>45</v>
      </c>
      <c r="E282" t="s">
        <v>227</v>
      </c>
      <c r="F282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82">
        <f>ScenarioStat1[[#This Row],[team-1-win]]+ScenarioStat1[[#This Row],[team-2-win]]</f>
        <v>1</v>
      </c>
    </row>
    <row r="283" spans="1:7" x14ac:dyDescent="0.25">
      <c r="A283" t="s">
        <v>48</v>
      </c>
      <c r="B283" t="s">
        <v>33</v>
      </c>
      <c r="C283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83" t="s">
        <v>63</v>
      </c>
      <c r="E283" t="s">
        <v>38</v>
      </c>
      <c r="F283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83">
        <f>ScenarioStat1[[#This Row],[team-1-win]]+ScenarioStat1[[#This Row],[team-2-win]]</f>
        <v>1</v>
      </c>
    </row>
    <row r="284" spans="1:7" x14ac:dyDescent="0.25">
      <c r="A284" t="s">
        <v>48</v>
      </c>
      <c r="B284" t="s">
        <v>33</v>
      </c>
      <c r="C284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84" t="s">
        <v>63</v>
      </c>
      <c r="E284" t="s">
        <v>227</v>
      </c>
      <c r="F284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84">
        <f>ScenarioStat1[[#This Row],[team-1-win]]+ScenarioStat1[[#This Row],[team-2-win]]</f>
        <v>1</v>
      </c>
    </row>
    <row r="285" spans="1:7" x14ac:dyDescent="0.25">
      <c r="A285" t="s">
        <v>48</v>
      </c>
      <c r="B285" t="s">
        <v>33</v>
      </c>
      <c r="C285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85" t="s">
        <v>38</v>
      </c>
      <c r="E285" t="s">
        <v>227</v>
      </c>
      <c r="F285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85">
        <f>ScenarioStat1[[#This Row],[team-1-win]]+ScenarioStat1[[#This Row],[team-2-win]]</f>
        <v>1</v>
      </c>
    </row>
    <row r="286" spans="1:7" x14ac:dyDescent="0.25">
      <c r="A286" t="s">
        <v>48</v>
      </c>
      <c r="B286" t="s">
        <v>43</v>
      </c>
      <c r="C286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86" t="s">
        <v>33</v>
      </c>
      <c r="E286" t="s">
        <v>45</v>
      </c>
      <c r="F286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86">
        <f>ScenarioStat1[[#This Row],[team-1-win]]+ScenarioStat1[[#This Row],[team-2-win]]</f>
        <v>1</v>
      </c>
    </row>
    <row r="287" spans="1:7" x14ac:dyDescent="0.25">
      <c r="A287" t="s">
        <v>48</v>
      </c>
      <c r="B287" t="s">
        <v>43</v>
      </c>
      <c r="C287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87" t="s">
        <v>33</v>
      </c>
      <c r="E287" t="s">
        <v>63</v>
      </c>
      <c r="F287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87">
        <f>ScenarioStat1[[#This Row],[team-1-win]]+ScenarioStat1[[#This Row],[team-2-win]]</f>
        <v>1</v>
      </c>
    </row>
    <row r="288" spans="1:7" x14ac:dyDescent="0.25">
      <c r="A288" t="s">
        <v>48</v>
      </c>
      <c r="B288" t="s">
        <v>43</v>
      </c>
      <c r="C288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88" t="s">
        <v>33</v>
      </c>
      <c r="E288" t="s">
        <v>38</v>
      </c>
      <c r="F288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88">
        <f>ScenarioStat1[[#This Row],[team-1-win]]+ScenarioStat1[[#This Row],[team-2-win]]</f>
        <v>1</v>
      </c>
    </row>
    <row r="289" spans="1:7" x14ac:dyDescent="0.25">
      <c r="A289" t="s">
        <v>48</v>
      </c>
      <c r="B289" t="s">
        <v>43</v>
      </c>
      <c r="C289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89" t="s">
        <v>33</v>
      </c>
      <c r="E289" t="s">
        <v>227</v>
      </c>
      <c r="F289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89">
        <f>ScenarioStat1[[#This Row],[team-1-win]]+ScenarioStat1[[#This Row],[team-2-win]]</f>
        <v>1</v>
      </c>
    </row>
    <row r="290" spans="1:7" x14ac:dyDescent="0.25">
      <c r="A290" t="s">
        <v>48</v>
      </c>
      <c r="B290" t="s">
        <v>43</v>
      </c>
      <c r="C290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90" t="s">
        <v>45</v>
      </c>
      <c r="E290" t="s">
        <v>63</v>
      </c>
      <c r="F290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90">
        <f>ScenarioStat1[[#This Row],[team-1-win]]+ScenarioStat1[[#This Row],[team-2-win]]</f>
        <v>1</v>
      </c>
    </row>
    <row r="291" spans="1:7" x14ac:dyDescent="0.25">
      <c r="A291" t="s">
        <v>48</v>
      </c>
      <c r="B291" t="s">
        <v>43</v>
      </c>
      <c r="C291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91" t="s">
        <v>45</v>
      </c>
      <c r="E291" t="s">
        <v>38</v>
      </c>
      <c r="F291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91">
        <f>ScenarioStat1[[#This Row],[team-1-win]]+ScenarioStat1[[#This Row],[team-2-win]]</f>
        <v>1</v>
      </c>
    </row>
    <row r="292" spans="1:7" x14ac:dyDescent="0.25">
      <c r="A292" t="s">
        <v>48</v>
      </c>
      <c r="B292" t="s">
        <v>43</v>
      </c>
      <c r="C292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92" t="s">
        <v>45</v>
      </c>
      <c r="E292" t="s">
        <v>227</v>
      </c>
      <c r="F292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92">
        <f>ScenarioStat1[[#This Row],[team-1-win]]+ScenarioStat1[[#This Row],[team-2-win]]</f>
        <v>1</v>
      </c>
    </row>
    <row r="293" spans="1:7" x14ac:dyDescent="0.25">
      <c r="A293" t="s">
        <v>48</v>
      </c>
      <c r="B293" t="s">
        <v>43</v>
      </c>
      <c r="C293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93" t="s">
        <v>63</v>
      </c>
      <c r="E293" t="s">
        <v>38</v>
      </c>
      <c r="F293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93">
        <f>ScenarioStat1[[#This Row],[team-1-win]]+ScenarioStat1[[#This Row],[team-2-win]]</f>
        <v>1</v>
      </c>
    </row>
    <row r="294" spans="1:7" x14ac:dyDescent="0.25">
      <c r="A294" t="s">
        <v>48</v>
      </c>
      <c r="B294" t="s">
        <v>43</v>
      </c>
      <c r="C294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94" t="s">
        <v>63</v>
      </c>
      <c r="E294" t="s">
        <v>227</v>
      </c>
      <c r="F294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94">
        <f>ScenarioStat1[[#This Row],[team-1-win]]+ScenarioStat1[[#This Row],[team-2-win]]</f>
        <v>1</v>
      </c>
    </row>
    <row r="295" spans="1:7" x14ac:dyDescent="0.25">
      <c r="A295" t="s">
        <v>48</v>
      </c>
      <c r="B295" t="s">
        <v>43</v>
      </c>
      <c r="C295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95" t="s">
        <v>38</v>
      </c>
      <c r="E295" t="s">
        <v>227</v>
      </c>
      <c r="F295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95">
        <f>ScenarioStat1[[#This Row],[team-1-win]]+ScenarioStat1[[#This Row],[team-2-win]]</f>
        <v>1</v>
      </c>
    </row>
    <row r="296" spans="1:7" x14ac:dyDescent="0.25">
      <c r="A296" t="s">
        <v>48</v>
      </c>
      <c r="B296" t="s">
        <v>45</v>
      </c>
      <c r="C296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96" t="s">
        <v>33</v>
      </c>
      <c r="E296" t="s">
        <v>43</v>
      </c>
      <c r="F296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96">
        <f>ScenarioStat1[[#This Row],[team-1-win]]+ScenarioStat1[[#This Row],[team-2-win]]</f>
        <v>1</v>
      </c>
    </row>
    <row r="297" spans="1:7" x14ac:dyDescent="0.25">
      <c r="A297" t="s">
        <v>48</v>
      </c>
      <c r="B297" t="s">
        <v>45</v>
      </c>
      <c r="C297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297" t="s">
        <v>33</v>
      </c>
      <c r="E297" t="s">
        <v>63</v>
      </c>
      <c r="F297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297">
        <f>ScenarioStat1[[#This Row],[team-1-win]]+ScenarioStat1[[#This Row],[team-2-win]]</f>
        <v>1</v>
      </c>
    </row>
    <row r="298" spans="1:7" x14ac:dyDescent="0.25">
      <c r="A298" t="s">
        <v>48</v>
      </c>
      <c r="B298" t="s">
        <v>45</v>
      </c>
      <c r="C298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98" t="s">
        <v>33</v>
      </c>
      <c r="E298" t="s">
        <v>38</v>
      </c>
      <c r="F298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98">
        <f>ScenarioStat1[[#This Row],[team-1-win]]+ScenarioStat1[[#This Row],[team-2-win]]</f>
        <v>1</v>
      </c>
    </row>
    <row r="299" spans="1:7" x14ac:dyDescent="0.25">
      <c r="A299" t="s">
        <v>48</v>
      </c>
      <c r="B299" t="s">
        <v>45</v>
      </c>
      <c r="C299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299" t="s">
        <v>33</v>
      </c>
      <c r="E299" t="s">
        <v>227</v>
      </c>
      <c r="F299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299">
        <f>ScenarioStat1[[#This Row],[team-1-win]]+ScenarioStat1[[#This Row],[team-2-win]]</f>
        <v>1</v>
      </c>
    </row>
    <row r="300" spans="1:7" x14ac:dyDescent="0.25">
      <c r="A300" t="s">
        <v>48</v>
      </c>
      <c r="B300" t="s">
        <v>45</v>
      </c>
      <c r="C300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00" t="s">
        <v>43</v>
      </c>
      <c r="E300" t="s">
        <v>63</v>
      </c>
      <c r="F300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00">
        <f>ScenarioStat1[[#This Row],[team-1-win]]+ScenarioStat1[[#This Row],[team-2-win]]</f>
        <v>1</v>
      </c>
    </row>
    <row r="301" spans="1:7" x14ac:dyDescent="0.25">
      <c r="A301" t="s">
        <v>48</v>
      </c>
      <c r="B301" t="s">
        <v>45</v>
      </c>
      <c r="C301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01" t="s">
        <v>43</v>
      </c>
      <c r="E301" t="s">
        <v>38</v>
      </c>
      <c r="F301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01">
        <f>ScenarioStat1[[#This Row],[team-1-win]]+ScenarioStat1[[#This Row],[team-2-win]]</f>
        <v>1</v>
      </c>
    </row>
    <row r="302" spans="1:7" x14ac:dyDescent="0.25">
      <c r="A302" t="s">
        <v>48</v>
      </c>
      <c r="B302" t="s">
        <v>45</v>
      </c>
      <c r="C302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02" t="s">
        <v>43</v>
      </c>
      <c r="E302" t="s">
        <v>227</v>
      </c>
      <c r="F302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02">
        <f>ScenarioStat1[[#This Row],[team-1-win]]+ScenarioStat1[[#This Row],[team-2-win]]</f>
        <v>1</v>
      </c>
    </row>
    <row r="303" spans="1:7" x14ac:dyDescent="0.25">
      <c r="A303" t="s">
        <v>48</v>
      </c>
      <c r="B303" t="s">
        <v>45</v>
      </c>
      <c r="C303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03" t="s">
        <v>63</v>
      </c>
      <c r="E303" t="s">
        <v>38</v>
      </c>
      <c r="F303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03">
        <f>ScenarioStat1[[#This Row],[team-1-win]]+ScenarioStat1[[#This Row],[team-2-win]]</f>
        <v>1</v>
      </c>
    </row>
    <row r="304" spans="1:7" x14ac:dyDescent="0.25">
      <c r="A304" t="s">
        <v>48</v>
      </c>
      <c r="B304" t="s">
        <v>45</v>
      </c>
      <c r="C304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04" t="s">
        <v>63</v>
      </c>
      <c r="E304" t="s">
        <v>227</v>
      </c>
      <c r="F304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04">
        <f>ScenarioStat1[[#This Row],[team-1-win]]+ScenarioStat1[[#This Row],[team-2-win]]</f>
        <v>1</v>
      </c>
    </row>
    <row r="305" spans="1:7" x14ac:dyDescent="0.25">
      <c r="A305" t="s">
        <v>48</v>
      </c>
      <c r="B305" t="s">
        <v>45</v>
      </c>
      <c r="C305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05" t="s">
        <v>38</v>
      </c>
      <c r="E305" t="s">
        <v>227</v>
      </c>
      <c r="F305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05">
        <f>ScenarioStat1[[#This Row],[team-1-win]]+ScenarioStat1[[#This Row],[team-2-win]]</f>
        <v>1</v>
      </c>
    </row>
    <row r="306" spans="1:7" x14ac:dyDescent="0.25">
      <c r="A306" t="s">
        <v>48</v>
      </c>
      <c r="B306" t="s">
        <v>63</v>
      </c>
      <c r="C306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06" t="s">
        <v>33</v>
      </c>
      <c r="E306" t="s">
        <v>43</v>
      </c>
      <c r="F306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06">
        <f>ScenarioStat1[[#This Row],[team-1-win]]+ScenarioStat1[[#This Row],[team-2-win]]</f>
        <v>1</v>
      </c>
    </row>
    <row r="307" spans="1:7" x14ac:dyDescent="0.25">
      <c r="A307" t="s">
        <v>48</v>
      </c>
      <c r="B307" t="s">
        <v>63</v>
      </c>
      <c r="C307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07" t="s">
        <v>33</v>
      </c>
      <c r="E307" t="s">
        <v>45</v>
      </c>
      <c r="F307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07">
        <f>ScenarioStat1[[#This Row],[team-1-win]]+ScenarioStat1[[#This Row],[team-2-win]]</f>
        <v>1</v>
      </c>
    </row>
    <row r="308" spans="1:7" x14ac:dyDescent="0.25">
      <c r="A308" t="s">
        <v>48</v>
      </c>
      <c r="B308" t="s">
        <v>63</v>
      </c>
      <c r="C308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08" t="s">
        <v>33</v>
      </c>
      <c r="E308" t="s">
        <v>38</v>
      </c>
      <c r="F308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08">
        <f>ScenarioStat1[[#This Row],[team-1-win]]+ScenarioStat1[[#This Row],[team-2-win]]</f>
        <v>1</v>
      </c>
    </row>
    <row r="309" spans="1:7" x14ac:dyDescent="0.25">
      <c r="A309" t="s">
        <v>48</v>
      </c>
      <c r="B309" t="s">
        <v>63</v>
      </c>
      <c r="C309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09" t="s">
        <v>33</v>
      </c>
      <c r="E309" t="s">
        <v>227</v>
      </c>
      <c r="F309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09">
        <f>ScenarioStat1[[#This Row],[team-1-win]]+ScenarioStat1[[#This Row],[team-2-win]]</f>
        <v>1</v>
      </c>
    </row>
    <row r="310" spans="1:7" x14ac:dyDescent="0.25">
      <c r="A310" t="s">
        <v>48</v>
      </c>
      <c r="B310" t="s">
        <v>63</v>
      </c>
      <c r="C310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10" t="s">
        <v>43</v>
      </c>
      <c r="E310" t="s">
        <v>45</v>
      </c>
      <c r="F310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10">
        <f>ScenarioStat1[[#This Row],[team-1-win]]+ScenarioStat1[[#This Row],[team-2-win]]</f>
        <v>1</v>
      </c>
    </row>
    <row r="311" spans="1:7" x14ac:dyDescent="0.25">
      <c r="A311" t="s">
        <v>48</v>
      </c>
      <c r="B311" t="s">
        <v>63</v>
      </c>
      <c r="C311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11" t="s">
        <v>43</v>
      </c>
      <c r="E311" t="s">
        <v>38</v>
      </c>
      <c r="F311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11">
        <f>ScenarioStat1[[#This Row],[team-1-win]]+ScenarioStat1[[#This Row],[team-2-win]]</f>
        <v>1</v>
      </c>
    </row>
    <row r="312" spans="1:7" x14ac:dyDescent="0.25">
      <c r="A312" t="s">
        <v>48</v>
      </c>
      <c r="B312" t="s">
        <v>63</v>
      </c>
      <c r="C312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12" t="s">
        <v>43</v>
      </c>
      <c r="E312" t="s">
        <v>227</v>
      </c>
      <c r="F312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12">
        <f>ScenarioStat1[[#This Row],[team-1-win]]+ScenarioStat1[[#This Row],[team-2-win]]</f>
        <v>1</v>
      </c>
    </row>
    <row r="313" spans="1:7" x14ac:dyDescent="0.25">
      <c r="A313" t="s">
        <v>48</v>
      </c>
      <c r="B313" t="s">
        <v>63</v>
      </c>
      <c r="C313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13" t="s">
        <v>45</v>
      </c>
      <c r="E313" t="s">
        <v>38</v>
      </c>
      <c r="F313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13">
        <f>ScenarioStat1[[#This Row],[team-1-win]]+ScenarioStat1[[#This Row],[team-2-win]]</f>
        <v>1</v>
      </c>
    </row>
    <row r="314" spans="1:7" x14ac:dyDescent="0.25">
      <c r="A314" t="s">
        <v>48</v>
      </c>
      <c r="B314" t="s">
        <v>63</v>
      </c>
      <c r="C314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14" t="s">
        <v>45</v>
      </c>
      <c r="E314" t="s">
        <v>227</v>
      </c>
      <c r="F314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14">
        <f>ScenarioStat1[[#This Row],[team-1-win]]+ScenarioStat1[[#This Row],[team-2-win]]</f>
        <v>1</v>
      </c>
    </row>
    <row r="315" spans="1:7" x14ac:dyDescent="0.25">
      <c r="A315" t="s">
        <v>48</v>
      </c>
      <c r="B315" t="s">
        <v>63</v>
      </c>
      <c r="C315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15" t="s">
        <v>38</v>
      </c>
      <c r="E315" t="s">
        <v>227</v>
      </c>
      <c r="F315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15">
        <f>ScenarioStat1[[#This Row],[team-1-win]]+ScenarioStat1[[#This Row],[team-2-win]]</f>
        <v>1</v>
      </c>
    </row>
    <row r="316" spans="1:7" x14ac:dyDescent="0.25">
      <c r="A316" t="s">
        <v>48</v>
      </c>
      <c r="B316" t="s">
        <v>38</v>
      </c>
      <c r="C316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16" t="s">
        <v>33</v>
      </c>
      <c r="E316" t="s">
        <v>43</v>
      </c>
      <c r="F316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16">
        <f>ScenarioStat1[[#This Row],[team-1-win]]+ScenarioStat1[[#This Row],[team-2-win]]</f>
        <v>1</v>
      </c>
    </row>
    <row r="317" spans="1:7" x14ac:dyDescent="0.25">
      <c r="A317" t="s">
        <v>48</v>
      </c>
      <c r="B317" t="s">
        <v>38</v>
      </c>
      <c r="C317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17" t="s">
        <v>33</v>
      </c>
      <c r="E317" t="s">
        <v>45</v>
      </c>
      <c r="F317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17">
        <f>ScenarioStat1[[#This Row],[team-1-win]]+ScenarioStat1[[#This Row],[team-2-win]]</f>
        <v>1</v>
      </c>
    </row>
    <row r="318" spans="1:7" x14ac:dyDescent="0.25">
      <c r="A318" t="s">
        <v>48</v>
      </c>
      <c r="B318" t="s">
        <v>38</v>
      </c>
      <c r="C318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18" t="s">
        <v>33</v>
      </c>
      <c r="E318" t="s">
        <v>63</v>
      </c>
      <c r="F318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18">
        <f>ScenarioStat1[[#This Row],[team-1-win]]+ScenarioStat1[[#This Row],[team-2-win]]</f>
        <v>1</v>
      </c>
    </row>
    <row r="319" spans="1:7" x14ac:dyDescent="0.25">
      <c r="A319" t="s">
        <v>48</v>
      </c>
      <c r="B319" t="s">
        <v>38</v>
      </c>
      <c r="C319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19" t="s">
        <v>33</v>
      </c>
      <c r="E319" t="s">
        <v>227</v>
      </c>
      <c r="F319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19">
        <f>ScenarioStat1[[#This Row],[team-1-win]]+ScenarioStat1[[#This Row],[team-2-win]]</f>
        <v>1</v>
      </c>
    </row>
    <row r="320" spans="1:7" x14ac:dyDescent="0.25">
      <c r="A320" t="s">
        <v>48</v>
      </c>
      <c r="B320" t="s">
        <v>38</v>
      </c>
      <c r="C320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20" t="s">
        <v>43</v>
      </c>
      <c r="E320" t="s">
        <v>45</v>
      </c>
      <c r="F320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20">
        <f>ScenarioStat1[[#This Row],[team-1-win]]+ScenarioStat1[[#This Row],[team-2-win]]</f>
        <v>1</v>
      </c>
    </row>
    <row r="321" spans="1:7" x14ac:dyDescent="0.25">
      <c r="A321" t="s">
        <v>48</v>
      </c>
      <c r="B321" t="s">
        <v>38</v>
      </c>
      <c r="C321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21" t="s">
        <v>43</v>
      </c>
      <c r="E321" t="s">
        <v>63</v>
      </c>
      <c r="F321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21">
        <f>ScenarioStat1[[#This Row],[team-1-win]]+ScenarioStat1[[#This Row],[team-2-win]]</f>
        <v>1</v>
      </c>
    </row>
    <row r="322" spans="1:7" x14ac:dyDescent="0.25">
      <c r="A322" t="s">
        <v>48</v>
      </c>
      <c r="B322" t="s">
        <v>38</v>
      </c>
      <c r="C322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22" t="s">
        <v>43</v>
      </c>
      <c r="E322" t="s">
        <v>227</v>
      </c>
      <c r="F322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22">
        <f>ScenarioStat1[[#This Row],[team-1-win]]+ScenarioStat1[[#This Row],[team-2-win]]</f>
        <v>1</v>
      </c>
    </row>
    <row r="323" spans="1:7" x14ac:dyDescent="0.25">
      <c r="A323" t="s">
        <v>48</v>
      </c>
      <c r="B323" t="s">
        <v>38</v>
      </c>
      <c r="C323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23" t="s">
        <v>45</v>
      </c>
      <c r="E323" t="s">
        <v>63</v>
      </c>
      <c r="F323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23">
        <f>ScenarioStat1[[#This Row],[team-1-win]]+ScenarioStat1[[#This Row],[team-2-win]]</f>
        <v>1</v>
      </c>
    </row>
    <row r="324" spans="1:7" x14ac:dyDescent="0.25">
      <c r="A324" t="s">
        <v>48</v>
      </c>
      <c r="B324" t="s">
        <v>38</v>
      </c>
      <c r="C324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24" t="s">
        <v>45</v>
      </c>
      <c r="E324" t="s">
        <v>227</v>
      </c>
      <c r="F324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24">
        <f>ScenarioStat1[[#This Row],[team-1-win]]+ScenarioStat1[[#This Row],[team-2-win]]</f>
        <v>1</v>
      </c>
    </row>
    <row r="325" spans="1:7" x14ac:dyDescent="0.25">
      <c r="A325" t="s">
        <v>48</v>
      </c>
      <c r="B325" t="s">
        <v>38</v>
      </c>
      <c r="C325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25" t="s">
        <v>63</v>
      </c>
      <c r="E325" t="s">
        <v>227</v>
      </c>
      <c r="F325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25">
        <f>ScenarioStat1[[#This Row],[team-1-win]]+ScenarioStat1[[#This Row],[team-2-win]]</f>
        <v>1</v>
      </c>
    </row>
    <row r="326" spans="1:7" x14ac:dyDescent="0.25">
      <c r="A326" t="s">
        <v>48</v>
      </c>
      <c r="B326" t="s">
        <v>227</v>
      </c>
      <c r="C326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26" t="s">
        <v>33</v>
      </c>
      <c r="E326" t="s">
        <v>43</v>
      </c>
      <c r="F326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26">
        <f>ScenarioStat1[[#This Row],[team-1-win]]+ScenarioStat1[[#This Row],[team-2-win]]</f>
        <v>1</v>
      </c>
    </row>
    <row r="327" spans="1:7" x14ac:dyDescent="0.25">
      <c r="A327" t="s">
        <v>48</v>
      </c>
      <c r="B327" t="s">
        <v>227</v>
      </c>
      <c r="C327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27" t="s">
        <v>33</v>
      </c>
      <c r="E327" t="s">
        <v>45</v>
      </c>
      <c r="F327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27">
        <f>ScenarioStat1[[#This Row],[team-1-win]]+ScenarioStat1[[#This Row],[team-2-win]]</f>
        <v>1</v>
      </c>
    </row>
    <row r="328" spans="1:7" x14ac:dyDescent="0.25">
      <c r="A328" t="s">
        <v>48</v>
      </c>
      <c r="B328" t="s">
        <v>227</v>
      </c>
      <c r="C328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28" t="s">
        <v>33</v>
      </c>
      <c r="E328" t="s">
        <v>63</v>
      </c>
      <c r="F328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28">
        <f>ScenarioStat1[[#This Row],[team-1-win]]+ScenarioStat1[[#This Row],[team-2-win]]</f>
        <v>1</v>
      </c>
    </row>
    <row r="329" spans="1:7" x14ac:dyDescent="0.25">
      <c r="A329" t="s">
        <v>48</v>
      </c>
      <c r="B329" t="s">
        <v>227</v>
      </c>
      <c r="C329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29" t="s">
        <v>33</v>
      </c>
      <c r="E329" t="s">
        <v>38</v>
      </c>
      <c r="F329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29">
        <f>ScenarioStat1[[#This Row],[team-1-win]]+ScenarioStat1[[#This Row],[team-2-win]]</f>
        <v>1</v>
      </c>
    </row>
    <row r="330" spans="1:7" x14ac:dyDescent="0.25">
      <c r="A330" t="s">
        <v>48</v>
      </c>
      <c r="B330" t="s">
        <v>227</v>
      </c>
      <c r="C330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30" t="s">
        <v>43</v>
      </c>
      <c r="E330" t="s">
        <v>45</v>
      </c>
      <c r="F330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30">
        <f>ScenarioStat1[[#This Row],[team-1-win]]+ScenarioStat1[[#This Row],[team-2-win]]</f>
        <v>1</v>
      </c>
    </row>
    <row r="331" spans="1:7" x14ac:dyDescent="0.25">
      <c r="A331" t="s">
        <v>48</v>
      </c>
      <c r="B331" t="s">
        <v>227</v>
      </c>
      <c r="C331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31" t="s">
        <v>43</v>
      </c>
      <c r="E331" t="s">
        <v>63</v>
      </c>
      <c r="F331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31">
        <f>ScenarioStat1[[#This Row],[team-1-win]]+ScenarioStat1[[#This Row],[team-2-win]]</f>
        <v>1</v>
      </c>
    </row>
    <row r="332" spans="1:7" x14ac:dyDescent="0.25">
      <c r="A332" t="s">
        <v>48</v>
      </c>
      <c r="B332" t="s">
        <v>227</v>
      </c>
      <c r="C332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32" t="s">
        <v>43</v>
      </c>
      <c r="E332" t="s">
        <v>38</v>
      </c>
      <c r="F332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32">
        <f>ScenarioStat1[[#This Row],[team-1-win]]+ScenarioStat1[[#This Row],[team-2-win]]</f>
        <v>1</v>
      </c>
    </row>
    <row r="333" spans="1:7" x14ac:dyDescent="0.25">
      <c r="A333" t="s">
        <v>48</v>
      </c>
      <c r="B333" t="s">
        <v>227</v>
      </c>
      <c r="C333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33" t="s">
        <v>45</v>
      </c>
      <c r="E333" t="s">
        <v>63</v>
      </c>
      <c r="F333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33">
        <f>ScenarioStat1[[#This Row],[team-1-win]]+ScenarioStat1[[#This Row],[team-2-win]]</f>
        <v>1</v>
      </c>
    </row>
    <row r="334" spans="1:7" x14ac:dyDescent="0.25">
      <c r="A334" t="s">
        <v>48</v>
      </c>
      <c r="B334" t="s">
        <v>227</v>
      </c>
      <c r="C334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34" t="s">
        <v>45</v>
      </c>
      <c r="E334" t="s">
        <v>38</v>
      </c>
      <c r="F334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34">
        <f>ScenarioStat1[[#This Row],[team-1-win]]+ScenarioStat1[[#This Row],[team-2-win]]</f>
        <v>1</v>
      </c>
    </row>
    <row r="335" spans="1:7" x14ac:dyDescent="0.25">
      <c r="A335" t="s">
        <v>48</v>
      </c>
      <c r="B335" t="s">
        <v>227</v>
      </c>
      <c r="C335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35" t="s">
        <v>63</v>
      </c>
      <c r="E335" t="s">
        <v>38</v>
      </c>
      <c r="F335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35">
        <f>ScenarioStat1[[#This Row],[team-1-win]]+ScenarioStat1[[#This Row],[team-2-win]]</f>
        <v>1</v>
      </c>
    </row>
    <row r="336" spans="1:7" x14ac:dyDescent="0.25">
      <c r="A336" t="s">
        <v>33</v>
      </c>
      <c r="B336" t="s">
        <v>43</v>
      </c>
      <c r="C336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36" t="s">
        <v>45</v>
      </c>
      <c r="E336" t="s">
        <v>63</v>
      </c>
      <c r="F336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36">
        <f>ScenarioStat1[[#This Row],[team-1-win]]+ScenarioStat1[[#This Row],[team-2-win]]</f>
        <v>1</v>
      </c>
    </row>
    <row r="337" spans="1:7" x14ac:dyDescent="0.25">
      <c r="A337" t="s">
        <v>33</v>
      </c>
      <c r="B337" t="s">
        <v>43</v>
      </c>
      <c r="C337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37" t="s">
        <v>45</v>
      </c>
      <c r="E337" t="s">
        <v>38</v>
      </c>
      <c r="F337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37">
        <f>ScenarioStat1[[#This Row],[team-1-win]]+ScenarioStat1[[#This Row],[team-2-win]]</f>
        <v>1</v>
      </c>
    </row>
    <row r="338" spans="1:7" x14ac:dyDescent="0.25">
      <c r="A338" t="s">
        <v>33</v>
      </c>
      <c r="B338" t="s">
        <v>43</v>
      </c>
      <c r="C338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38" t="s">
        <v>45</v>
      </c>
      <c r="E338" t="s">
        <v>227</v>
      </c>
      <c r="F338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38">
        <f>ScenarioStat1[[#This Row],[team-1-win]]+ScenarioStat1[[#This Row],[team-2-win]]</f>
        <v>1</v>
      </c>
    </row>
    <row r="339" spans="1:7" x14ac:dyDescent="0.25">
      <c r="A339" t="s">
        <v>33</v>
      </c>
      <c r="B339" t="s">
        <v>43</v>
      </c>
      <c r="C339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39" t="s">
        <v>63</v>
      </c>
      <c r="E339" t="s">
        <v>38</v>
      </c>
      <c r="F339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39">
        <f>ScenarioStat1[[#This Row],[team-1-win]]+ScenarioStat1[[#This Row],[team-2-win]]</f>
        <v>1</v>
      </c>
    </row>
    <row r="340" spans="1:7" x14ac:dyDescent="0.25">
      <c r="A340" t="s">
        <v>33</v>
      </c>
      <c r="B340" t="s">
        <v>43</v>
      </c>
      <c r="C340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40" t="s">
        <v>63</v>
      </c>
      <c r="E340" t="s">
        <v>227</v>
      </c>
      <c r="F340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40">
        <f>ScenarioStat1[[#This Row],[team-1-win]]+ScenarioStat1[[#This Row],[team-2-win]]</f>
        <v>1</v>
      </c>
    </row>
    <row r="341" spans="1:7" x14ac:dyDescent="0.25">
      <c r="A341" t="s">
        <v>33</v>
      </c>
      <c r="B341" t="s">
        <v>43</v>
      </c>
      <c r="C341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41" t="s">
        <v>38</v>
      </c>
      <c r="E341" t="s">
        <v>227</v>
      </c>
      <c r="F341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41">
        <f>ScenarioStat1[[#This Row],[team-1-win]]+ScenarioStat1[[#This Row],[team-2-win]]</f>
        <v>1</v>
      </c>
    </row>
    <row r="342" spans="1:7" x14ac:dyDescent="0.25">
      <c r="A342" t="s">
        <v>33</v>
      </c>
      <c r="B342" t="s">
        <v>45</v>
      </c>
      <c r="C342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42" t="s">
        <v>43</v>
      </c>
      <c r="E342" t="s">
        <v>63</v>
      </c>
      <c r="F342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42">
        <f>ScenarioStat1[[#This Row],[team-1-win]]+ScenarioStat1[[#This Row],[team-2-win]]</f>
        <v>1</v>
      </c>
    </row>
    <row r="343" spans="1:7" x14ac:dyDescent="0.25">
      <c r="A343" t="s">
        <v>33</v>
      </c>
      <c r="B343" t="s">
        <v>45</v>
      </c>
      <c r="C343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43" t="s">
        <v>43</v>
      </c>
      <c r="E343" t="s">
        <v>38</v>
      </c>
      <c r="F343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43">
        <f>ScenarioStat1[[#This Row],[team-1-win]]+ScenarioStat1[[#This Row],[team-2-win]]</f>
        <v>1</v>
      </c>
    </row>
    <row r="344" spans="1:7" x14ac:dyDescent="0.25">
      <c r="A344" t="s">
        <v>33</v>
      </c>
      <c r="B344" t="s">
        <v>45</v>
      </c>
      <c r="C344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44" t="s">
        <v>43</v>
      </c>
      <c r="E344" t="s">
        <v>227</v>
      </c>
      <c r="F344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44">
        <f>ScenarioStat1[[#This Row],[team-1-win]]+ScenarioStat1[[#This Row],[team-2-win]]</f>
        <v>1</v>
      </c>
    </row>
    <row r="345" spans="1:7" x14ac:dyDescent="0.25">
      <c r="A345" t="s">
        <v>33</v>
      </c>
      <c r="B345" t="s">
        <v>45</v>
      </c>
      <c r="C345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45" t="s">
        <v>63</v>
      </c>
      <c r="E345" t="s">
        <v>38</v>
      </c>
      <c r="F345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45">
        <f>ScenarioStat1[[#This Row],[team-1-win]]+ScenarioStat1[[#This Row],[team-2-win]]</f>
        <v>1</v>
      </c>
    </row>
    <row r="346" spans="1:7" x14ac:dyDescent="0.25">
      <c r="A346" t="s">
        <v>33</v>
      </c>
      <c r="B346" t="s">
        <v>45</v>
      </c>
      <c r="C346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46" t="s">
        <v>63</v>
      </c>
      <c r="E346" t="s">
        <v>227</v>
      </c>
      <c r="F346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46">
        <f>ScenarioStat1[[#This Row],[team-1-win]]+ScenarioStat1[[#This Row],[team-2-win]]</f>
        <v>1</v>
      </c>
    </row>
    <row r="347" spans="1:7" x14ac:dyDescent="0.25">
      <c r="A347" t="s">
        <v>33</v>
      </c>
      <c r="B347" t="s">
        <v>45</v>
      </c>
      <c r="C347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47" t="s">
        <v>38</v>
      </c>
      <c r="E347" t="s">
        <v>227</v>
      </c>
      <c r="F347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47">
        <f>ScenarioStat1[[#This Row],[team-1-win]]+ScenarioStat1[[#This Row],[team-2-win]]</f>
        <v>1</v>
      </c>
    </row>
    <row r="348" spans="1:7" x14ac:dyDescent="0.25">
      <c r="A348" t="s">
        <v>33</v>
      </c>
      <c r="B348" t="s">
        <v>63</v>
      </c>
      <c r="C348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48" t="s">
        <v>43</v>
      </c>
      <c r="E348" t="s">
        <v>45</v>
      </c>
      <c r="F348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48">
        <f>ScenarioStat1[[#This Row],[team-1-win]]+ScenarioStat1[[#This Row],[team-2-win]]</f>
        <v>1</v>
      </c>
    </row>
    <row r="349" spans="1:7" x14ac:dyDescent="0.25">
      <c r="A349" t="s">
        <v>33</v>
      </c>
      <c r="B349" t="s">
        <v>63</v>
      </c>
      <c r="C349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49" t="s">
        <v>43</v>
      </c>
      <c r="E349" t="s">
        <v>38</v>
      </c>
      <c r="F349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49">
        <f>ScenarioStat1[[#This Row],[team-1-win]]+ScenarioStat1[[#This Row],[team-2-win]]</f>
        <v>1</v>
      </c>
    </row>
    <row r="350" spans="1:7" x14ac:dyDescent="0.25">
      <c r="A350" t="s">
        <v>33</v>
      </c>
      <c r="B350" t="s">
        <v>63</v>
      </c>
      <c r="C350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50" t="s">
        <v>43</v>
      </c>
      <c r="E350" t="s">
        <v>227</v>
      </c>
      <c r="F350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50">
        <f>ScenarioStat1[[#This Row],[team-1-win]]+ScenarioStat1[[#This Row],[team-2-win]]</f>
        <v>1</v>
      </c>
    </row>
    <row r="351" spans="1:7" x14ac:dyDescent="0.25">
      <c r="A351" t="s">
        <v>33</v>
      </c>
      <c r="B351" t="s">
        <v>63</v>
      </c>
      <c r="C351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51" t="s">
        <v>45</v>
      </c>
      <c r="E351" t="s">
        <v>38</v>
      </c>
      <c r="F351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51">
        <f>ScenarioStat1[[#This Row],[team-1-win]]+ScenarioStat1[[#This Row],[team-2-win]]</f>
        <v>1</v>
      </c>
    </row>
    <row r="352" spans="1:7" x14ac:dyDescent="0.25">
      <c r="A352" t="s">
        <v>33</v>
      </c>
      <c r="B352" t="s">
        <v>63</v>
      </c>
      <c r="C352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52" t="s">
        <v>45</v>
      </c>
      <c r="E352" t="s">
        <v>227</v>
      </c>
      <c r="F352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52">
        <f>ScenarioStat1[[#This Row],[team-1-win]]+ScenarioStat1[[#This Row],[team-2-win]]</f>
        <v>1</v>
      </c>
    </row>
    <row r="353" spans="1:7" x14ac:dyDescent="0.25">
      <c r="A353" t="s">
        <v>33</v>
      </c>
      <c r="B353" t="s">
        <v>63</v>
      </c>
      <c r="C353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53" t="s">
        <v>38</v>
      </c>
      <c r="E353" t="s">
        <v>227</v>
      </c>
      <c r="F353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53">
        <f>ScenarioStat1[[#This Row],[team-1-win]]+ScenarioStat1[[#This Row],[team-2-win]]</f>
        <v>1</v>
      </c>
    </row>
    <row r="354" spans="1:7" x14ac:dyDescent="0.25">
      <c r="A354" t="s">
        <v>33</v>
      </c>
      <c r="B354" t="s">
        <v>38</v>
      </c>
      <c r="C354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54" t="s">
        <v>43</v>
      </c>
      <c r="E354" t="s">
        <v>45</v>
      </c>
      <c r="F354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54">
        <f>ScenarioStat1[[#This Row],[team-1-win]]+ScenarioStat1[[#This Row],[team-2-win]]</f>
        <v>1</v>
      </c>
    </row>
    <row r="355" spans="1:7" x14ac:dyDescent="0.25">
      <c r="A355" t="s">
        <v>33</v>
      </c>
      <c r="B355" t="s">
        <v>38</v>
      </c>
      <c r="C355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55" t="s">
        <v>43</v>
      </c>
      <c r="E355" t="s">
        <v>63</v>
      </c>
      <c r="F355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55">
        <f>ScenarioStat1[[#This Row],[team-1-win]]+ScenarioStat1[[#This Row],[team-2-win]]</f>
        <v>1</v>
      </c>
    </row>
    <row r="356" spans="1:7" x14ac:dyDescent="0.25">
      <c r="A356" t="s">
        <v>33</v>
      </c>
      <c r="B356" t="s">
        <v>38</v>
      </c>
      <c r="C356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56" t="s">
        <v>43</v>
      </c>
      <c r="E356" t="s">
        <v>227</v>
      </c>
      <c r="F356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56">
        <f>ScenarioStat1[[#This Row],[team-1-win]]+ScenarioStat1[[#This Row],[team-2-win]]</f>
        <v>1</v>
      </c>
    </row>
    <row r="357" spans="1:7" x14ac:dyDescent="0.25">
      <c r="A357" t="s">
        <v>33</v>
      </c>
      <c r="B357" t="s">
        <v>38</v>
      </c>
      <c r="C357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57" t="s">
        <v>45</v>
      </c>
      <c r="E357" t="s">
        <v>63</v>
      </c>
      <c r="F357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57">
        <f>ScenarioStat1[[#This Row],[team-1-win]]+ScenarioStat1[[#This Row],[team-2-win]]</f>
        <v>1</v>
      </c>
    </row>
    <row r="358" spans="1:7" x14ac:dyDescent="0.25">
      <c r="A358" t="s">
        <v>33</v>
      </c>
      <c r="B358" t="s">
        <v>38</v>
      </c>
      <c r="C358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58" t="s">
        <v>45</v>
      </c>
      <c r="E358" t="s">
        <v>227</v>
      </c>
      <c r="F358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58">
        <f>ScenarioStat1[[#This Row],[team-1-win]]+ScenarioStat1[[#This Row],[team-2-win]]</f>
        <v>1</v>
      </c>
    </row>
    <row r="359" spans="1:7" x14ac:dyDescent="0.25">
      <c r="A359" t="s">
        <v>33</v>
      </c>
      <c r="B359" t="s">
        <v>38</v>
      </c>
      <c r="C359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59" t="s">
        <v>63</v>
      </c>
      <c r="E359" t="s">
        <v>227</v>
      </c>
      <c r="F359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59">
        <f>ScenarioStat1[[#This Row],[team-1-win]]+ScenarioStat1[[#This Row],[team-2-win]]</f>
        <v>1</v>
      </c>
    </row>
    <row r="360" spans="1:7" x14ac:dyDescent="0.25">
      <c r="A360" t="s">
        <v>33</v>
      </c>
      <c r="B360" t="s">
        <v>227</v>
      </c>
      <c r="C360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60" t="s">
        <v>43</v>
      </c>
      <c r="E360" t="s">
        <v>45</v>
      </c>
      <c r="F360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60">
        <f>ScenarioStat1[[#This Row],[team-1-win]]+ScenarioStat1[[#This Row],[team-2-win]]</f>
        <v>1</v>
      </c>
    </row>
    <row r="361" spans="1:7" x14ac:dyDescent="0.25">
      <c r="A361" t="s">
        <v>33</v>
      </c>
      <c r="B361" t="s">
        <v>227</v>
      </c>
      <c r="C361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61" t="s">
        <v>43</v>
      </c>
      <c r="E361" t="s">
        <v>63</v>
      </c>
      <c r="F361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61">
        <f>ScenarioStat1[[#This Row],[team-1-win]]+ScenarioStat1[[#This Row],[team-2-win]]</f>
        <v>1</v>
      </c>
    </row>
    <row r="362" spans="1:7" x14ac:dyDescent="0.25">
      <c r="A362" t="s">
        <v>33</v>
      </c>
      <c r="B362" t="s">
        <v>227</v>
      </c>
      <c r="C362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62" t="s">
        <v>43</v>
      </c>
      <c r="E362" t="s">
        <v>38</v>
      </c>
      <c r="F362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62">
        <f>ScenarioStat1[[#This Row],[team-1-win]]+ScenarioStat1[[#This Row],[team-2-win]]</f>
        <v>1</v>
      </c>
    </row>
    <row r="363" spans="1:7" x14ac:dyDescent="0.25">
      <c r="A363" t="s">
        <v>33</v>
      </c>
      <c r="B363" t="s">
        <v>227</v>
      </c>
      <c r="C363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63" t="s">
        <v>45</v>
      </c>
      <c r="E363" t="s">
        <v>63</v>
      </c>
      <c r="F363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63">
        <f>ScenarioStat1[[#This Row],[team-1-win]]+ScenarioStat1[[#This Row],[team-2-win]]</f>
        <v>1</v>
      </c>
    </row>
    <row r="364" spans="1:7" x14ac:dyDescent="0.25">
      <c r="A364" t="s">
        <v>33</v>
      </c>
      <c r="B364" t="s">
        <v>227</v>
      </c>
      <c r="C364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64" t="s">
        <v>45</v>
      </c>
      <c r="E364" t="s">
        <v>38</v>
      </c>
      <c r="F364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64">
        <f>ScenarioStat1[[#This Row],[team-1-win]]+ScenarioStat1[[#This Row],[team-2-win]]</f>
        <v>1</v>
      </c>
    </row>
    <row r="365" spans="1:7" x14ac:dyDescent="0.25">
      <c r="A365" t="s">
        <v>33</v>
      </c>
      <c r="B365" t="s">
        <v>227</v>
      </c>
      <c r="C365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65" t="s">
        <v>63</v>
      </c>
      <c r="E365" t="s">
        <v>38</v>
      </c>
      <c r="F365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65">
        <f>ScenarioStat1[[#This Row],[team-1-win]]+ScenarioStat1[[#This Row],[team-2-win]]</f>
        <v>1</v>
      </c>
    </row>
    <row r="366" spans="1:7" x14ac:dyDescent="0.25">
      <c r="A366" t="s">
        <v>43</v>
      </c>
      <c r="B366" t="s">
        <v>45</v>
      </c>
      <c r="C366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66" t="s">
        <v>63</v>
      </c>
      <c r="E366" t="s">
        <v>38</v>
      </c>
      <c r="F366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66">
        <f>ScenarioStat1[[#This Row],[team-1-win]]+ScenarioStat1[[#This Row],[team-2-win]]</f>
        <v>1</v>
      </c>
    </row>
    <row r="367" spans="1:7" x14ac:dyDescent="0.25">
      <c r="A367" t="s">
        <v>43</v>
      </c>
      <c r="B367" t="s">
        <v>45</v>
      </c>
      <c r="C367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67" t="s">
        <v>63</v>
      </c>
      <c r="E367" t="s">
        <v>227</v>
      </c>
      <c r="F367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67">
        <f>ScenarioStat1[[#This Row],[team-1-win]]+ScenarioStat1[[#This Row],[team-2-win]]</f>
        <v>1</v>
      </c>
    </row>
    <row r="368" spans="1:7" x14ac:dyDescent="0.25">
      <c r="A368" t="s">
        <v>43</v>
      </c>
      <c r="B368" t="s">
        <v>45</v>
      </c>
      <c r="C368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68" t="s">
        <v>38</v>
      </c>
      <c r="E368" t="s">
        <v>227</v>
      </c>
      <c r="F368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68">
        <f>ScenarioStat1[[#This Row],[team-1-win]]+ScenarioStat1[[#This Row],[team-2-win]]</f>
        <v>1</v>
      </c>
    </row>
    <row r="369" spans="1:7" x14ac:dyDescent="0.25">
      <c r="A369" t="s">
        <v>43</v>
      </c>
      <c r="B369" t="s">
        <v>63</v>
      </c>
      <c r="C369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69" t="s">
        <v>45</v>
      </c>
      <c r="E369" t="s">
        <v>38</v>
      </c>
      <c r="F369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69">
        <f>ScenarioStat1[[#This Row],[team-1-win]]+ScenarioStat1[[#This Row],[team-2-win]]</f>
        <v>1</v>
      </c>
    </row>
    <row r="370" spans="1:7" x14ac:dyDescent="0.25">
      <c r="A370" t="s">
        <v>43</v>
      </c>
      <c r="B370" t="s">
        <v>63</v>
      </c>
      <c r="C370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70" t="s">
        <v>45</v>
      </c>
      <c r="E370" t="s">
        <v>227</v>
      </c>
      <c r="F370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70">
        <f>ScenarioStat1[[#This Row],[team-1-win]]+ScenarioStat1[[#This Row],[team-2-win]]</f>
        <v>1</v>
      </c>
    </row>
    <row r="371" spans="1:7" x14ac:dyDescent="0.25">
      <c r="A371" t="s">
        <v>43</v>
      </c>
      <c r="B371" t="s">
        <v>63</v>
      </c>
      <c r="C371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71" t="s">
        <v>38</v>
      </c>
      <c r="E371" t="s">
        <v>227</v>
      </c>
      <c r="F371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71">
        <f>ScenarioStat1[[#This Row],[team-1-win]]+ScenarioStat1[[#This Row],[team-2-win]]</f>
        <v>1</v>
      </c>
    </row>
    <row r="372" spans="1:7" x14ac:dyDescent="0.25">
      <c r="A372" t="s">
        <v>43</v>
      </c>
      <c r="B372" t="s">
        <v>38</v>
      </c>
      <c r="C372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72" t="s">
        <v>45</v>
      </c>
      <c r="E372" t="s">
        <v>63</v>
      </c>
      <c r="F372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72">
        <f>ScenarioStat1[[#This Row],[team-1-win]]+ScenarioStat1[[#This Row],[team-2-win]]</f>
        <v>1</v>
      </c>
    </row>
    <row r="373" spans="1:7" x14ac:dyDescent="0.25">
      <c r="A373" t="s">
        <v>43</v>
      </c>
      <c r="B373" t="s">
        <v>38</v>
      </c>
      <c r="C373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73" t="s">
        <v>45</v>
      </c>
      <c r="E373" t="s">
        <v>227</v>
      </c>
      <c r="F373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73">
        <f>ScenarioStat1[[#This Row],[team-1-win]]+ScenarioStat1[[#This Row],[team-2-win]]</f>
        <v>1</v>
      </c>
    </row>
    <row r="374" spans="1:7" x14ac:dyDescent="0.25">
      <c r="A374" t="s">
        <v>43</v>
      </c>
      <c r="B374" t="s">
        <v>38</v>
      </c>
      <c r="C374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74" t="s">
        <v>63</v>
      </c>
      <c r="E374" t="s">
        <v>227</v>
      </c>
      <c r="F374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74">
        <f>ScenarioStat1[[#This Row],[team-1-win]]+ScenarioStat1[[#This Row],[team-2-win]]</f>
        <v>1</v>
      </c>
    </row>
    <row r="375" spans="1:7" x14ac:dyDescent="0.25">
      <c r="A375" t="s">
        <v>43</v>
      </c>
      <c r="B375" t="s">
        <v>227</v>
      </c>
      <c r="C375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75" t="s">
        <v>45</v>
      </c>
      <c r="E375" t="s">
        <v>63</v>
      </c>
      <c r="F375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75">
        <f>ScenarioStat1[[#This Row],[team-1-win]]+ScenarioStat1[[#This Row],[team-2-win]]</f>
        <v>1</v>
      </c>
    </row>
    <row r="376" spans="1:7" x14ac:dyDescent="0.25">
      <c r="A376" t="s">
        <v>43</v>
      </c>
      <c r="B376" t="s">
        <v>227</v>
      </c>
      <c r="C376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76" t="s">
        <v>45</v>
      </c>
      <c r="E376" t="s">
        <v>38</v>
      </c>
      <c r="F376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76">
        <f>ScenarioStat1[[#This Row],[team-1-win]]+ScenarioStat1[[#This Row],[team-2-win]]</f>
        <v>1</v>
      </c>
    </row>
    <row r="377" spans="1:7" x14ac:dyDescent="0.25">
      <c r="A377" t="s">
        <v>43</v>
      </c>
      <c r="B377" t="s">
        <v>227</v>
      </c>
      <c r="C377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77" t="s">
        <v>63</v>
      </c>
      <c r="E377" t="s">
        <v>38</v>
      </c>
      <c r="F377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77">
        <f>ScenarioStat1[[#This Row],[team-1-win]]+ScenarioStat1[[#This Row],[team-2-win]]</f>
        <v>1</v>
      </c>
    </row>
    <row r="378" spans="1:7" x14ac:dyDescent="0.25">
      <c r="A378" t="s">
        <v>45</v>
      </c>
      <c r="B378" t="s">
        <v>63</v>
      </c>
      <c r="C378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78" t="s">
        <v>38</v>
      </c>
      <c r="E378" t="s">
        <v>227</v>
      </c>
      <c r="F378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78">
        <f>ScenarioStat1[[#This Row],[team-1-win]]+ScenarioStat1[[#This Row],[team-2-win]]</f>
        <v>1</v>
      </c>
    </row>
    <row r="379" spans="1:7" x14ac:dyDescent="0.25">
      <c r="A379" t="s">
        <v>45</v>
      </c>
      <c r="B379" t="s">
        <v>38</v>
      </c>
      <c r="C379">
        <f>COUNTIFS(Scenario1[winner1],ScenarioStat1[[#This Row],[hero-1]],Scenario1[winner2],ScenarioStat1[[#This Row],[hero-2]],Scenario1[loser1],ScenarioStat1[[#This Row],[hero-3]],Scenario1[loser2],ScenarioStat1[[#This Row],[hero-4]])</f>
        <v>1</v>
      </c>
      <c r="D379" t="s">
        <v>63</v>
      </c>
      <c r="E379" t="s">
        <v>227</v>
      </c>
      <c r="F379">
        <f>COUNTIFS(Scenario1[winner1],ScenarioStat1[[#This Row],[hero-3]],Scenario1[winner2],ScenarioStat1[[#This Row],[hero-4]],Scenario1[loser1],ScenarioStat1[[#This Row],[hero-1]],Scenario1[loser2],ScenarioStat1[[#This Row],[hero-2]])</f>
        <v>0</v>
      </c>
      <c r="G379">
        <f>ScenarioStat1[[#This Row],[team-1-win]]+ScenarioStat1[[#This Row],[team-2-win]]</f>
        <v>1</v>
      </c>
    </row>
    <row r="380" spans="1:7" x14ac:dyDescent="0.25">
      <c r="A380" t="s">
        <v>45</v>
      </c>
      <c r="B380" t="s">
        <v>227</v>
      </c>
      <c r="C380">
        <f>COUNTIFS(Scenario1[winner1],ScenarioStat1[[#This Row],[hero-1]],Scenario1[winner2],ScenarioStat1[[#This Row],[hero-2]],Scenario1[loser1],ScenarioStat1[[#This Row],[hero-3]],Scenario1[loser2],ScenarioStat1[[#This Row],[hero-4]])</f>
        <v>0</v>
      </c>
      <c r="D380" t="s">
        <v>63</v>
      </c>
      <c r="E380" t="s">
        <v>38</v>
      </c>
      <c r="F380">
        <f>COUNTIFS(Scenario1[winner1],ScenarioStat1[[#This Row],[hero-3]],Scenario1[winner2],ScenarioStat1[[#This Row],[hero-4]],Scenario1[loser1],ScenarioStat1[[#This Row],[hero-1]],Scenario1[loser2],ScenarioStat1[[#This Row],[hero-2]])</f>
        <v>1</v>
      </c>
      <c r="G380">
        <f>ScenarioStat1[[#This Row],[team-1-win]]+ScenarioStat1[[#This Row],[team-2-win]]</f>
        <v>1</v>
      </c>
    </row>
  </sheetData>
  <mergeCells count="2">
    <mergeCell ref="A1:G1"/>
    <mergeCell ref="I1:M1"/>
  </mergeCells>
  <phoneticPr fontId="3" type="noConversion"/>
  <conditionalFormatting sqref="M1:M104857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BCEE-4374-424B-9A20-6789D68B828E}">
  <dimension ref="A1:T73"/>
  <sheetViews>
    <sheetView workbookViewId="0">
      <selection activeCell="T73" sqref="A2:T73"/>
    </sheetView>
  </sheetViews>
  <sheetFormatPr defaultRowHeight="15" x14ac:dyDescent="0.25"/>
  <cols>
    <col min="1" max="1" width="37.7109375" bestFit="1" customWidth="1"/>
    <col min="2" max="2" width="8.28515625" bestFit="1" customWidth="1"/>
    <col min="3" max="3" width="11.42578125" bestFit="1" customWidth="1"/>
    <col min="4" max="4" width="14" hidden="1" customWidth="1"/>
    <col min="5" max="5" width="13.7109375" hidden="1" customWidth="1"/>
    <col min="6" max="6" width="13.28515625" hidden="1" customWidth="1"/>
    <col min="7" max="7" width="24" hidden="1" customWidth="1"/>
    <col min="8" max="8" width="19.140625" hidden="1" customWidth="1"/>
    <col min="9" max="9" width="20.7109375" hidden="1" customWidth="1"/>
    <col min="10" max="10" width="19.85546875" hidden="1" customWidth="1"/>
    <col min="11" max="11" width="11.42578125" bestFit="1" customWidth="1"/>
    <col min="12" max="12" width="12.140625" hidden="1" customWidth="1"/>
    <col min="13" max="13" width="11.85546875" hidden="1" customWidth="1"/>
    <col min="14" max="14" width="11.42578125" hidden="1" customWidth="1"/>
    <col min="15" max="15" width="24" hidden="1" customWidth="1"/>
    <col min="16" max="16" width="18.7109375" hidden="1" customWidth="1"/>
    <col min="17" max="17" width="20.7109375" hidden="1" customWidth="1"/>
    <col min="18" max="18" width="19.85546875" hidden="1" customWidth="1"/>
    <col min="19" max="19" width="9.85546875" bestFit="1" customWidth="1"/>
    <col min="20" max="20" width="7.85546875" bestFit="1" customWidth="1"/>
  </cols>
  <sheetData>
    <row r="1" spans="1:20" x14ac:dyDescent="0.25">
      <c r="A1" t="s">
        <v>0</v>
      </c>
      <c r="B1" t="s">
        <v>173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64</v>
      </c>
      <c r="T1" t="s">
        <v>32</v>
      </c>
    </row>
    <row r="2" spans="1:20" x14ac:dyDescent="0.25">
      <c r="A2" t="s">
        <v>1002</v>
      </c>
      <c r="B2">
        <v>0</v>
      </c>
      <c r="C2" t="s">
        <v>53</v>
      </c>
      <c r="D2">
        <v>3</v>
      </c>
      <c r="E2">
        <v>3</v>
      </c>
      <c r="F2">
        <v>3</v>
      </c>
      <c r="G2" t="s">
        <v>112</v>
      </c>
      <c r="H2" t="s">
        <v>83</v>
      </c>
      <c r="I2" t="s">
        <v>97</v>
      </c>
      <c r="J2" t="s">
        <v>115</v>
      </c>
      <c r="K2" t="s">
        <v>56</v>
      </c>
      <c r="L2">
        <v>3</v>
      </c>
      <c r="N2">
        <v>3</v>
      </c>
      <c r="O2" t="s">
        <v>120</v>
      </c>
      <c r="P2" t="s">
        <v>121</v>
      </c>
      <c r="Q2" t="s">
        <v>123</v>
      </c>
      <c r="R2" t="s">
        <v>88</v>
      </c>
      <c r="S2">
        <v>0</v>
      </c>
      <c r="T2">
        <v>25</v>
      </c>
    </row>
    <row r="3" spans="1:20" x14ac:dyDescent="0.25">
      <c r="A3" t="s">
        <v>1003</v>
      </c>
      <c r="B3">
        <v>1</v>
      </c>
      <c r="C3" t="s">
        <v>53</v>
      </c>
      <c r="D3">
        <v>3</v>
      </c>
      <c r="E3">
        <v>3</v>
      </c>
      <c r="F3">
        <v>3</v>
      </c>
      <c r="G3" t="s">
        <v>112</v>
      </c>
      <c r="H3" t="s">
        <v>55</v>
      </c>
      <c r="I3" t="s">
        <v>114</v>
      </c>
      <c r="J3" t="s">
        <v>115</v>
      </c>
      <c r="K3" t="s">
        <v>48</v>
      </c>
      <c r="L3">
        <v>3</v>
      </c>
      <c r="N3">
        <v>3</v>
      </c>
      <c r="O3" t="s">
        <v>49</v>
      </c>
      <c r="P3" t="s">
        <v>84</v>
      </c>
      <c r="Q3" t="s">
        <v>127</v>
      </c>
      <c r="R3" t="s">
        <v>52</v>
      </c>
      <c r="S3">
        <v>0</v>
      </c>
      <c r="T3">
        <v>21</v>
      </c>
    </row>
    <row r="4" spans="1:20" x14ac:dyDescent="0.25">
      <c r="A4" t="s">
        <v>1004</v>
      </c>
      <c r="B4">
        <v>2</v>
      </c>
      <c r="C4" t="s">
        <v>33</v>
      </c>
      <c r="D4">
        <v>3</v>
      </c>
      <c r="F4">
        <v>3</v>
      </c>
      <c r="G4" t="s">
        <v>34</v>
      </c>
      <c r="H4" t="s">
        <v>35</v>
      </c>
      <c r="I4" t="s">
        <v>132</v>
      </c>
      <c r="J4" t="s">
        <v>133</v>
      </c>
      <c r="K4" t="s">
        <v>53</v>
      </c>
      <c r="L4">
        <v>2</v>
      </c>
      <c r="M4">
        <v>3</v>
      </c>
      <c r="N4">
        <v>2</v>
      </c>
      <c r="O4" t="s">
        <v>111</v>
      </c>
      <c r="P4" t="s">
        <v>55</v>
      </c>
      <c r="Q4" t="s">
        <v>97</v>
      </c>
      <c r="S4">
        <v>0</v>
      </c>
      <c r="T4">
        <v>17</v>
      </c>
    </row>
    <row r="5" spans="1:20" x14ac:dyDescent="0.25">
      <c r="A5" t="s">
        <v>1005</v>
      </c>
      <c r="B5">
        <v>3</v>
      </c>
      <c r="C5" t="s">
        <v>53</v>
      </c>
      <c r="D5">
        <v>3</v>
      </c>
      <c r="E5">
        <v>3</v>
      </c>
      <c r="F5">
        <v>3</v>
      </c>
      <c r="G5" t="s">
        <v>112</v>
      </c>
      <c r="H5" t="s">
        <v>83</v>
      </c>
      <c r="I5" t="s">
        <v>97</v>
      </c>
      <c r="J5" t="s">
        <v>98</v>
      </c>
      <c r="K5" t="s">
        <v>43</v>
      </c>
      <c r="L5">
        <v>3</v>
      </c>
      <c r="N5">
        <v>3</v>
      </c>
      <c r="O5" t="s">
        <v>135</v>
      </c>
      <c r="P5" t="s">
        <v>74</v>
      </c>
      <c r="Q5" t="s">
        <v>75</v>
      </c>
      <c r="R5" t="s">
        <v>138</v>
      </c>
      <c r="S5">
        <v>0</v>
      </c>
      <c r="T5">
        <v>22</v>
      </c>
    </row>
    <row r="6" spans="1:20" x14ac:dyDescent="0.25">
      <c r="A6" t="s">
        <v>1006</v>
      </c>
      <c r="B6">
        <v>4</v>
      </c>
      <c r="C6" t="s">
        <v>53</v>
      </c>
      <c r="D6">
        <v>3</v>
      </c>
      <c r="E6">
        <v>3</v>
      </c>
      <c r="F6">
        <v>3</v>
      </c>
      <c r="G6" t="s">
        <v>112</v>
      </c>
      <c r="H6" t="s">
        <v>55</v>
      </c>
      <c r="I6" t="s">
        <v>114</v>
      </c>
      <c r="J6" t="s">
        <v>98</v>
      </c>
      <c r="K6" t="s">
        <v>45</v>
      </c>
      <c r="L6">
        <v>3</v>
      </c>
      <c r="N6">
        <v>3</v>
      </c>
      <c r="O6" t="s">
        <v>86</v>
      </c>
      <c r="P6" t="s">
        <v>141</v>
      </c>
      <c r="Q6" t="s">
        <v>93</v>
      </c>
      <c r="R6" t="s">
        <v>94</v>
      </c>
      <c r="S6">
        <v>0</v>
      </c>
      <c r="T6">
        <v>20</v>
      </c>
    </row>
    <row r="7" spans="1:20" x14ac:dyDescent="0.25">
      <c r="A7" t="s">
        <v>1007</v>
      </c>
      <c r="B7">
        <v>5</v>
      </c>
      <c r="C7" t="s">
        <v>53</v>
      </c>
      <c r="D7">
        <v>3</v>
      </c>
      <c r="E7">
        <v>3</v>
      </c>
      <c r="F7">
        <v>3</v>
      </c>
      <c r="G7" t="s">
        <v>112</v>
      </c>
      <c r="H7" t="s">
        <v>83</v>
      </c>
      <c r="I7" t="s">
        <v>114</v>
      </c>
      <c r="J7" t="s">
        <v>98</v>
      </c>
      <c r="K7" t="s">
        <v>63</v>
      </c>
      <c r="L7">
        <v>3</v>
      </c>
      <c r="N7">
        <v>3</v>
      </c>
      <c r="O7" t="s">
        <v>103</v>
      </c>
      <c r="P7" t="s">
        <v>91</v>
      </c>
      <c r="Q7" t="s">
        <v>148</v>
      </c>
      <c r="R7" t="s">
        <v>151</v>
      </c>
      <c r="S7">
        <v>0</v>
      </c>
      <c r="T7">
        <v>29</v>
      </c>
    </row>
    <row r="8" spans="1:20" x14ac:dyDescent="0.25">
      <c r="A8" t="s">
        <v>1008</v>
      </c>
      <c r="B8">
        <v>6</v>
      </c>
      <c r="C8" t="s">
        <v>53</v>
      </c>
      <c r="D8">
        <v>3</v>
      </c>
      <c r="E8">
        <v>3</v>
      </c>
      <c r="F8">
        <v>3</v>
      </c>
      <c r="G8" t="s">
        <v>112</v>
      </c>
      <c r="H8" t="s">
        <v>55</v>
      </c>
      <c r="I8" t="s">
        <v>105</v>
      </c>
      <c r="J8" t="s">
        <v>98</v>
      </c>
      <c r="K8" t="s">
        <v>38</v>
      </c>
      <c r="L8">
        <v>3</v>
      </c>
      <c r="M8">
        <v>3</v>
      </c>
      <c r="N8">
        <v>3</v>
      </c>
      <c r="O8" t="s">
        <v>152</v>
      </c>
      <c r="P8" t="s">
        <v>40</v>
      </c>
      <c r="Q8" t="s">
        <v>154</v>
      </c>
      <c r="R8" t="s">
        <v>42</v>
      </c>
      <c r="S8">
        <v>0</v>
      </c>
      <c r="T8">
        <v>22</v>
      </c>
    </row>
    <row r="9" spans="1:20" x14ac:dyDescent="0.25">
      <c r="A9" t="s">
        <v>1009</v>
      </c>
      <c r="B9">
        <v>7</v>
      </c>
      <c r="C9" t="s">
        <v>227</v>
      </c>
      <c r="D9">
        <v>3</v>
      </c>
      <c r="E9">
        <v>3</v>
      </c>
      <c r="F9">
        <v>3</v>
      </c>
      <c r="G9" t="s">
        <v>228</v>
      </c>
      <c r="H9" t="s">
        <v>233</v>
      </c>
      <c r="I9" t="s">
        <v>236</v>
      </c>
      <c r="J9" t="s">
        <v>239</v>
      </c>
      <c r="K9" t="s">
        <v>53</v>
      </c>
      <c r="L9">
        <v>3</v>
      </c>
      <c r="M9">
        <v>3</v>
      </c>
      <c r="N9">
        <v>3</v>
      </c>
      <c r="O9" t="s">
        <v>112</v>
      </c>
      <c r="P9" t="s">
        <v>83</v>
      </c>
      <c r="Q9" t="s">
        <v>97</v>
      </c>
      <c r="R9" t="s">
        <v>98</v>
      </c>
      <c r="S9">
        <v>0</v>
      </c>
      <c r="T9">
        <v>21</v>
      </c>
    </row>
    <row r="10" spans="1:20" x14ac:dyDescent="0.25">
      <c r="A10" t="s">
        <v>1010</v>
      </c>
      <c r="B10">
        <v>8</v>
      </c>
      <c r="C10" t="s">
        <v>56</v>
      </c>
      <c r="D10">
        <v>2</v>
      </c>
      <c r="F10">
        <v>1</v>
      </c>
      <c r="G10" t="s">
        <v>120</v>
      </c>
      <c r="H10" t="s">
        <v>122</v>
      </c>
      <c r="I10" t="s">
        <v>85</v>
      </c>
      <c r="K10" t="s">
        <v>48</v>
      </c>
      <c r="L10">
        <v>1</v>
      </c>
      <c r="N10">
        <v>1</v>
      </c>
      <c r="O10" t="s">
        <v>49</v>
      </c>
      <c r="P10" t="s">
        <v>84</v>
      </c>
      <c r="Q10" t="s">
        <v>127</v>
      </c>
      <c r="R10" t="s">
        <v>52</v>
      </c>
      <c r="S10">
        <v>0</v>
      </c>
      <c r="T10">
        <v>8</v>
      </c>
    </row>
    <row r="11" spans="1:20" x14ac:dyDescent="0.25">
      <c r="A11" t="s">
        <v>1011</v>
      </c>
      <c r="B11">
        <v>9</v>
      </c>
      <c r="C11" t="s">
        <v>56</v>
      </c>
      <c r="D11">
        <v>2</v>
      </c>
      <c r="F11">
        <v>1</v>
      </c>
      <c r="G11" t="s">
        <v>120</v>
      </c>
      <c r="H11" t="s">
        <v>122</v>
      </c>
      <c r="I11" t="s">
        <v>87</v>
      </c>
      <c r="K11" t="s">
        <v>33</v>
      </c>
      <c r="L11">
        <v>2</v>
      </c>
      <c r="N11">
        <v>3</v>
      </c>
      <c r="O11" t="s">
        <v>34</v>
      </c>
      <c r="S11">
        <v>0</v>
      </c>
      <c r="T11">
        <v>8</v>
      </c>
    </row>
    <row r="12" spans="1:20" x14ac:dyDescent="0.25">
      <c r="A12" t="s">
        <v>1012</v>
      </c>
      <c r="B12">
        <v>10</v>
      </c>
      <c r="C12" t="s">
        <v>43</v>
      </c>
      <c r="D12">
        <v>3</v>
      </c>
      <c r="F12">
        <v>2</v>
      </c>
      <c r="G12" t="s">
        <v>135</v>
      </c>
      <c r="H12" t="s">
        <v>74</v>
      </c>
      <c r="K12" t="s">
        <v>56</v>
      </c>
      <c r="L12">
        <v>2</v>
      </c>
      <c r="N12">
        <v>2</v>
      </c>
      <c r="O12" t="s">
        <v>120</v>
      </c>
      <c r="P12" t="s">
        <v>122</v>
      </c>
      <c r="S12">
        <v>0</v>
      </c>
      <c r="T12">
        <v>9</v>
      </c>
    </row>
    <row r="13" spans="1:20" x14ac:dyDescent="0.25">
      <c r="A13" t="s">
        <v>1013</v>
      </c>
      <c r="B13">
        <v>11</v>
      </c>
      <c r="C13" t="s">
        <v>56</v>
      </c>
      <c r="D13">
        <v>2</v>
      </c>
      <c r="F13">
        <v>1</v>
      </c>
      <c r="G13" t="s">
        <v>120</v>
      </c>
      <c r="H13" t="s">
        <v>121</v>
      </c>
      <c r="K13" t="s">
        <v>45</v>
      </c>
      <c r="L13">
        <v>3</v>
      </c>
      <c r="N13">
        <v>1</v>
      </c>
      <c r="O13" t="s">
        <v>140</v>
      </c>
      <c r="S13">
        <v>0</v>
      </c>
      <c r="T13">
        <v>6</v>
      </c>
    </row>
    <row r="14" spans="1:20" x14ac:dyDescent="0.25">
      <c r="A14" t="s">
        <v>1014</v>
      </c>
      <c r="B14">
        <v>12</v>
      </c>
      <c r="C14" t="s">
        <v>56</v>
      </c>
      <c r="D14">
        <v>3</v>
      </c>
      <c r="F14">
        <v>1</v>
      </c>
      <c r="G14" t="s">
        <v>57</v>
      </c>
      <c r="H14" t="s">
        <v>122</v>
      </c>
      <c r="K14" t="s">
        <v>63</v>
      </c>
      <c r="L14">
        <v>1</v>
      </c>
      <c r="N14">
        <v>1</v>
      </c>
      <c r="O14" t="s">
        <v>103</v>
      </c>
      <c r="P14" t="s">
        <v>146</v>
      </c>
      <c r="Q14" t="s">
        <v>104</v>
      </c>
      <c r="S14">
        <v>0</v>
      </c>
      <c r="T14">
        <v>7</v>
      </c>
    </row>
    <row r="15" spans="1:20" x14ac:dyDescent="0.25">
      <c r="A15" t="s">
        <v>1015</v>
      </c>
      <c r="B15">
        <v>13</v>
      </c>
      <c r="C15" t="s">
        <v>38</v>
      </c>
      <c r="D15">
        <v>3</v>
      </c>
      <c r="E15">
        <v>3</v>
      </c>
      <c r="F15">
        <v>3</v>
      </c>
      <c r="G15" t="s">
        <v>39</v>
      </c>
      <c r="H15" t="s">
        <v>96</v>
      </c>
      <c r="I15" t="s">
        <v>153</v>
      </c>
      <c r="J15" t="s">
        <v>156</v>
      </c>
      <c r="K15" t="s">
        <v>56</v>
      </c>
      <c r="L15">
        <v>3</v>
      </c>
      <c r="N15">
        <v>3</v>
      </c>
      <c r="O15" t="s">
        <v>57</v>
      </c>
      <c r="P15" t="s">
        <v>122</v>
      </c>
      <c r="Q15" t="s">
        <v>85</v>
      </c>
      <c r="R15" t="s">
        <v>125</v>
      </c>
      <c r="S15">
        <v>0</v>
      </c>
      <c r="T15">
        <v>29</v>
      </c>
    </row>
    <row r="16" spans="1:20" x14ac:dyDescent="0.25">
      <c r="A16" t="s">
        <v>1016</v>
      </c>
      <c r="B16">
        <v>14</v>
      </c>
      <c r="C16" t="s">
        <v>56</v>
      </c>
      <c r="D16">
        <v>3</v>
      </c>
      <c r="F16">
        <v>1</v>
      </c>
      <c r="G16" t="s">
        <v>57</v>
      </c>
      <c r="H16" t="s">
        <v>122</v>
      </c>
      <c r="K16" t="s">
        <v>227</v>
      </c>
      <c r="L16">
        <v>1</v>
      </c>
      <c r="M16">
        <v>1</v>
      </c>
      <c r="N16">
        <v>3</v>
      </c>
      <c r="O16" t="s">
        <v>228</v>
      </c>
      <c r="P16" t="s">
        <v>231</v>
      </c>
      <c r="S16">
        <v>0</v>
      </c>
      <c r="T16">
        <v>8</v>
      </c>
    </row>
    <row r="17" spans="1:20" x14ac:dyDescent="0.25">
      <c r="A17" t="s">
        <v>1017</v>
      </c>
      <c r="B17">
        <v>15</v>
      </c>
      <c r="C17" t="s">
        <v>33</v>
      </c>
      <c r="D17">
        <v>2</v>
      </c>
      <c r="F17">
        <v>2</v>
      </c>
      <c r="G17" t="s">
        <v>34</v>
      </c>
      <c r="H17" t="s">
        <v>66</v>
      </c>
      <c r="K17" t="s">
        <v>48</v>
      </c>
      <c r="L17">
        <v>1</v>
      </c>
      <c r="N17">
        <v>1</v>
      </c>
      <c r="O17" t="s">
        <v>89</v>
      </c>
      <c r="P17" t="s">
        <v>50</v>
      </c>
      <c r="Q17" t="s">
        <v>51</v>
      </c>
      <c r="S17">
        <v>0</v>
      </c>
      <c r="T17">
        <v>7</v>
      </c>
    </row>
    <row r="18" spans="1:20" x14ac:dyDescent="0.25">
      <c r="A18" t="s">
        <v>1018</v>
      </c>
      <c r="B18">
        <v>16</v>
      </c>
      <c r="C18" t="s">
        <v>48</v>
      </c>
      <c r="D18">
        <v>3</v>
      </c>
      <c r="F18">
        <v>3</v>
      </c>
      <c r="G18" t="s">
        <v>126</v>
      </c>
      <c r="H18" t="s">
        <v>84</v>
      </c>
      <c r="I18" t="s">
        <v>90</v>
      </c>
      <c r="J18" t="s">
        <v>128</v>
      </c>
      <c r="K18" t="s">
        <v>43</v>
      </c>
      <c r="L18">
        <v>3</v>
      </c>
      <c r="N18">
        <v>3</v>
      </c>
      <c r="O18" t="s">
        <v>135</v>
      </c>
      <c r="P18" t="s">
        <v>74</v>
      </c>
      <c r="Q18" t="s">
        <v>137</v>
      </c>
      <c r="R18" t="s">
        <v>139</v>
      </c>
      <c r="S18">
        <v>0</v>
      </c>
      <c r="T18">
        <v>24</v>
      </c>
    </row>
    <row r="19" spans="1:20" x14ac:dyDescent="0.25">
      <c r="A19" t="s">
        <v>1019</v>
      </c>
      <c r="B19">
        <v>17</v>
      </c>
      <c r="C19" t="s">
        <v>48</v>
      </c>
      <c r="D19">
        <v>3</v>
      </c>
      <c r="F19">
        <v>3</v>
      </c>
      <c r="G19" t="s">
        <v>126</v>
      </c>
      <c r="H19" t="s">
        <v>84</v>
      </c>
      <c r="I19" t="s">
        <v>90</v>
      </c>
      <c r="J19" t="s">
        <v>128</v>
      </c>
      <c r="K19" t="s">
        <v>45</v>
      </c>
      <c r="L19">
        <v>3</v>
      </c>
      <c r="N19">
        <v>3</v>
      </c>
      <c r="O19" t="s">
        <v>86</v>
      </c>
      <c r="P19" t="s">
        <v>141</v>
      </c>
      <c r="Q19" t="s">
        <v>93</v>
      </c>
      <c r="R19" t="s">
        <v>94</v>
      </c>
      <c r="S19">
        <v>0</v>
      </c>
      <c r="T19">
        <v>26</v>
      </c>
    </row>
    <row r="20" spans="1:20" x14ac:dyDescent="0.25">
      <c r="A20" t="s">
        <v>1020</v>
      </c>
      <c r="B20">
        <v>18</v>
      </c>
      <c r="C20" t="s">
        <v>48</v>
      </c>
      <c r="D20">
        <v>2</v>
      </c>
      <c r="F20">
        <v>1</v>
      </c>
      <c r="G20" t="s">
        <v>49</v>
      </c>
      <c r="H20" t="s">
        <v>71</v>
      </c>
      <c r="I20" t="s">
        <v>127</v>
      </c>
      <c r="J20" t="s">
        <v>52</v>
      </c>
      <c r="K20" t="s">
        <v>63</v>
      </c>
      <c r="L20">
        <v>2</v>
      </c>
      <c r="N20">
        <v>1</v>
      </c>
      <c r="O20" t="s">
        <v>145</v>
      </c>
      <c r="P20" t="s">
        <v>91</v>
      </c>
      <c r="Q20" t="s">
        <v>148</v>
      </c>
      <c r="R20" t="s">
        <v>151</v>
      </c>
      <c r="S20">
        <v>0</v>
      </c>
      <c r="T20">
        <v>11</v>
      </c>
    </row>
    <row r="21" spans="1:20" x14ac:dyDescent="0.25">
      <c r="A21" t="s">
        <v>1021</v>
      </c>
      <c r="B21">
        <v>19</v>
      </c>
      <c r="C21" t="s">
        <v>48</v>
      </c>
      <c r="D21">
        <v>2</v>
      </c>
      <c r="F21">
        <v>2</v>
      </c>
      <c r="G21" t="s">
        <v>49</v>
      </c>
      <c r="H21" t="s">
        <v>71</v>
      </c>
      <c r="I21" t="s">
        <v>127</v>
      </c>
      <c r="J21" t="s">
        <v>128</v>
      </c>
      <c r="K21" t="s">
        <v>38</v>
      </c>
      <c r="L21">
        <v>2</v>
      </c>
      <c r="M21">
        <v>2</v>
      </c>
      <c r="N21">
        <v>2</v>
      </c>
      <c r="O21" t="s">
        <v>39</v>
      </c>
      <c r="P21" t="s">
        <v>40</v>
      </c>
      <c r="Q21" t="s">
        <v>153</v>
      </c>
      <c r="R21" t="s">
        <v>42</v>
      </c>
      <c r="S21">
        <v>0</v>
      </c>
      <c r="T21">
        <v>14</v>
      </c>
    </row>
    <row r="22" spans="1:20" x14ac:dyDescent="0.25">
      <c r="A22" t="s">
        <v>1022</v>
      </c>
      <c r="B22">
        <v>20</v>
      </c>
      <c r="C22" t="s">
        <v>48</v>
      </c>
      <c r="D22">
        <v>3</v>
      </c>
      <c r="F22">
        <v>1</v>
      </c>
      <c r="G22" t="s">
        <v>89</v>
      </c>
      <c r="H22" t="s">
        <v>71</v>
      </c>
      <c r="I22" t="s">
        <v>127</v>
      </c>
      <c r="J22" t="s">
        <v>128</v>
      </c>
      <c r="K22" t="s">
        <v>227</v>
      </c>
      <c r="L22">
        <v>1</v>
      </c>
      <c r="M22">
        <v>3</v>
      </c>
      <c r="N22">
        <v>3</v>
      </c>
      <c r="O22" t="s">
        <v>229</v>
      </c>
      <c r="P22" t="s">
        <v>233</v>
      </c>
      <c r="S22">
        <v>0</v>
      </c>
      <c r="T22">
        <v>12</v>
      </c>
    </row>
    <row r="23" spans="1:20" x14ac:dyDescent="0.25">
      <c r="A23" t="s">
        <v>1023</v>
      </c>
      <c r="B23">
        <v>21</v>
      </c>
      <c r="C23" t="s">
        <v>43</v>
      </c>
      <c r="D23">
        <v>3</v>
      </c>
      <c r="F23">
        <v>1</v>
      </c>
      <c r="G23" t="s">
        <v>135</v>
      </c>
      <c r="K23" t="s">
        <v>33</v>
      </c>
      <c r="L23">
        <v>2</v>
      </c>
      <c r="N23">
        <v>2</v>
      </c>
      <c r="O23" t="s">
        <v>34</v>
      </c>
      <c r="S23">
        <v>0</v>
      </c>
      <c r="T23">
        <v>6</v>
      </c>
    </row>
    <row r="24" spans="1:20" x14ac:dyDescent="0.25">
      <c r="A24" t="s">
        <v>1024</v>
      </c>
      <c r="B24">
        <v>22</v>
      </c>
      <c r="C24" t="s">
        <v>45</v>
      </c>
      <c r="D24">
        <v>3</v>
      </c>
      <c r="F24">
        <v>1</v>
      </c>
      <c r="G24" t="s">
        <v>140</v>
      </c>
      <c r="K24" t="s">
        <v>33</v>
      </c>
      <c r="L24">
        <v>2</v>
      </c>
      <c r="N24">
        <v>3</v>
      </c>
      <c r="O24" t="s">
        <v>34</v>
      </c>
      <c r="S24">
        <v>0</v>
      </c>
      <c r="T24">
        <v>8</v>
      </c>
    </row>
    <row r="25" spans="1:20" x14ac:dyDescent="0.25">
      <c r="A25" s="39" t="s">
        <v>1025</v>
      </c>
      <c r="B25">
        <v>23</v>
      </c>
      <c r="C25" t="s">
        <v>33</v>
      </c>
      <c r="D25">
        <v>1</v>
      </c>
      <c r="F25">
        <v>3</v>
      </c>
      <c r="G25" t="s">
        <v>34</v>
      </c>
      <c r="H25" t="s">
        <v>35</v>
      </c>
      <c r="K25" t="s">
        <v>63</v>
      </c>
      <c r="L25">
        <v>3</v>
      </c>
      <c r="N25">
        <v>1</v>
      </c>
      <c r="O25" t="s">
        <v>72</v>
      </c>
      <c r="S25">
        <v>0</v>
      </c>
      <c r="T25">
        <v>7</v>
      </c>
    </row>
    <row r="26" spans="1:20" x14ac:dyDescent="0.25">
      <c r="A26" t="s">
        <v>1026</v>
      </c>
      <c r="B26">
        <v>24</v>
      </c>
      <c r="C26" t="s">
        <v>38</v>
      </c>
      <c r="D26">
        <v>1</v>
      </c>
      <c r="E26">
        <v>2</v>
      </c>
      <c r="F26">
        <v>2</v>
      </c>
      <c r="G26" t="s">
        <v>39</v>
      </c>
      <c r="H26" t="s">
        <v>40</v>
      </c>
      <c r="K26" t="s">
        <v>33</v>
      </c>
      <c r="L26">
        <v>1</v>
      </c>
      <c r="N26">
        <v>2</v>
      </c>
      <c r="O26" t="s">
        <v>65</v>
      </c>
      <c r="P26" t="s">
        <v>66</v>
      </c>
      <c r="S26">
        <v>0</v>
      </c>
      <c r="T26">
        <v>7</v>
      </c>
    </row>
    <row r="27" spans="1:20" x14ac:dyDescent="0.25">
      <c r="A27" t="s">
        <v>1027</v>
      </c>
      <c r="B27">
        <v>25</v>
      </c>
      <c r="C27" t="s">
        <v>227</v>
      </c>
      <c r="D27">
        <v>2</v>
      </c>
      <c r="E27">
        <v>1</v>
      </c>
      <c r="F27">
        <v>1</v>
      </c>
      <c r="G27" t="s">
        <v>228</v>
      </c>
      <c r="H27" t="s">
        <v>231</v>
      </c>
      <c r="K27" t="s">
        <v>33</v>
      </c>
      <c r="L27">
        <v>2</v>
      </c>
      <c r="N27">
        <v>2</v>
      </c>
      <c r="O27" t="s">
        <v>34</v>
      </c>
      <c r="S27">
        <v>0</v>
      </c>
      <c r="T27">
        <v>6</v>
      </c>
    </row>
    <row r="28" spans="1:20" x14ac:dyDescent="0.25">
      <c r="A28" t="s">
        <v>1028</v>
      </c>
      <c r="B28">
        <v>26</v>
      </c>
      <c r="C28" t="s">
        <v>45</v>
      </c>
      <c r="D28">
        <v>3</v>
      </c>
      <c r="F28">
        <v>1</v>
      </c>
      <c r="G28" t="s">
        <v>140</v>
      </c>
      <c r="K28" t="s">
        <v>43</v>
      </c>
      <c r="L28">
        <v>2</v>
      </c>
      <c r="N28">
        <v>1</v>
      </c>
      <c r="O28" t="s">
        <v>135</v>
      </c>
      <c r="P28" t="s">
        <v>136</v>
      </c>
      <c r="Q28" t="s">
        <v>137</v>
      </c>
      <c r="S28">
        <v>0</v>
      </c>
      <c r="T28">
        <v>9</v>
      </c>
    </row>
    <row r="29" spans="1:20" x14ac:dyDescent="0.25">
      <c r="A29" t="s">
        <v>1029</v>
      </c>
      <c r="B29">
        <v>27</v>
      </c>
      <c r="C29" t="s">
        <v>43</v>
      </c>
      <c r="D29">
        <v>3</v>
      </c>
      <c r="F29">
        <v>2</v>
      </c>
      <c r="G29" t="s">
        <v>135</v>
      </c>
      <c r="H29" t="s">
        <v>136</v>
      </c>
      <c r="I29" t="s">
        <v>137</v>
      </c>
      <c r="K29" t="s">
        <v>63</v>
      </c>
      <c r="L29">
        <v>1</v>
      </c>
      <c r="N29">
        <v>2</v>
      </c>
      <c r="O29" t="s">
        <v>145</v>
      </c>
      <c r="P29" t="s">
        <v>146</v>
      </c>
      <c r="Q29" t="s">
        <v>104</v>
      </c>
      <c r="S29">
        <v>0</v>
      </c>
      <c r="T29">
        <v>11</v>
      </c>
    </row>
    <row r="30" spans="1:20" x14ac:dyDescent="0.25">
      <c r="A30" t="s">
        <v>1030</v>
      </c>
      <c r="B30">
        <v>28</v>
      </c>
      <c r="C30" t="s">
        <v>43</v>
      </c>
      <c r="D30">
        <v>2</v>
      </c>
      <c r="F30">
        <v>1</v>
      </c>
      <c r="G30" t="s">
        <v>135</v>
      </c>
      <c r="H30" t="s">
        <v>136</v>
      </c>
      <c r="I30" t="s">
        <v>137</v>
      </c>
      <c r="K30" t="s">
        <v>38</v>
      </c>
      <c r="L30">
        <v>1</v>
      </c>
      <c r="M30">
        <v>1</v>
      </c>
      <c r="N30">
        <v>2</v>
      </c>
      <c r="O30" t="s">
        <v>39</v>
      </c>
      <c r="P30" t="s">
        <v>70</v>
      </c>
      <c r="Q30" t="s">
        <v>41</v>
      </c>
      <c r="S30">
        <v>0</v>
      </c>
      <c r="T30">
        <v>10</v>
      </c>
    </row>
    <row r="31" spans="1:20" x14ac:dyDescent="0.25">
      <c r="A31" t="s">
        <v>1031</v>
      </c>
      <c r="B31">
        <v>29</v>
      </c>
      <c r="C31" t="s">
        <v>43</v>
      </c>
      <c r="D31">
        <v>3</v>
      </c>
      <c r="F31">
        <v>2</v>
      </c>
      <c r="G31" t="s">
        <v>135</v>
      </c>
      <c r="H31" t="s">
        <v>136</v>
      </c>
      <c r="I31" t="s">
        <v>75</v>
      </c>
      <c r="K31" t="s">
        <v>227</v>
      </c>
      <c r="L31">
        <v>2</v>
      </c>
      <c r="M31">
        <v>3</v>
      </c>
      <c r="N31">
        <v>3</v>
      </c>
      <c r="O31" t="s">
        <v>229</v>
      </c>
      <c r="S31">
        <v>0</v>
      </c>
      <c r="T31">
        <v>12</v>
      </c>
    </row>
    <row r="32" spans="1:20" x14ac:dyDescent="0.25">
      <c r="A32" t="s">
        <v>1032</v>
      </c>
      <c r="B32">
        <v>30</v>
      </c>
      <c r="C32" t="s">
        <v>45</v>
      </c>
      <c r="D32">
        <v>3</v>
      </c>
      <c r="F32">
        <v>1</v>
      </c>
      <c r="G32" t="s">
        <v>86</v>
      </c>
      <c r="H32" t="s">
        <v>141</v>
      </c>
      <c r="I32" t="s">
        <v>93</v>
      </c>
      <c r="J32" t="s">
        <v>143</v>
      </c>
      <c r="K32" t="s">
        <v>63</v>
      </c>
      <c r="L32">
        <v>1</v>
      </c>
      <c r="N32">
        <v>3</v>
      </c>
      <c r="O32" t="s">
        <v>145</v>
      </c>
      <c r="P32" t="s">
        <v>146</v>
      </c>
      <c r="Q32" t="s">
        <v>104</v>
      </c>
      <c r="R32" t="s">
        <v>150</v>
      </c>
      <c r="S32">
        <v>0</v>
      </c>
      <c r="T32">
        <v>13</v>
      </c>
    </row>
    <row r="33" spans="1:20" x14ac:dyDescent="0.25">
      <c r="A33" t="s">
        <v>1033</v>
      </c>
      <c r="B33">
        <v>31</v>
      </c>
      <c r="C33" t="s">
        <v>45</v>
      </c>
      <c r="D33">
        <v>3</v>
      </c>
      <c r="F33">
        <v>1</v>
      </c>
      <c r="G33" t="s">
        <v>140</v>
      </c>
      <c r="H33" t="s">
        <v>76</v>
      </c>
      <c r="K33" t="s">
        <v>38</v>
      </c>
      <c r="L33">
        <v>1</v>
      </c>
      <c r="M33">
        <v>1</v>
      </c>
      <c r="N33">
        <v>2</v>
      </c>
      <c r="O33" t="s">
        <v>39</v>
      </c>
      <c r="P33" t="s">
        <v>96</v>
      </c>
      <c r="Q33" t="s">
        <v>153</v>
      </c>
      <c r="S33">
        <v>0</v>
      </c>
      <c r="T33">
        <v>8</v>
      </c>
    </row>
    <row r="34" spans="1:20" x14ac:dyDescent="0.25">
      <c r="A34" t="s">
        <v>1034</v>
      </c>
      <c r="B34">
        <v>32</v>
      </c>
      <c r="C34" t="s">
        <v>227</v>
      </c>
      <c r="D34">
        <v>1</v>
      </c>
      <c r="E34">
        <v>1</v>
      </c>
      <c r="F34">
        <v>3</v>
      </c>
      <c r="G34" t="s">
        <v>229</v>
      </c>
      <c r="H34" t="s">
        <v>231</v>
      </c>
      <c r="I34" t="s">
        <v>234</v>
      </c>
      <c r="K34" t="s">
        <v>45</v>
      </c>
      <c r="L34">
        <v>3</v>
      </c>
      <c r="N34">
        <v>1</v>
      </c>
      <c r="O34" t="s">
        <v>86</v>
      </c>
      <c r="P34" t="s">
        <v>76</v>
      </c>
      <c r="S34">
        <v>0</v>
      </c>
      <c r="T34">
        <v>9</v>
      </c>
    </row>
    <row r="35" spans="1:20" x14ac:dyDescent="0.25">
      <c r="A35" t="s">
        <v>1035</v>
      </c>
      <c r="B35">
        <v>33</v>
      </c>
      <c r="C35" t="s">
        <v>38</v>
      </c>
      <c r="D35">
        <v>1</v>
      </c>
      <c r="E35">
        <v>1</v>
      </c>
      <c r="F35">
        <v>3</v>
      </c>
      <c r="G35" t="s">
        <v>39</v>
      </c>
      <c r="H35" t="s">
        <v>96</v>
      </c>
      <c r="I35" t="s">
        <v>154</v>
      </c>
      <c r="J35" t="s">
        <v>155</v>
      </c>
      <c r="K35" t="s">
        <v>63</v>
      </c>
      <c r="L35">
        <v>3</v>
      </c>
      <c r="N35">
        <v>1</v>
      </c>
      <c r="O35" t="s">
        <v>103</v>
      </c>
      <c r="P35" t="s">
        <v>91</v>
      </c>
      <c r="Q35" t="s">
        <v>147</v>
      </c>
      <c r="R35" t="s">
        <v>151</v>
      </c>
      <c r="S35">
        <v>0</v>
      </c>
      <c r="T35">
        <v>13</v>
      </c>
    </row>
    <row r="36" spans="1:20" x14ac:dyDescent="0.25">
      <c r="A36" t="s">
        <v>1036</v>
      </c>
      <c r="B36">
        <v>34</v>
      </c>
      <c r="C36" t="s">
        <v>63</v>
      </c>
      <c r="D36">
        <v>3</v>
      </c>
      <c r="F36">
        <v>1</v>
      </c>
      <c r="G36" t="s">
        <v>72</v>
      </c>
      <c r="H36" t="s">
        <v>95</v>
      </c>
      <c r="I36" t="s">
        <v>148</v>
      </c>
      <c r="K36" t="s">
        <v>227</v>
      </c>
      <c r="L36">
        <v>1</v>
      </c>
      <c r="M36">
        <v>2</v>
      </c>
      <c r="N36">
        <v>2</v>
      </c>
      <c r="O36" t="s">
        <v>229</v>
      </c>
      <c r="P36" t="s">
        <v>233</v>
      </c>
      <c r="Q36" t="s">
        <v>235</v>
      </c>
      <c r="R36" t="s">
        <v>238</v>
      </c>
      <c r="S36">
        <v>0</v>
      </c>
      <c r="T36">
        <v>12</v>
      </c>
    </row>
    <row r="37" spans="1:20" x14ac:dyDescent="0.25">
      <c r="A37" t="s">
        <v>1037</v>
      </c>
      <c r="B37">
        <v>35</v>
      </c>
      <c r="C37" t="s">
        <v>38</v>
      </c>
      <c r="D37">
        <v>3</v>
      </c>
      <c r="E37">
        <v>2</v>
      </c>
      <c r="F37">
        <v>2</v>
      </c>
      <c r="G37" t="s">
        <v>39</v>
      </c>
      <c r="H37" t="s">
        <v>96</v>
      </c>
      <c r="I37" t="s">
        <v>41</v>
      </c>
      <c r="J37" t="s">
        <v>155</v>
      </c>
      <c r="K37" t="s">
        <v>227</v>
      </c>
      <c r="L37">
        <v>3</v>
      </c>
      <c r="M37">
        <v>1</v>
      </c>
      <c r="N37">
        <v>3</v>
      </c>
      <c r="O37" t="s">
        <v>229</v>
      </c>
      <c r="P37" t="s">
        <v>231</v>
      </c>
      <c r="Q37" t="s">
        <v>235</v>
      </c>
      <c r="R37" t="s">
        <v>238</v>
      </c>
      <c r="S37">
        <v>0</v>
      </c>
      <c r="T37">
        <v>17</v>
      </c>
    </row>
    <row r="38" spans="1:20" x14ac:dyDescent="0.25">
      <c r="A38" t="s">
        <v>1038</v>
      </c>
      <c r="B38">
        <v>0</v>
      </c>
      <c r="C38" t="s">
        <v>56</v>
      </c>
      <c r="D38">
        <v>3</v>
      </c>
      <c r="F38">
        <v>2</v>
      </c>
      <c r="G38" t="s">
        <v>120</v>
      </c>
      <c r="H38" t="s">
        <v>69</v>
      </c>
      <c r="I38" t="s">
        <v>87</v>
      </c>
      <c r="K38" t="s">
        <v>53</v>
      </c>
      <c r="L38">
        <v>3</v>
      </c>
      <c r="M38">
        <v>3</v>
      </c>
      <c r="N38">
        <v>3</v>
      </c>
      <c r="O38" t="s">
        <v>112</v>
      </c>
      <c r="S38">
        <v>0</v>
      </c>
      <c r="T38">
        <v>14</v>
      </c>
    </row>
    <row r="39" spans="1:20" x14ac:dyDescent="0.25">
      <c r="A39" t="s">
        <v>1039</v>
      </c>
      <c r="B39">
        <v>1</v>
      </c>
      <c r="C39" t="s">
        <v>53</v>
      </c>
      <c r="D39">
        <v>3</v>
      </c>
      <c r="E39">
        <v>3</v>
      </c>
      <c r="F39">
        <v>3</v>
      </c>
      <c r="G39" t="s">
        <v>112</v>
      </c>
      <c r="H39" t="s">
        <v>55</v>
      </c>
      <c r="I39" t="s">
        <v>114</v>
      </c>
      <c r="J39" t="s">
        <v>98</v>
      </c>
      <c r="K39" t="s">
        <v>48</v>
      </c>
      <c r="L39">
        <v>3</v>
      </c>
      <c r="N39">
        <v>3</v>
      </c>
      <c r="O39" t="s">
        <v>126</v>
      </c>
      <c r="P39" t="s">
        <v>84</v>
      </c>
      <c r="Q39" t="s">
        <v>90</v>
      </c>
      <c r="R39" t="s">
        <v>52</v>
      </c>
      <c r="S39">
        <v>0</v>
      </c>
      <c r="T39">
        <v>33</v>
      </c>
    </row>
    <row r="40" spans="1:20" x14ac:dyDescent="0.25">
      <c r="A40" t="s">
        <v>1040</v>
      </c>
      <c r="B40">
        <v>2</v>
      </c>
      <c r="C40" t="s">
        <v>53</v>
      </c>
      <c r="D40">
        <v>3</v>
      </c>
      <c r="E40">
        <v>1</v>
      </c>
      <c r="F40">
        <v>1</v>
      </c>
      <c r="G40" t="s">
        <v>111</v>
      </c>
      <c r="H40" t="s">
        <v>83</v>
      </c>
      <c r="K40" t="s">
        <v>33</v>
      </c>
      <c r="L40">
        <v>2</v>
      </c>
      <c r="N40">
        <v>3</v>
      </c>
      <c r="O40" t="s">
        <v>34</v>
      </c>
      <c r="S40">
        <v>0</v>
      </c>
      <c r="T40">
        <v>8</v>
      </c>
    </row>
    <row r="41" spans="1:20" x14ac:dyDescent="0.25">
      <c r="A41" t="s">
        <v>1041</v>
      </c>
      <c r="B41">
        <v>3</v>
      </c>
      <c r="C41" t="s">
        <v>53</v>
      </c>
      <c r="D41">
        <v>2</v>
      </c>
      <c r="E41">
        <v>3</v>
      </c>
      <c r="F41">
        <v>3</v>
      </c>
      <c r="G41" t="s">
        <v>112</v>
      </c>
      <c r="H41" t="s">
        <v>83</v>
      </c>
      <c r="I41" t="s">
        <v>114</v>
      </c>
      <c r="K41" t="s">
        <v>43</v>
      </c>
      <c r="L41">
        <v>3</v>
      </c>
      <c r="N41">
        <v>3</v>
      </c>
      <c r="O41" t="s">
        <v>135</v>
      </c>
      <c r="P41" t="s">
        <v>74</v>
      </c>
      <c r="Q41" t="s">
        <v>137</v>
      </c>
      <c r="R41" t="s">
        <v>139</v>
      </c>
      <c r="S41">
        <v>0</v>
      </c>
      <c r="T41">
        <v>16</v>
      </c>
    </row>
    <row r="42" spans="1:20" x14ac:dyDescent="0.25">
      <c r="A42" t="s">
        <v>1042</v>
      </c>
      <c r="B42">
        <v>4</v>
      </c>
      <c r="C42" t="s">
        <v>53</v>
      </c>
      <c r="D42">
        <v>1</v>
      </c>
      <c r="E42">
        <v>3</v>
      </c>
      <c r="F42">
        <v>3</v>
      </c>
      <c r="G42" t="s">
        <v>112</v>
      </c>
      <c r="H42" t="s">
        <v>83</v>
      </c>
      <c r="K42" t="s">
        <v>45</v>
      </c>
      <c r="L42">
        <v>3</v>
      </c>
      <c r="N42">
        <v>1</v>
      </c>
      <c r="O42" t="s">
        <v>86</v>
      </c>
      <c r="P42" t="s">
        <v>141</v>
      </c>
      <c r="Q42" t="s">
        <v>93</v>
      </c>
      <c r="R42" t="s">
        <v>94</v>
      </c>
      <c r="S42">
        <v>0</v>
      </c>
      <c r="T42">
        <v>12</v>
      </c>
    </row>
    <row r="43" spans="1:20" x14ac:dyDescent="0.25">
      <c r="A43" t="s">
        <v>1043</v>
      </c>
      <c r="B43">
        <v>5</v>
      </c>
      <c r="C43" t="s">
        <v>53</v>
      </c>
      <c r="D43">
        <v>3</v>
      </c>
      <c r="E43">
        <v>3</v>
      </c>
      <c r="F43">
        <v>3</v>
      </c>
      <c r="G43" t="s">
        <v>112</v>
      </c>
      <c r="H43" t="s">
        <v>83</v>
      </c>
      <c r="I43" t="s">
        <v>114</v>
      </c>
      <c r="J43" t="s">
        <v>115</v>
      </c>
      <c r="K43" t="s">
        <v>63</v>
      </c>
      <c r="L43">
        <v>3</v>
      </c>
      <c r="N43">
        <v>3</v>
      </c>
      <c r="O43" t="s">
        <v>103</v>
      </c>
      <c r="P43" t="s">
        <v>91</v>
      </c>
      <c r="Q43" t="s">
        <v>148</v>
      </c>
      <c r="R43" t="s">
        <v>151</v>
      </c>
      <c r="S43">
        <v>0</v>
      </c>
      <c r="T43">
        <v>25</v>
      </c>
    </row>
    <row r="44" spans="1:20" x14ac:dyDescent="0.25">
      <c r="A44" t="s">
        <v>1044</v>
      </c>
      <c r="B44">
        <v>6</v>
      </c>
      <c r="C44" t="s">
        <v>53</v>
      </c>
      <c r="D44">
        <v>2</v>
      </c>
      <c r="E44">
        <v>3</v>
      </c>
      <c r="F44">
        <v>2</v>
      </c>
      <c r="G44" t="s">
        <v>112</v>
      </c>
      <c r="H44" t="s">
        <v>55</v>
      </c>
      <c r="K44" t="s">
        <v>38</v>
      </c>
      <c r="L44">
        <v>3</v>
      </c>
      <c r="M44">
        <v>2</v>
      </c>
      <c r="N44">
        <v>1</v>
      </c>
      <c r="O44" t="s">
        <v>152</v>
      </c>
      <c r="P44" t="s">
        <v>40</v>
      </c>
      <c r="Q44" t="s">
        <v>41</v>
      </c>
      <c r="S44">
        <v>0</v>
      </c>
      <c r="T44">
        <v>12</v>
      </c>
    </row>
    <row r="45" spans="1:20" x14ac:dyDescent="0.25">
      <c r="A45" t="s">
        <v>1045</v>
      </c>
      <c r="B45">
        <v>7</v>
      </c>
      <c r="C45" t="s">
        <v>227</v>
      </c>
      <c r="D45">
        <v>3</v>
      </c>
      <c r="E45">
        <v>3</v>
      </c>
      <c r="F45">
        <v>3</v>
      </c>
      <c r="G45" t="s">
        <v>228</v>
      </c>
      <c r="H45" t="s">
        <v>233</v>
      </c>
      <c r="I45" t="s">
        <v>236</v>
      </c>
      <c r="J45" t="s">
        <v>239</v>
      </c>
      <c r="K45" t="s">
        <v>53</v>
      </c>
      <c r="L45">
        <v>3</v>
      </c>
      <c r="M45">
        <v>3</v>
      </c>
      <c r="N45">
        <v>2</v>
      </c>
      <c r="O45" t="s">
        <v>112</v>
      </c>
      <c r="P45" t="s">
        <v>83</v>
      </c>
      <c r="Q45" t="s">
        <v>97</v>
      </c>
      <c r="R45" t="s">
        <v>98</v>
      </c>
      <c r="S45">
        <v>0</v>
      </c>
      <c r="T45">
        <v>19</v>
      </c>
    </row>
    <row r="46" spans="1:20" x14ac:dyDescent="0.25">
      <c r="A46" t="s">
        <v>1046</v>
      </c>
      <c r="B46">
        <v>8</v>
      </c>
      <c r="C46" t="s">
        <v>48</v>
      </c>
      <c r="D46">
        <v>2</v>
      </c>
      <c r="F46">
        <v>2</v>
      </c>
      <c r="G46" t="s">
        <v>49</v>
      </c>
      <c r="H46" t="s">
        <v>84</v>
      </c>
      <c r="I46" t="s">
        <v>90</v>
      </c>
      <c r="J46" t="s">
        <v>128</v>
      </c>
      <c r="K46" t="s">
        <v>56</v>
      </c>
      <c r="L46">
        <v>3</v>
      </c>
      <c r="N46">
        <v>1</v>
      </c>
      <c r="O46" t="s">
        <v>120</v>
      </c>
      <c r="P46" t="s">
        <v>122</v>
      </c>
      <c r="Q46" t="s">
        <v>87</v>
      </c>
      <c r="S46">
        <v>0</v>
      </c>
      <c r="T46">
        <v>11</v>
      </c>
    </row>
    <row r="47" spans="1:20" x14ac:dyDescent="0.25">
      <c r="A47" t="s">
        <v>1047</v>
      </c>
      <c r="B47">
        <v>9</v>
      </c>
      <c r="C47" t="s">
        <v>56</v>
      </c>
      <c r="D47">
        <v>2</v>
      </c>
      <c r="F47">
        <v>1</v>
      </c>
      <c r="G47" t="s">
        <v>120</v>
      </c>
      <c r="H47" t="s">
        <v>122</v>
      </c>
      <c r="I47" t="s">
        <v>87</v>
      </c>
      <c r="K47" t="s">
        <v>33</v>
      </c>
      <c r="L47">
        <v>2</v>
      </c>
      <c r="N47">
        <v>3</v>
      </c>
      <c r="O47" t="s">
        <v>34</v>
      </c>
      <c r="S47">
        <v>0</v>
      </c>
      <c r="T47">
        <v>8</v>
      </c>
    </row>
    <row r="48" spans="1:20" x14ac:dyDescent="0.25">
      <c r="A48" t="s">
        <v>1048</v>
      </c>
      <c r="B48">
        <v>10</v>
      </c>
      <c r="C48" t="s">
        <v>56</v>
      </c>
      <c r="D48">
        <v>2</v>
      </c>
      <c r="F48">
        <v>1</v>
      </c>
      <c r="G48" t="s">
        <v>120</v>
      </c>
      <c r="H48" t="s">
        <v>122</v>
      </c>
      <c r="K48" t="s">
        <v>43</v>
      </c>
      <c r="L48">
        <v>2</v>
      </c>
      <c r="N48">
        <v>1</v>
      </c>
      <c r="O48" t="s">
        <v>135</v>
      </c>
      <c r="P48" t="s">
        <v>74</v>
      </c>
      <c r="S48">
        <v>0</v>
      </c>
      <c r="T48">
        <v>6</v>
      </c>
    </row>
    <row r="49" spans="1:20" x14ac:dyDescent="0.25">
      <c r="A49" t="s">
        <v>1049</v>
      </c>
      <c r="B49">
        <v>11</v>
      </c>
      <c r="C49" t="s">
        <v>56</v>
      </c>
      <c r="D49">
        <v>2</v>
      </c>
      <c r="F49">
        <v>1</v>
      </c>
      <c r="G49" t="s">
        <v>120</v>
      </c>
      <c r="H49" t="s">
        <v>122</v>
      </c>
      <c r="K49" t="s">
        <v>45</v>
      </c>
      <c r="L49">
        <v>3</v>
      </c>
      <c r="N49">
        <v>1</v>
      </c>
      <c r="O49" t="s">
        <v>140</v>
      </c>
      <c r="S49">
        <v>0</v>
      </c>
      <c r="T49">
        <v>6</v>
      </c>
    </row>
    <row r="50" spans="1:20" x14ac:dyDescent="0.25">
      <c r="A50" t="s">
        <v>1050</v>
      </c>
      <c r="B50">
        <v>12</v>
      </c>
      <c r="C50" t="s">
        <v>56</v>
      </c>
      <c r="D50">
        <v>3</v>
      </c>
      <c r="F50">
        <v>2</v>
      </c>
      <c r="G50" t="s">
        <v>57</v>
      </c>
      <c r="H50" t="s">
        <v>122</v>
      </c>
      <c r="K50" t="s">
        <v>63</v>
      </c>
      <c r="L50">
        <v>1</v>
      </c>
      <c r="N50">
        <v>2</v>
      </c>
      <c r="O50" t="s">
        <v>103</v>
      </c>
      <c r="P50" t="s">
        <v>146</v>
      </c>
      <c r="Q50" t="s">
        <v>104</v>
      </c>
      <c r="S50">
        <v>0</v>
      </c>
      <c r="T50">
        <v>9</v>
      </c>
    </row>
    <row r="51" spans="1:20" x14ac:dyDescent="0.25">
      <c r="A51" t="s">
        <v>1051</v>
      </c>
      <c r="B51">
        <v>13</v>
      </c>
      <c r="C51" t="s">
        <v>38</v>
      </c>
      <c r="D51">
        <v>1</v>
      </c>
      <c r="E51">
        <v>1</v>
      </c>
      <c r="F51">
        <v>2</v>
      </c>
      <c r="G51" t="s">
        <v>39</v>
      </c>
      <c r="H51" t="s">
        <v>96</v>
      </c>
      <c r="I51" t="s">
        <v>154</v>
      </c>
      <c r="J51" t="s">
        <v>155</v>
      </c>
      <c r="K51" t="s">
        <v>56</v>
      </c>
      <c r="L51">
        <v>2</v>
      </c>
      <c r="N51">
        <v>1</v>
      </c>
      <c r="O51" t="s">
        <v>57</v>
      </c>
      <c r="P51" t="s">
        <v>122</v>
      </c>
      <c r="Q51" t="s">
        <v>85</v>
      </c>
      <c r="S51">
        <v>0</v>
      </c>
      <c r="T51">
        <v>9</v>
      </c>
    </row>
    <row r="52" spans="1:20" x14ac:dyDescent="0.25">
      <c r="A52" t="s">
        <v>1052</v>
      </c>
      <c r="B52">
        <v>14</v>
      </c>
      <c r="C52" t="s">
        <v>56</v>
      </c>
      <c r="D52">
        <v>3</v>
      </c>
      <c r="F52">
        <v>1</v>
      </c>
      <c r="G52" t="s">
        <v>57</v>
      </c>
      <c r="H52" t="s">
        <v>122</v>
      </c>
      <c r="K52" t="s">
        <v>227</v>
      </c>
      <c r="L52">
        <v>2</v>
      </c>
      <c r="M52">
        <v>1</v>
      </c>
      <c r="N52">
        <v>3</v>
      </c>
      <c r="O52" t="s">
        <v>228</v>
      </c>
      <c r="S52">
        <v>0</v>
      </c>
      <c r="T52">
        <v>8</v>
      </c>
    </row>
    <row r="53" spans="1:20" x14ac:dyDescent="0.25">
      <c r="A53" t="s">
        <v>1053</v>
      </c>
      <c r="B53">
        <v>15</v>
      </c>
      <c r="C53" t="s">
        <v>48</v>
      </c>
      <c r="D53">
        <v>2</v>
      </c>
      <c r="F53">
        <v>1</v>
      </c>
      <c r="G53" t="s">
        <v>89</v>
      </c>
      <c r="H53" t="s">
        <v>71</v>
      </c>
      <c r="K53" t="s">
        <v>33</v>
      </c>
      <c r="L53">
        <v>3</v>
      </c>
      <c r="N53">
        <v>1</v>
      </c>
      <c r="O53" t="s">
        <v>34</v>
      </c>
      <c r="S53">
        <v>0</v>
      </c>
      <c r="T53">
        <v>6</v>
      </c>
    </row>
    <row r="54" spans="1:20" x14ac:dyDescent="0.25">
      <c r="A54" t="s">
        <v>1054</v>
      </c>
      <c r="B54">
        <v>16</v>
      </c>
      <c r="C54" t="s">
        <v>48</v>
      </c>
      <c r="D54">
        <v>3</v>
      </c>
      <c r="F54">
        <v>3</v>
      </c>
      <c r="G54" t="s">
        <v>126</v>
      </c>
      <c r="H54" t="s">
        <v>84</v>
      </c>
      <c r="I54" t="s">
        <v>90</v>
      </c>
      <c r="J54" t="s">
        <v>128</v>
      </c>
      <c r="K54" t="s">
        <v>43</v>
      </c>
      <c r="L54">
        <v>3</v>
      </c>
      <c r="N54">
        <v>3</v>
      </c>
      <c r="O54" t="s">
        <v>135</v>
      </c>
      <c r="P54" t="s">
        <v>74</v>
      </c>
      <c r="Q54" t="s">
        <v>137</v>
      </c>
      <c r="R54" t="s">
        <v>139</v>
      </c>
      <c r="S54">
        <v>0</v>
      </c>
      <c r="T54">
        <v>20</v>
      </c>
    </row>
    <row r="55" spans="1:20" x14ac:dyDescent="0.25">
      <c r="A55" t="s">
        <v>1055</v>
      </c>
      <c r="B55">
        <v>17</v>
      </c>
      <c r="C55" t="s">
        <v>48</v>
      </c>
      <c r="D55">
        <v>3</v>
      </c>
      <c r="F55">
        <v>3</v>
      </c>
      <c r="G55" t="s">
        <v>126</v>
      </c>
      <c r="H55" t="s">
        <v>84</v>
      </c>
      <c r="I55" t="s">
        <v>90</v>
      </c>
      <c r="J55" t="s">
        <v>128</v>
      </c>
      <c r="K55" t="s">
        <v>45</v>
      </c>
      <c r="L55">
        <v>3</v>
      </c>
      <c r="N55">
        <v>3</v>
      </c>
      <c r="O55" t="s">
        <v>86</v>
      </c>
      <c r="P55" t="s">
        <v>141</v>
      </c>
      <c r="Q55" t="s">
        <v>93</v>
      </c>
      <c r="R55" t="s">
        <v>144</v>
      </c>
      <c r="S55">
        <v>0</v>
      </c>
      <c r="T55">
        <v>20</v>
      </c>
    </row>
    <row r="56" spans="1:20" x14ac:dyDescent="0.25">
      <c r="A56" t="s">
        <v>1056</v>
      </c>
      <c r="B56">
        <v>18</v>
      </c>
      <c r="C56" t="s">
        <v>48</v>
      </c>
      <c r="D56">
        <v>2</v>
      </c>
      <c r="F56">
        <v>3</v>
      </c>
      <c r="G56" t="s">
        <v>49</v>
      </c>
      <c r="H56" t="s">
        <v>71</v>
      </c>
      <c r="I56" t="s">
        <v>127</v>
      </c>
      <c r="J56" t="s">
        <v>52</v>
      </c>
      <c r="K56" t="s">
        <v>63</v>
      </c>
      <c r="L56">
        <v>3</v>
      </c>
      <c r="N56">
        <v>1</v>
      </c>
      <c r="O56" t="s">
        <v>145</v>
      </c>
      <c r="P56" t="s">
        <v>91</v>
      </c>
      <c r="Q56" t="s">
        <v>148</v>
      </c>
      <c r="R56" t="s">
        <v>151</v>
      </c>
      <c r="S56">
        <v>0</v>
      </c>
      <c r="T56">
        <v>13</v>
      </c>
    </row>
    <row r="57" spans="1:20" x14ac:dyDescent="0.25">
      <c r="A57" t="s">
        <v>1057</v>
      </c>
      <c r="B57">
        <v>19</v>
      </c>
      <c r="C57" t="s">
        <v>48</v>
      </c>
      <c r="D57">
        <v>1</v>
      </c>
      <c r="F57">
        <v>1</v>
      </c>
      <c r="G57" t="s">
        <v>49</v>
      </c>
      <c r="H57" t="s">
        <v>71</v>
      </c>
      <c r="I57" t="s">
        <v>127</v>
      </c>
      <c r="J57" t="s">
        <v>128</v>
      </c>
      <c r="K57" t="s">
        <v>38</v>
      </c>
      <c r="L57">
        <v>1</v>
      </c>
      <c r="M57">
        <v>1</v>
      </c>
      <c r="N57">
        <v>2</v>
      </c>
      <c r="O57" t="s">
        <v>39</v>
      </c>
      <c r="P57" t="s">
        <v>40</v>
      </c>
      <c r="Q57" t="s">
        <v>153</v>
      </c>
      <c r="S57">
        <v>0</v>
      </c>
      <c r="T57">
        <v>8</v>
      </c>
    </row>
    <row r="58" spans="1:20" x14ac:dyDescent="0.25">
      <c r="A58" t="s">
        <v>1058</v>
      </c>
      <c r="B58">
        <v>20</v>
      </c>
      <c r="C58" t="s">
        <v>48</v>
      </c>
      <c r="D58">
        <v>3</v>
      </c>
      <c r="F58">
        <v>1</v>
      </c>
      <c r="G58" t="s">
        <v>89</v>
      </c>
      <c r="H58" t="s">
        <v>71</v>
      </c>
      <c r="I58" t="s">
        <v>51</v>
      </c>
      <c r="K58" t="s">
        <v>227</v>
      </c>
      <c r="L58">
        <v>1</v>
      </c>
      <c r="M58">
        <v>1</v>
      </c>
      <c r="N58">
        <v>3</v>
      </c>
      <c r="O58" t="s">
        <v>229</v>
      </c>
      <c r="P58" t="s">
        <v>231</v>
      </c>
      <c r="Q58" t="s">
        <v>235</v>
      </c>
      <c r="S58">
        <v>0</v>
      </c>
      <c r="T58">
        <v>12</v>
      </c>
    </row>
    <row r="59" spans="1:20" x14ac:dyDescent="0.25">
      <c r="A59" t="s">
        <v>1059</v>
      </c>
      <c r="B59">
        <v>21</v>
      </c>
      <c r="C59" t="s">
        <v>43</v>
      </c>
      <c r="D59">
        <v>3</v>
      </c>
      <c r="F59">
        <v>1</v>
      </c>
      <c r="G59" t="s">
        <v>135</v>
      </c>
      <c r="K59" t="s">
        <v>33</v>
      </c>
      <c r="L59">
        <v>2</v>
      </c>
      <c r="N59">
        <v>2</v>
      </c>
      <c r="O59" t="s">
        <v>34</v>
      </c>
      <c r="S59">
        <v>0</v>
      </c>
      <c r="T59">
        <v>6</v>
      </c>
    </row>
    <row r="60" spans="1:20" x14ac:dyDescent="0.25">
      <c r="A60" t="s">
        <v>1060</v>
      </c>
      <c r="B60">
        <v>22</v>
      </c>
      <c r="C60" t="s">
        <v>45</v>
      </c>
      <c r="D60">
        <v>3</v>
      </c>
      <c r="F60">
        <v>1</v>
      </c>
      <c r="G60" t="s">
        <v>140</v>
      </c>
      <c r="H60" t="s">
        <v>92</v>
      </c>
      <c r="K60" t="s">
        <v>33</v>
      </c>
      <c r="L60">
        <v>2</v>
      </c>
      <c r="N60">
        <v>3</v>
      </c>
      <c r="O60" t="s">
        <v>34</v>
      </c>
      <c r="S60">
        <v>0</v>
      </c>
      <c r="T60">
        <v>8</v>
      </c>
    </row>
    <row r="61" spans="1:20" x14ac:dyDescent="0.25">
      <c r="A61" t="s">
        <v>1061</v>
      </c>
      <c r="B61">
        <v>23</v>
      </c>
      <c r="C61" t="s">
        <v>33</v>
      </c>
      <c r="D61">
        <v>1</v>
      </c>
      <c r="F61">
        <v>3</v>
      </c>
      <c r="G61" t="s">
        <v>34</v>
      </c>
      <c r="H61" t="s">
        <v>35</v>
      </c>
      <c r="K61" t="s">
        <v>63</v>
      </c>
      <c r="L61">
        <v>3</v>
      </c>
      <c r="N61">
        <v>1</v>
      </c>
      <c r="O61" t="s">
        <v>72</v>
      </c>
      <c r="S61">
        <v>0</v>
      </c>
      <c r="T61">
        <v>7</v>
      </c>
    </row>
    <row r="62" spans="1:20" x14ac:dyDescent="0.25">
      <c r="A62" t="s">
        <v>1062</v>
      </c>
      <c r="B62">
        <v>24</v>
      </c>
      <c r="C62" t="s">
        <v>33</v>
      </c>
      <c r="D62">
        <v>1</v>
      </c>
      <c r="F62">
        <v>2</v>
      </c>
      <c r="G62" t="s">
        <v>65</v>
      </c>
      <c r="H62" t="s">
        <v>66</v>
      </c>
      <c r="K62" t="s">
        <v>38</v>
      </c>
      <c r="L62">
        <v>1</v>
      </c>
      <c r="M62">
        <v>1</v>
      </c>
      <c r="N62">
        <v>2</v>
      </c>
      <c r="O62" t="s">
        <v>39</v>
      </c>
      <c r="P62" t="s">
        <v>96</v>
      </c>
      <c r="S62">
        <v>0</v>
      </c>
      <c r="T62">
        <v>6</v>
      </c>
    </row>
    <row r="63" spans="1:20" x14ac:dyDescent="0.25">
      <c r="A63" t="s">
        <v>1063</v>
      </c>
      <c r="B63">
        <v>25</v>
      </c>
      <c r="C63" t="s">
        <v>227</v>
      </c>
      <c r="D63">
        <v>2</v>
      </c>
      <c r="E63">
        <v>1</v>
      </c>
      <c r="F63">
        <v>1</v>
      </c>
      <c r="G63" t="s">
        <v>228</v>
      </c>
      <c r="H63" t="s">
        <v>231</v>
      </c>
      <c r="K63" t="s">
        <v>33</v>
      </c>
      <c r="L63">
        <v>2</v>
      </c>
      <c r="N63">
        <v>2</v>
      </c>
      <c r="O63" t="s">
        <v>34</v>
      </c>
      <c r="S63">
        <v>0</v>
      </c>
      <c r="T63">
        <v>6</v>
      </c>
    </row>
    <row r="64" spans="1:20" x14ac:dyDescent="0.25">
      <c r="A64" t="s">
        <v>1064</v>
      </c>
      <c r="B64">
        <v>26</v>
      </c>
      <c r="C64" t="s">
        <v>45</v>
      </c>
      <c r="D64">
        <v>3</v>
      </c>
      <c r="F64">
        <v>1</v>
      </c>
      <c r="G64" t="s">
        <v>140</v>
      </c>
      <c r="K64" t="s">
        <v>43</v>
      </c>
      <c r="L64">
        <v>2</v>
      </c>
      <c r="N64">
        <v>1</v>
      </c>
      <c r="O64" t="s">
        <v>135</v>
      </c>
      <c r="P64" t="s">
        <v>136</v>
      </c>
      <c r="S64">
        <v>0</v>
      </c>
      <c r="T64">
        <v>7</v>
      </c>
    </row>
    <row r="65" spans="1:20" x14ac:dyDescent="0.25">
      <c r="A65" t="s">
        <v>1065</v>
      </c>
      <c r="B65">
        <v>27</v>
      </c>
      <c r="C65" t="s">
        <v>43</v>
      </c>
      <c r="D65">
        <v>3</v>
      </c>
      <c r="F65">
        <v>1</v>
      </c>
      <c r="G65" t="s">
        <v>135</v>
      </c>
      <c r="H65" t="s">
        <v>99</v>
      </c>
      <c r="I65" t="s">
        <v>137</v>
      </c>
      <c r="K65" t="s">
        <v>63</v>
      </c>
      <c r="L65">
        <v>1</v>
      </c>
      <c r="N65">
        <v>2</v>
      </c>
      <c r="O65" t="s">
        <v>145</v>
      </c>
      <c r="P65" t="s">
        <v>146</v>
      </c>
      <c r="Q65" t="s">
        <v>148</v>
      </c>
      <c r="S65">
        <v>0</v>
      </c>
      <c r="T65">
        <v>11</v>
      </c>
    </row>
    <row r="66" spans="1:20" x14ac:dyDescent="0.25">
      <c r="A66" t="s">
        <v>1066</v>
      </c>
      <c r="B66">
        <v>28</v>
      </c>
      <c r="C66" t="s">
        <v>38</v>
      </c>
      <c r="D66">
        <v>1</v>
      </c>
      <c r="E66">
        <v>1</v>
      </c>
      <c r="F66">
        <v>2</v>
      </c>
      <c r="G66" t="s">
        <v>39</v>
      </c>
      <c r="H66" t="s">
        <v>70</v>
      </c>
      <c r="I66" t="s">
        <v>41</v>
      </c>
      <c r="K66" t="s">
        <v>43</v>
      </c>
      <c r="L66">
        <v>2</v>
      </c>
      <c r="N66">
        <v>1</v>
      </c>
      <c r="O66" t="s">
        <v>135</v>
      </c>
      <c r="P66" t="s">
        <v>74</v>
      </c>
      <c r="S66">
        <v>0</v>
      </c>
      <c r="T66">
        <v>7</v>
      </c>
    </row>
    <row r="67" spans="1:20" x14ac:dyDescent="0.25">
      <c r="A67" t="s">
        <v>1067</v>
      </c>
      <c r="B67">
        <v>29</v>
      </c>
      <c r="C67" t="s">
        <v>43</v>
      </c>
      <c r="D67">
        <v>3</v>
      </c>
      <c r="F67">
        <v>1</v>
      </c>
      <c r="G67" t="s">
        <v>135</v>
      </c>
      <c r="H67" t="s">
        <v>136</v>
      </c>
      <c r="I67" t="s">
        <v>137</v>
      </c>
      <c r="K67" t="s">
        <v>227</v>
      </c>
      <c r="L67">
        <v>1</v>
      </c>
      <c r="M67">
        <v>2</v>
      </c>
      <c r="N67">
        <v>3</v>
      </c>
      <c r="O67" t="s">
        <v>229</v>
      </c>
      <c r="P67" t="s">
        <v>231</v>
      </c>
      <c r="S67">
        <v>0</v>
      </c>
      <c r="T67">
        <v>10</v>
      </c>
    </row>
    <row r="68" spans="1:20" x14ac:dyDescent="0.25">
      <c r="A68" t="s">
        <v>1068</v>
      </c>
      <c r="B68">
        <v>30</v>
      </c>
      <c r="C68" t="s">
        <v>63</v>
      </c>
      <c r="D68">
        <v>1</v>
      </c>
      <c r="F68">
        <v>3</v>
      </c>
      <c r="G68" t="s">
        <v>145</v>
      </c>
      <c r="H68" t="s">
        <v>146</v>
      </c>
      <c r="I68" t="s">
        <v>104</v>
      </c>
      <c r="K68" t="s">
        <v>45</v>
      </c>
      <c r="L68">
        <v>3</v>
      </c>
      <c r="N68">
        <v>1</v>
      </c>
      <c r="O68" t="s">
        <v>86</v>
      </c>
      <c r="P68" t="s">
        <v>141</v>
      </c>
      <c r="Q68" t="s">
        <v>93</v>
      </c>
      <c r="R68" t="s">
        <v>143</v>
      </c>
      <c r="S68">
        <v>0</v>
      </c>
      <c r="T68">
        <v>12</v>
      </c>
    </row>
    <row r="69" spans="1:20" x14ac:dyDescent="0.25">
      <c r="A69" t="s">
        <v>1069</v>
      </c>
      <c r="B69">
        <v>31</v>
      </c>
      <c r="C69" t="s">
        <v>38</v>
      </c>
      <c r="D69">
        <v>1</v>
      </c>
      <c r="E69">
        <v>1</v>
      </c>
      <c r="F69">
        <v>2</v>
      </c>
      <c r="G69" t="s">
        <v>39</v>
      </c>
      <c r="H69" t="s">
        <v>96</v>
      </c>
      <c r="I69" t="s">
        <v>153</v>
      </c>
      <c r="K69" t="s">
        <v>45</v>
      </c>
      <c r="L69">
        <v>3</v>
      </c>
      <c r="N69">
        <v>1</v>
      </c>
      <c r="O69" t="s">
        <v>86</v>
      </c>
      <c r="P69" t="s">
        <v>76</v>
      </c>
      <c r="S69">
        <v>0</v>
      </c>
      <c r="T69">
        <v>9</v>
      </c>
    </row>
    <row r="70" spans="1:20" x14ac:dyDescent="0.25">
      <c r="A70" t="s">
        <v>1070</v>
      </c>
      <c r="B70">
        <v>32</v>
      </c>
      <c r="C70" t="s">
        <v>227</v>
      </c>
      <c r="D70">
        <v>1</v>
      </c>
      <c r="E70">
        <v>1</v>
      </c>
      <c r="F70">
        <v>3</v>
      </c>
      <c r="G70" t="s">
        <v>229</v>
      </c>
      <c r="H70" t="s">
        <v>231</v>
      </c>
      <c r="I70" t="s">
        <v>234</v>
      </c>
      <c r="K70" t="s">
        <v>45</v>
      </c>
      <c r="L70">
        <v>3</v>
      </c>
      <c r="N70">
        <v>1</v>
      </c>
      <c r="O70" t="s">
        <v>86</v>
      </c>
      <c r="P70" t="s">
        <v>141</v>
      </c>
      <c r="S70">
        <v>0</v>
      </c>
      <c r="T70">
        <v>9</v>
      </c>
    </row>
    <row r="71" spans="1:20" x14ac:dyDescent="0.25">
      <c r="A71" t="s">
        <v>1071</v>
      </c>
      <c r="B71">
        <v>33</v>
      </c>
      <c r="C71" t="s">
        <v>63</v>
      </c>
      <c r="D71">
        <v>3</v>
      </c>
      <c r="F71">
        <v>1</v>
      </c>
      <c r="G71" t="s">
        <v>103</v>
      </c>
      <c r="H71" t="s">
        <v>91</v>
      </c>
      <c r="I71" t="s">
        <v>147</v>
      </c>
      <c r="J71" t="s">
        <v>151</v>
      </c>
      <c r="K71" t="s">
        <v>38</v>
      </c>
      <c r="L71">
        <v>2</v>
      </c>
      <c r="M71">
        <v>1</v>
      </c>
      <c r="N71">
        <v>3</v>
      </c>
      <c r="O71" t="s">
        <v>39</v>
      </c>
      <c r="P71" t="s">
        <v>96</v>
      </c>
      <c r="Q71" t="s">
        <v>154</v>
      </c>
      <c r="R71" t="s">
        <v>42</v>
      </c>
      <c r="S71">
        <v>0</v>
      </c>
      <c r="T71">
        <v>14</v>
      </c>
    </row>
    <row r="72" spans="1:20" x14ac:dyDescent="0.25">
      <c r="A72" t="s">
        <v>1072</v>
      </c>
      <c r="B72">
        <v>34</v>
      </c>
      <c r="C72" t="s">
        <v>63</v>
      </c>
      <c r="D72">
        <v>3</v>
      </c>
      <c r="F72">
        <v>2</v>
      </c>
      <c r="G72" t="s">
        <v>72</v>
      </c>
      <c r="H72" t="s">
        <v>95</v>
      </c>
      <c r="I72" t="s">
        <v>148</v>
      </c>
      <c r="J72" t="s">
        <v>151</v>
      </c>
      <c r="K72" t="s">
        <v>227</v>
      </c>
      <c r="L72">
        <v>3</v>
      </c>
      <c r="M72">
        <v>2</v>
      </c>
      <c r="N72">
        <v>3</v>
      </c>
      <c r="O72" t="s">
        <v>229</v>
      </c>
      <c r="P72" t="s">
        <v>233</v>
      </c>
      <c r="Q72" t="s">
        <v>235</v>
      </c>
      <c r="R72" t="s">
        <v>238</v>
      </c>
      <c r="S72">
        <v>0</v>
      </c>
      <c r="T72">
        <v>18</v>
      </c>
    </row>
    <row r="73" spans="1:20" x14ac:dyDescent="0.25">
      <c r="A73" t="s">
        <v>1073</v>
      </c>
      <c r="B73">
        <v>35</v>
      </c>
      <c r="C73" t="s">
        <v>38</v>
      </c>
      <c r="D73">
        <v>3</v>
      </c>
      <c r="E73">
        <v>1</v>
      </c>
      <c r="F73">
        <v>2</v>
      </c>
      <c r="G73" t="s">
        <v>39</v>
      </c>
      <c r="H73" t="s">
        <v>96</v>
      </c>
      <c r="I73" t="s">
        <v>41</v>
      </c>
      <c r="J73" t="s">
        <v>155</v>
      </c>
      <c r="K73" t="s">
        <v>227</v>
      </c>
      <c r="L73">
        <v>3</v>
      </c>
      <c r="M73">
        <v>1</v>
      </c>
      <c r="N73">
        <v>3</v>
      </c>
      <c r="O73" t="s">
        <v>229</v>
      </c>
      <c r="P73" t="s">
        <v>231</v>
      </c>
      <c r="Q73" t="s">
        <v>235</v>
      </c>
      <c r="S73">
        <v>0</v>
      </c>
      <c r="T73">
        <v>15</v>
      </c>
    </row>
  </sheetData>
  <phoneticPr fontId="3" type="noConversion"/>
  <conditionalFormatting sqref="B1:B1048576">
    <cfRule type="duplicateValues" dxfId="9" priority="2"/>
  </conditionalFormatting>
  <conditionalFormatting sqref="A2:B73">
    <cfRule type="duplicateValues" dxfId="8" priority="3566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A306-7E48-4B10-A381-3B183DC81E23}">
  <dimension ref="A1:M38"/>
  <sheetViews>
    <sheetView workbookViewId="0">
      <selection activeCell="J17" sqref="J17"/>
    </sheetView>
  </sheetViews>
  <sheetFormatPr defaultRowHeight="15" x14ac:dyDescent="0.25"/>
  <cols>
    <col min="1" max="1" width="11.42578125" bestFit="1" customWidth="1"/>
    <col min="2" max="2" width="13.5703125" customWidth="1"/>
    <col min="3" max="3" width="11.42578125" bestFit="1" customWidth="1"/>
    <col min="4" max="4" width="13.5703125" bestFit="1" customWidth="1"/>
    <col min="5" max="5" width="9.42578125" bestFit="1" customWidth="1"/>
    <col min="7" max="7" width="11.42578125" bestFit="1" customWidth="1"/>
    <col min="8" max="8" width="9.42578125" bestFit="1" customWidth="1"/>
    <col min="9" max="9" width="7.42578125" bestFit="1" customWidth="1"/>
    <col min="10" max="10" width="10.85546875" bestFit="1" customWidth="1"/>
    <col min="12" max="12" width="25.140625" bestFit="1" customWidth="1"/>
    <col min="13" max="13" width="4.5703125" bestFit="1" customWidth="1"/>
    <col min="15" max="15" width="9.28515625" bestFit="1" customWidth="1"/>
  </cols>
  <sheetData>
    <row r="1" spans="1:13" ht="15.75" thickBot="1" x14ac:dyDescent="0.3">
      <c r="A1" s="36" t="s">
        <v>78</v>
      </c>
      <c r="B1" s="37"/>
      <c r="C1" s="37"/>
      <c r="D1" s="37"/>
      <c r="E1" s="38"/>
      <c r="G1" s="36" t="s">
        <v>82</v>
      </c>
      <c r="H1" s="37"/>
      <c r="I1" s="37"/>
      <c r="J1" s="38"/>
      <c r="L1" s="4" t="s">
        <v>157</v>
      </c>
      <c r="M1" s="30">
        <f>MIN(Scenario2[crystals])</f>
        <v>0</v>
      </c>
    </row>
    <row r="2" spans="1:13" ht="15.75" thickBot="1" x14ac:dyDescent="0.3">
      <c r="A2" t="s">
        <v>59</v>
      </c>
      <c r="B2" t="s">
        <v>81</v>
      </c>
      <c r="C2" t="s">
        <v>60</v>
      </c>
      <c r="D2" t="s">
        <v>77</v>
      </c>
      <c r="E2" t="s">
        <v>58</v>
      </c>
      <c r="G2" t="s">
        <v>106</v>
      </c>
      <c r="H2" t="s">
        <v>58</v>
      </c>
      <c r="I2" t="s">
        <v>79</v>
      </c>
      <c r="J2" t="s">
        <v>80</v>
      </c>
      <c r="L2" s="4" t="s">
        <v>107</v>
      </c>
      <c r="M2" s="30">
        <f>AVERAGE(Scenario2[crystals])</f>
        <v>0</v>
      </c>
    </row>
    <row r="3" spans="1:13" ht="15.75" thickBot="1" x14ac:dyDescent="0.3">
      <c r="A3" t="s">
        <v>53</v>
      </c>
      <c r="B3">
        <f>COUNTIFS(Scenario2[winner1],ScenarioStat2[[#This Row],[hero-1]],Scenario2[loser1],ScenarioStat2[[#This Row],[hero-2]])</f>
        <v>1</v>
      </c>
      <c r="C3" t="s">
        <v>56</v>
      </c>
      <c r="D3">
        <f>COUNTIFS(Scenario2[winner1],ScenarioStat2[[#This Row],[hero-2]],Scenario2[loser1],ScenarioStat2[[#This Row],[hero-1]])</f>
        <v>1</v>
      </c>
      <c r="E3">
        <f>ScenarioStat2[[#This Row],[team-1-win]]+ScenarioStat2[[#This Row],[team-2-win]]</f>
        <v>2</v>
      </c>
      <c r="G3" t="s">
        <v>53</v>
      </c>
      <c r="H3">
        <f>SUMIFS(ScenarioStat2[battles],ScenarioStat2[hero-1],ScenarioTeams2[[#This Row],[hero]])+SUMIFS(ScenarioStat2[battles],ScenarioStat2[hero-2],ScenarioTeams2[[#This Row],[hero]])</f>
        <v>16</v>
      </c>
      <c r="I3">
        <f>SUMIFS(ScenarioStat2[team-1-win],ScenarioStat2[hero-1],ScenarioTeams2[[#This Row],[hero]])+SUMIFS(ScenarioStat2[team-2-win],ScenarioStat2[hero-2],ScenarioTeams2[[#This Row],[hero]])</f>
        <v>12</v>
      </c>
      <c r="J3" s="3">
        <f>IF(ScenarioTeams2[[#This Row],[battles]],ScenarioTeams2[[#This Row],[wins]]/ScenarioTeams2[[#This Row],[battles]],0)</f>
        <v>0.75</v>
      </c>
      <c r="K3" s="3"/>
      <c r="L3" s="4" t="s">
        <v>159</v>
      </c>
      <c r="M3" s="30">
        <f>MAX(Scenario2[crystals])</f>
        <v>0</v>
      </c>
    </row>
    <row r="4" spans="1:13" ht="15.75" thickBot="1" x14ac:dyDescent="0.3">
      <c r="A4" t="s">
        <v>53</v>
      </c>
      <c r="B4">
        <f>COUNTIFS(Scenario2[winner1],ScenarioStat2[[#This Row],[hero-1]],Scenario2[loser1],ScenarioStat2[[#This Row],[hero-2]])</f>
        <v>2</v>
      </c>
      <c r="C4" t="s">
        <v>48</v>
      </c>
      <c r="D4">
        <f>COUNTIFS(Scenario2[winner1],ScenarioStat2[[#This Row],[hero-2]],Scenario2[loser1],ScenarioStat2[[#This Row],[hero-1]])</f>
        <v>0</v>
      </c>
      <c r="E4">
        <f>ScenarioStat2[[#This Row],[team-1-win]]+ScenarioStat2[[#This Row],[team-2-win]]</f>
        <v>2</v>
      </c>
      <c r="G4" t="s">
        <v>56</v>
      </c>
      <c r="H4">
        <f>SUMIFS(ScenarioStat2[battles],ScenarioStat2[hero-1],ScenarioTeams2[[#This Row],[hero]])+SUMIFS(ScenarioStat2[battles],ScenarioStat2[hero-2],ScenarioTeams2[[#This Row],[hero]])</f>
        <v>16</v>
      </c>
      <c r="I4">
        <f>SUMIFS(ScenarioStat2[team-1-win],ScenarioStat2[hero-1],ScenarioTeams2[[#This Row],[hero]])+SUMIFS(ScenarioStat2[team-2-win],ScenarioStat2[hero-2],ScenarioTeams2[[#This Row],[hero]])</f>
        <v>11</v>
      </c>
      <c r="J4" s="3">
        <f>IF(ScenarioTeams2[[#This Row],[battles]],ScenarioTeams2[[#This Row],[wins]]/ScenarioTeams2[[#This Row],[battles]],0)</f>
        <v>0.6875</v>
      </c>
      <c r="K4" s="3"/>
      <c r="M4" s="7"/>
    </row>
    <row r="5" spans="1:13" ht="15.75" thickBot="1" x14ac:dyDescent="0.3">
      <c r="A5" t="s">
        <v>53</v>
      </c>
      <c r="B5">
        <f>COUNTIFS(Scenario2[winner1],ScenarioStat2[[#This Row],[hero-1]],Scenario2[loser1],ScenarioStat2[[#This Row],[hero-2]])</f>
        <v>1</v>
      </c>
      <c r="C5" t="s">
        <v>33</v>
      </c>
      <c r="D5">
        <f>COUNTIFS(Scenario2[winner1],ScenarioStat2[[#This Row],[hero-2]],Scenario2[loser1],ScenarioStat2[[#This Row],[hero-1]])</f>
        <v>1</v>
      </c>
      <c r="E5">
        <f>ScenarioStat2[[#This Row],[team-1-win]]+ScenarioStat2[[#This Row],[team-2-win]]</f>
        <v>2</v>
      </c>
      <c r="G5" t="s">
        <v>48</v>
      </c>
      <c r="H5">
        <f>SUMIFS(ScenarioStat2[battles],ScenarioStat2[hero-1],ScenarioTeams2[[#This Row],[hero]])+SUMIFS(ScenarioStat2[battles],ScenarioStat2[hero-2],ScenarioTeams2[[#This Row],[hero]])</f>
        <v>16</v>
      </c>
      <c r="I5">
        <f>SUMIFS(ScenarioStat2[team-1-win],ScenarioStat2[hero-1],ScenarioTeams2[[#This Row],[hero]])+SUMIFS(ScenarioStat2[team-2-win],ScenarioStat2[hero-2],ScenarioTeams2[[#This Row],[hero]])</f>
        <v>12</v>
      </c>
      <c r="J5" s="3">
        <f>IF(ScenarioTeams2[[#This Row],[battles]],ScenarioTeams2[[#This Row],[wins]]/ScenarioTeams2[[#This Row],[battles]],0)</f>
        <v>0.75</v>
      </c>
      <c r="K5" s="3"/>
      <c r="L5" s="4" t="s">
        <v>158</v>
      </c>
      <c r="M5" s="30">
        <f>MIN(Scenario2[turns])</f>
        <v>6</v>
      </c>
    </row>
    <row r="6" spans="1:13" ht="15.75" thickBot="1" x14ac:dyDescent="0.3">
      <c r="A6" t="s">
        <v>53</v>
      </c>
      <c r="B6">
        <f>COUNTIFS(Scenario2[winner1],ScenarioStat2[[#This Row],[hero-1]],Scenario2[loser1],ScenarioStat2[[#This Row],[hero-2]])</f>
        <v>2</v>
      </c>
      <c r="C6" t="s">
        <v>43</v>
      </c>
      <c r="D6">
        <f>COUNTIFS(Scenario2[winner1],ScenarioStat2[[#This Row],[hero-2]],Scenario2[loser1],ScenarioStat2[[#This Row],[hero-1]])</f>
        <v>0</v>
      </c>
      <c r="E6">
        <f>ScenarioStat2[[#This Row],[team-1-win]]+ScenarioStat2[[#This Row],[team-2-win]]</f>
        <v>2</v>
      </c>
      <c r="G6" t="s">
        <v>33</v>
      </c>
      <c r="H6">
        <f>SUMIFS(ScenarioStat2[battles],ScenarioStat2[hero-1],ScenarioTeams2[[#This Row],[hero]])+SUMIFS(ScenarioStat2[battles],ScenarioStat2[hero-2],ScenarioTeams2[[#This Row],[hero]])</f>
        <v>16</v>
      </c>
      <c r="I6">
        <f>SUMIFS(ScenarioStat2[team-1-win],ScenarioStat2[hero-1],ScenarioTeams2[[#This Row],[hero]])+SUMIFS(ScenarioStat2[team-2-win],ScenarioStat2[hero-2],ScenarioTeams2[[#This Row],[hero]])</f>
        <v>5</v>
      </c>
      <c r="J6" s="3">
        <f>IF(ScenarioTeams2[[#This Row],[battles]],ScenarioTeams2[[#This Row],[wins]]/ScenarioTeams2[[#This Row],[battles]],0)</f>
        <v>0.3125</v>
      </c>
      <c r="K6" s="3"/>
      <c r="L6" s="5" t="s">
        <v>108</v>
      </c>
      <c r="M6" s="31">
        <f>AVERAGE(Scenario2[turns])</f>
        <v>12.694444444444445</v>
      </c>
    </row>
    <row r="7" spans="1:13" ht="15.75" thickBot="1" x14ac:dyDescent="0.3">
      <c r="A7" t="s">
        <v>53</v>
      </c>
      <c r="B7">
        <f>COUNTIFS(Scenario2[winner1],ScenarioStat2[[#This Row],[hero-1]],Scenario2[loser1],ScenarioStat2[[#This Row],[hero-2]])</f>
        <v>2</v>
      </c>
      <c r="C7" t="s">
        <v>45</v>
      </c>
      <c r="D7">
        <f>COUNTIFS(Scenario2[winner1],ScenarioStat2[[#This Row],[hero-2]],Scenario2[loser1],ScenarioStat2[[#This Row],[hero-1]])</f>
        <v>0</v>
      </c>
      <c r="E7">
        <f>ScenarioStat2[[#This Row],[team-1-win]]+ScenarioStat2[[#This Row],[team-2-win]]</f>
        <v>2</v>
      </c>
      <c r="G7" t="s">
        <v>43</v>
      </c>
      <c r="H7">
        <f>SUMIFS(ScenarioStat2[battles],ScenarioStat2[hero-1],ScenarioTeams2[[#This Row],[hero]])+SUMIFS(ScenarioStat2[battles],ScenarioStat2[hero-2],ScenarioTeams2[[#This Row],[hero]])</f>
        <v>16</v>
      </c>
      <c r="I7">
        <f>SUMIFS(ScenarioStat2[team-1-win],ScenarioStat2[hero-1],ScenarioTeams2[[#This Row],[hero]])+SUMIFS(ScenarioStat2[team-2-win],ScenarioStat2[hero-2],ScenarioTeams2[[#This Row],[hero]])</f>
        <v>8</v>
      </c>
      <c r="J7" s="3">
        <f>IF(ScenarioTeams2[[#This Row],[battles]],ScenarioTeams2[[#This Row],[wins]]/ScenarioTeams2[[#This Row],[battles]],0)</f>
        <v>0.5</v>
      </c>
      <c r="K7" s="3"/>
      <c r="L7" s="5" t="s">
        <v>160</v>
      </c>
      <c r="M7" s="31">
        <f>MAX(Scenario2[turns])</f>
        <v>33</v>
      </c>
    </row>
    <row r="8" spans="1:13" ht="15.75" thickBot="1" x14ac:dyDescent="0.3">
      <c r="A8" t="s">
        <v>53</v>
      </c>
      <c r="B8">
        <f>COUNTIFS(Scenario2[winner1],ScenarioStat2[[#This Row],[hero-1]],Scenario2[loser1],ScenarioStat2[[#This Row],[hero-2]])</f>
        <v>2</v>
      </c>
      <c r="C8" t="s">
        <v>63</v>
      </c>
      <c r="D8">
        <f>COUNTIFS(Scenario2[winner1],ScenarioStat2[[#This Row],[hero-2]],Scenario2[loser1],ScenarioStat2[[#This Row],[hero-1]])</f>
        <v>0</v>
      </c>
      <c r="E8">
        <f>ScenarioStat2[[#This Row],[team-1-win]]+ScenarioStat2[[#This Row],[team-2-win]]</f>
        <v>2</v>
      </c>
      <c r="G8" t="s">
        <v>45</v>
      </c>
      <c r="H8">
        <f>SUMIFS(ScenarioStat2[battles],ScenarioStat2[hero-1],ScenarioTeams2[[#This Row],[hero]])+SUMIFS(ScenarioStat2[battles],ScenarioStat2[hero-2],ScenarioTeams2[[#This Row],[hero]])</f>
        <v>16</v>
      </c>
      <c r="I8">
        <f>SUMIFS(ScenarioStat2[team-1-win],ScenarioStat2[hero-1],ScenarioTeams2[[#This Row],[hero]])+SUMIFS(ScenarioStat2[team-2-win],ScenarioStat2[hero-2],ScenarioTeams2[[#This Row],[hero]])</f>
        <v>6</v>
      </c>
      <c r="J8" s="3">
        <f>IF(ScenarioTeams2[[#This Row],[battles]],ScenarioTeams2[[#This Row],[wins]]/ScenarioTeams2[[#This Row],[battles]],0)</f>
        <v>0.375</v>
      </c>
      <c r="K8" s="3"/>
    </row>
    <row r="9" spans="1:13" ht="15.75" thickBot="1" x14ac:dyDescent="0.3">
      <c r="A9" t="s">
        <v>53</v>
      </c>
      <c r="B9">
        <f>COUNTIFS(Scenario2[winner1],ScenarioStat2[[#This Row],[hero-1]],Scenario2[loser1],ScenarioStat2[[#This Row],[hero-2]])</f>
        <v>2</v>
      </c>
      <c r="C9" t="s">
        <v>38</v>
      </c>
      <c r="D9">
        <f>COUNTIFS(Scenario2[winner1],ScenarioStat2[[#This Row],[hero-2]],Scenario2[loser1],ScenarioStat2[[#This Row],[hero-1]])</f>
        <v>0</v>
      </c>
      <c r="E9">
        <f>ScenarioStat2[[#This Row],[team-1-win]]+ScenarioStat2[[#This Row],[team-2-win]]</f>
        <v>2</v>
      </c>
      <c r="G9" t="s">
        <v>63</v>
      </c>
      <c r="H9">
        <f>SUMIFS(ScenarioStat2[battles],ScenarioStat2[hero-1],ScenarioTeams2[[#This Row],[hero]])+SUMIFS(ScenarioStat2[battles],ScenarioStat2[hero-2],ScenarioTeams2[[#This Row],[hero]])</f>
        <v>16</v>
      </c>
      <c r="I9">
        <f>SUMIFS(ScenarioStat2[team-1-win],ScenarioStat2[hero-1],ScenarioTeams2[[#This Row],[hero]])+SUMIFS(ScenarioStat2[team-2-win],ScenarioStat2[hero-2],ScenarioTeams2[[#This Row],[hero]])</f>
        <v>4</v>
      </c>
      <c r="J9" s="3">
        <f>IF(ScenarioTeams2[[#This Row],[battles]],ScenarioTeams2[[#This Row],[wins]]/ScenarioTeams2[[#This Row],[battles]],0)</f>
        <v>0.25</v>
      </c>
      <c r="K9" s="3"/>
      <c r="L9" s="4" t="s">
        <v>185</v>
      </c>
      <c r="M9" s="30">
        <f>120000*$M$6/1000/60</f>
        <v>25.388888888888889</v>
      </c>
    </row>
    <row r="10" spans="1:13" ht="15.75" thickBot="1" x14ac:dyDescent="0.3">
      <c r="A10" t="s">
        <v>53</v>
      </c>
      <c r="B10">
        <f>COUNTIFS(Scenario2[winner1],ScenarioStat2[[#This Row],[hero-1]],Scenario2[loser1],ScenarioStat2[[#This Row],[hero-2]])</f>
        <v>0</v>
      </c>
      <c r="C10" t="s">
        <v>227</v>
      </c>
      <c r="D10">
        <f>COUNTIFS(Scenario2[winner1],ScenarioStat2[[#This Row],[hero-2]],Scenario2[loser1],ScenarioStat2[[#This Row],[hero-1]])</f>
        <v>2</v>
      </c>
      <c r="E10">
        <f>ScenarioStat2[[#This Row],[team-1-win]]+ScenarioStat2[[#This Row],[team-2-win]]</f>
        <v>2</v>
      </c>
      <c r="G10" t="s">
        <v>38</v>
      </c>
      <c r="H10">
        <f>SUMIFS(ScenarioStat2[battles],ScenarioStat2[hero-1],ScenarioTeams2[[#This Row],[hero]])+SUMIFS(ScenarioStat2[battles],ScenarioStat2[hero-2],ScenarioTeams2[[#This Row],[hero]])</f>
        <v>16</v>
      </c>
      <c r="I10">
        <f>SUMIFS(ScenarioStat2[team-1-win],ScenarioStat2[hero-1],ScenarioTeams2[[#This Row],[hero]])+SUMIFS(ScenarioStat2[team-2-win],ScenarioStat2[hero-2],ScenarioTeams2[[#This Row],[hero]])</f>
        <v>8</v>
      </c>
      <c r="J10" s="3">
        <f>IF(ScenarioTeams2[[#This Row],[battles]],ScenarioTeams2[[#This Row],[wins]]/ScenarioTeams2[[#This Row],[battles]],0)</f>
        <v>0.5</v>
      </c>
      <c r="K10" s="3"/>
      <c r="L10" s="5" t="s">
        <v>186</v>
      </c>
      <c r="M10" s="6">
        <f>M9*COUNTA(ScenarioStat2[hero-1])/60/24*2</f>
        <v>1.2694444444444444</v>
      </c>
    </row>
    <row r="11" spans="1:13" x14ac:dyDescent="0.25">
      <c r="A11" t="s">
        <v>56</v>
      </c>
      <c r="B11">
        <f>COUNTIFS(Scenario2[winner1],ScenarioStat2[[#This Row],[hero-1]],Scenario2[loser1],ScenarioStat2[[#This Row],[hero-2]])</f>
        <v>1</v>
      </c>
      <c r="C11" t="s">
        <v>48</v>
      </c>
      <c r="D11">
        <f>COUNTIFS(Scenario2[winner1],ScenarioStat2[[#This Row],[hero-2]],Scenario2[loser1],ScenarioStat2[[#This Row],[hero-1]])</f>
        <v>1</v>
      </c>
      <c r="E11">
        <f>ScenarioStat2[[#This Row],[team-1-win]]+ScenarioStat2[[#This Row],[team-2-win]]</f>
        <v>2</v>
      </c>
      <c r="G11" t="s">
        <v>227</v>
      </c>
      <c r="H11">
        <f>SUMIFS(ScenarioStat2[battles],ScenarioStat2[hero-1],ScenarioTeams2[[#This Row],[hero]])+SUMIFS(ScenarioStat2[battles],ScenarioStat2[hero-2],ScenarioTeams2[[#This Row],[hero]])</f>
        <v>16</v>
      </c>
      <c r="I11">
        <f>SUMIFS(ScenarioStat2[team-1-win],ScenarioStat2[hero-1],ScenarioTeams2[[#This Row],[hero]])+SUMIFS(ScenarioStat2[team-2-win],ScenarioStat2[hero-2],ScenarioTeams2[[#This Row],[hero]])</f>
        <v>6</v>
      </c>
      <c r="J11" s="3">
        <f>IF(ScenarioTeams2[[#This Row],[battles]],ScenarioTeams2[[#This Row],[wins]]/ScenarioTeams2[[#This Row],[battles]],0)</f>
        <v>0.375</v>
      </c>
    </row>
    <row r="12" spans="1:13" x14ac:dyDescent="0.25">
      <c r="A12" t="s">
        <v>56</v>
      </c>
      <c r="B12">
        <f>COUNTIFS(Scenario2[winner1],ScenarioStat2[[#This Row],[hero-1]],Scenario2[loser1],ScenarioStat2[[#This Row],[hero-2]])</f>
        <v>2</v>
      </c>
      <c r="C12" t="s">
        <v>33</v>
      </c>
      <c r="D12">
        <f>COUNTIFS(Scenario2[winner1],ScenarioStat2[[#This Row],[hero-2]],Scenario2[loser1],ScenarioStat2[[#This Row],[hero-1]])</f>
        <v>0</v>
      </c>
      <c r="E12">
        <f>ScenarioStat2[[#This Row],[team-1-win]]+ScenarioStat2[[#This Row],[team-2-win]]</f>
        <v>2</v>
      </c>
    </row>
    <row r="13" spans="1:13" x14ac:dyDescent="0.25">
      <c r="A13" t="s">
        <v>56</v>
      </c>
      <c r="B13">
        <f>COUNTIFS(Scenario2[winner1],ScenarioStat2[[#This Row],[hero-1]],Scenario2[loser1],ScenarioStat2[[#This Row],[hero-2]])</f>
        <v>1</v>
      </c>
      <c r="C13" t="s">
        <v>43</v>
      </c>
      <c r="D13">
        <f>COUNTIFS(Scenario2[winner1],ScenarioStat2[[#This Row],[hero-2]],Scenario2[loser1],ScenarioStat2[[#This Row],[hero-1]])</f>
        <v>1</v>
      </c>
      <c r="E13">
        <f>ScenarioStat2[[#This Row],[team-1-win]]+ScenarioStat2[[#This Row],[team-2-win]]</f>
        <v>2</v>
      </c>
    </row>
    <row r="14" spans="1:13" x14ac:dyDescent="0.25">
      <c r="A14" t="s">
        <v>56</v>
      </c>
      <c r="B14">
        <f>COUNTIFS(Scenario2[winner1],ScenarioStat2[[#This Row],[hero-1]],Scenario2[loser1],ScenarioStat2[[#This Row],[hero-2]])</f>
        <v>2</v>
      </c>
      <c r="C14" t="s">
        <v>45</v>
      </c>
      <c r="D14">
        <f>COUNTIFS(Scenario2[winner1],ScenarioStat2[[#This Row],[hero-2]],Scenario2[loser1],ScenarioStat2[[#This Row],[hero-1]])</f>
        <v>0</v>
      </c>
      <c r="E14">
        <f>ScenarioStat2[[#This Row],[team-1-win]]+ScenarioStat2[[#This Row],[team-2-win]]</f>
        <v>2</v>
      </c>
    </row>
    <row r="15" spans="1:13" x14ac:dyDescent="0.25">
      <c r="A15" t="s">
        <v>56</v>
      </c>
      <c r="B15">
        <f>COUNTIFS(Scenario2[winner1],ScenarioStat2[[#This Row],[hero-1]],Scenario2[loser1],ScenarioStat2[[#This Row],[hero-2]])</f>
        <v>2</v>
      </c>
      <c r="C15" t="s">
        <v>63</v>
      </c>
      <c r="D15">
        <f>COUNTIFS(Scenario2[winner1],ScenarioStat2[[#This Row],[hero-2]],Scenario2[loser1],ScenarioStat2[[#This Row],[hero-1]])</f>
        <v>0</v>
      </c>
      <c r="E15">
        <f>ScenarioStat2[[#This Row],[team-1-win]]+ScenarioStat2[[#This Row],[team-2-win]]</f>
        <v>2</v>
      </c>
    </row>
    <row r="16" spans="1:13" x14ac:dyDescent="0.25">
      <c r="A16" t="s">
        <v>56</v>
      </c>
      <c r="B16">
        <f>COUNTIFS(Scenario2[winner1],ScenarioStat2[[#This Row],[hero-1]],Scenario2[loser1],ScenarioStat2[[#This Row],[hero-2]])</f>
        <v>0</v>
      </c>
      <c r="C16" t="s">
        <v>38</v>
      </c>
      <c r="D16">
        <f>COUNTIFS(Scenario2[winner1],ScenarioStat2[[#This Row],[hero-2]],Scenario2[loser1],ScenarioStat2[[#This Row],[hero-1]])</f>
        <v>2</v>
      </c>
      <c r="E16">
        <f>ScenarioStat2[[#This Row],[team-1-win]]+ScenarioStat2[[#This Row],[team-2-win]]</f>
        <v>2</v>
      </c>
    </row>
    <row r="17" spans="1:5" x14ac:dyDescent="0.25">
      <c r="A17" t="s">
        <v>56</v>
      </c>
      <c r="B17">
        <f>COUNTIFS(Scenario2[winner1],ScenarioStat2[[#This Row],[hero-1]],Scenario2[loser1],ScenarioStat2[[#This Row],[hero-2]])</f>
        <v>2</v>
      </c>
      <c r="C17" t="s">
        <v>227</v>
      </c>
      <c r="D17">
        <f>COUNTIFS(Scenario2[winner1],ScenarioStat2[[#This Row],[hero-2]],Scenario2[loser1],ScenarioStat2[[#This Row],[hero-1]])</f>
        <v>0</v>
      </c>
      <c r="E17">
        <f>ScenarioStat2[[#This Row],[team-1-win]]+ScenarioStat2[[#This Row],[team-2-win]]</f>
        <v>2</v>
      </c>
    </row>
    <row r="18" spans="1:5" x14ac:dyDescent="0.25">
      <c r="A18" t="s">
        <v>48</v>
      </c>
      <c r="B18">
        <f>COUNTIFS(Scenario2[winner1],ScenarioStat2[[#This Row],[hero-1]],Scenario2[loser1],ScenarioStat2[[#This Row],[hero-2]])</f>
        <v>1</v>
      </c>
      <c r="C18" t="s">
        <v>33</v>
      </c>
      <c r="D18">
        <f>COUNTIFS(Scenario2[winner1],ScenarioStat2[[#This Row],[hero-2]],Scenario2[loser1],ScenarioStat2[[#This Row],[hero-1]])</f>
        <v>1</v>
      </c>
      <c r="E18">
        <f>ScenarioStat2[[#This Row],[team-1-win]]+ScenarioStat2[[#This Row],[team-2-win]]</f>
        <v>2</v>
      </c>
    </row>
    <row r="19" spans="1:5" x14ac:dyDescent="0.25">
      <c r="A19" t="s">
        <v>48</v>
      </c>
      <c r="B19">
        <f>COUNTIFS(Scenario2[winner1],ScenarioStat2[[#This Row],[hero-1]],Scenario2[loser1],ScenarioStat2[[#This Row],[hero-2]])</f>
        <v>2</v>
      </c>
      <c r="C19" t="s">
        <v>43</v>
      </c>
      <c r="D19">
        <f>COUNTIFS(Scenario2[winner1],ScenarioStat2[[#This Row],[hero-2]],Scenario2[loser1],ScenarioStat2[[#This Row],[hero-1]])</f>
        <v>0</v>
      </c>
      <c r="E19">
        <f>ScenarioStat2[[#This Row],[team-1-win]]+ScenarioStat2[[#This Row],[team-2-win]]</f>
        <v>2</v>
      </c>
    </row>
    <row r="20" spans="1:5" x14ac:dyDescent="0.25">
      <c r="A20" t="s">
        <v>48</v>
      </c>
      <c r="B20">
        <f>COUNTIFS(Scenario2[winner1],ScenarioStat2[[#This Row],[hero-1]],Scenario2[loser1],ScenarioStat2[[#This Row],[hero-2]])</f>
        <v>2</v>
      </c>
      <c r="C20" t="s">
        <v>45</v>
      </c>
      <c r="D20">
        <f>COUNTIFS(Scenario2[winner1],ScenarioStat2[[#This Row],[hero-2]],Scenario2[loser1],ScenarioStat2[[#This Row],[hero-1]])</f>
        <v>0</v>
      </c>
      <c r="E20">
        <f>ScenarioStat2[[#This Row],[team-1-win]]+ScenarioStat2[[#This Row],[team-2-win]]</f>
        <v>2</v>
      </c>
    </row>
    <row r="21" spans="1:5" x14ac:dyDescent="0.25">
      <c r="A21" t="s">
        <v>48</v>
      </c>
      <c r="B21">
        <f>COUNTIFS(Scenario2[winner1],ScenarioStat2[[#This Row],[hero-1]],Scenario2[loser1],ScenarioStat2[[#This Row],[hero-2]])</f>
        <v>2</v>
      </c>
      <c r="C21" t="s">
        <v>63</v>
      </c>
      <c r="D21">
        <f>COUNTIFS(Scenario2[winner1],ScenarioStat2[[#This Row],[hero-2]],Scenario2[loser1],ScenarioStat2[[#This Row],[hero-1]])</f>
        <v>0</v>
      </c>
      <c r="E21">
        <f>ScenarioStat2[[#This Row],[team-1-win]]+ScenarioStat2[[#This Row],[team-2-win]]</f>
        <v>2</v>
      </c>
    </row>
    <row r="22" spans="1:5" x14ac:dyDescent="0.25">
      <c r="A22" t="s">
        <v>48</v>
      </c>
      <c r="B22">
        <f>COUNTIFS(Scenario2[winner1],ScenarioStat2[[#This Row],[hero-1]],Scenario2[loser1],ScenarioStat2[[#This Row],[hero-2]])</f>
        <v>2</v>
      </c>
      <c r="C22" t="s">
        <v>38</v>
      </c>
      <c r="D22">
        <f>COUNTIFS(Scenario2[winner1],ScenarioStat2[[#This Row],[hero-2]],Scenario2[loser1],ScenarioStat2[[#This Row],[hero-1]])</f>
        <v>0</v>
      </c>
      <c r="E22">
        <f>ScenarioStat2[[#This Row],[team-1-win]]+ScenarioStat2[[#This Row],[team-2-win]]</f>
        <v>2</v>
      </c>
    </row>
    <row r="23" spans="1:5" x14ac:dyDescent="0.25">
      <c r="A23" t="s">
        <v>48</v>
      </c>
      <c r="B23">
        <f>COUNTIFS(Scenario2[winner1],ScenarioStat2[[#This Row],[hero-1]],Scenario2[loser1],ScenarioStat2[[#This Row],[hero-2]])</f>
        <v>2</v>
      </c>
      <c r="C23" t="s">
        <v>227</v>
      </c>
      <c r="D23">
        <f>COUNTIFS(Scenario2[winner1],ScenarioStat2[[#This Row],[hero-2]],Scenario2[loser1],ScenarioStat2[[#This Row],[hero-1]])</f>
        <v>0</v>
      </c>
      <c r="E23">
        <f>ScenarioStat2[[#This Row],[team-1-win]]+ScenarioStat2[[#This Row],[team-2-win]]</f>
        <v>2</v>
      </c>
    </row>
    <row r="24" spans="1:5" x14ac:dyDescent="0.25">
      <c r="A24" t="s">
        <v>33</v>
      </c>
      <c r="B24">
        <f>COUNTIFS(Scenario2[winner1],ScenarioStat2[[#This Row],[hero-1]],Scenario2[loser1],ScenarioStat2[[#This Row],[hero-2]])</f>
        <v>0</v>
      </c>
      <c r="C24" t="s">
        <v>43</v>
      </c>
      <c r="D24">
        <f>COUNTIFS(Scenario2[winner1],ScenarioStat2[[#This Row],[hero-2]],Scenario2[loser1],ScenarioStat2[[#This Row],[hero-1]])</f>
        <v>2</v>
      </c>
      <c r="E24">
        <f>ScenarioStat2[[#This Row],[team-1-win]]+ScenarioStat2[[#This Row],[team-2-win]]</f>
        <v>2</v>
      </c>
    </row>
    <row r="25" spans="1:5" x14ac:dyDescent="0.25">
      <c r="A25" t="s">
        <v>33</v>
      </c>
      <c r="B25">
        <f>COUNTIFS(Scenario2[winner1],ScenarioStat2[[#This Row],[hero-1]],Scenario2[loser1],ScenarioStat2[[#This Row],[hero-2]])</f>
        <v>0</v>
      </c>
      <c r="C25" t="s">
        <v>45</v>
      </c>
      <c r="D25">
        <f>COUNTIFS(Scenario2[winner1],ScenarioStat2[[#This Row],[hero-2]],Scenario2[loser1],ScenarioStat2[[#This Row],[hero-1]])</f>
        <v>2</v>
      </c>
      <c r="E25">
        <f>ScenarioStat2[[#This Row],[team-1-win]]+ScenarioStat2[[#This Row],[team-2-win]]</f>
        <v>2</v>
      </c>
    </row>
    <row r="26" spans="1:5" x14ac:dyDescent="0.25">
      <c r="A26" t="s">
        <v>33</v>
      </c>
      <c r="B26">
        <f>COUNTIFS(Scenario2[winner1],ScenarioStat2[[#This Row],[hero-1]],Scenario2[loser1],ScenarioStat2[[#This Row],[hero-2]])</f>
        <v>2</v>
      </c>
      <c r="C26" t="s">
        <v>63</v>
      </c>
      <c r="D26">
        <f>COUNTIFS(Scenario2[winner1],ScenarioStat2[[#This Row],[hero-2]],Scenario2[loser1],ScenarioStat2[[#This Row],[hero-1]])</f>
        <v>0</v>
      </c>
      <c r="E26">
        <f>ScenarioStat2[[#This Row],[team-1-win]]+ScenarioStat2[[#This Row],[team-2-win]]</f>
        <v>2</v>
      </c>
    </row>
    <row r="27" spans="1:5" x14ac:dyDescent="0.25">
      <c r="A27" t="s">
        <v>33</v>
      </c>
      <c r="B27">
        <f>COUNTIFS(Scenario2[winner1],ScenarioStat2[[#This Row],[hero-1]],Scenario2[loser1],ScenarioStat2[[#This Row],[hero-2]])</f>
        <v>1</v>
      </c>
      <c r="C27" t="s">
        <v>38</v>
      </c>
      <c r="D27">
        <f>COUNTIFS(Scenario2[winner1],ScenarioStat2[[#This Row],[hero-2]],Scenario2[loser1],ScenarioStat2[[#This Row],[hero-1]])</f>
        <v>1</v>
      </c>
      <c r="E27">
        <f>ScenarioStat2[[#This Row],[team-1-win]]+ScenarioStat2[[#This Row],[team-2-win]]</f>
        <v>2</v>
      </c>
    </row>
    <row r="28" spans="1:5" x14ac:dyDescent="0.25">
      <c r="A28" t="s">
        <v>33</v>
      </c>
      <c r="B28">
        <f>COUNTIFS(Scenario2[winner1],ScenarioStat2[[#This Row],[hero-1]],Scenario2[loser1],ScenarioStat2[[#This Row],[hero-2]])</f>
        <v>0</v>
      </c>
      <c r="C28" t="s">
        <v>227</v>
      </c>
      <c r="D28">
        <f>COUNTIFS(Scenario2[winner1],ScenarioStat2[[#This Row],[hero-2]],Scenario2[loser1],ScenarioStat2[[#This Row],[hero-1]])</f>
        <v>2</v>
      </c>
      <c r="E28">
        <f>ScenarioStat2[[#This Row],[team-1-win]]+ScenarioStat2[[#This Row],[team-2-win]]</f>
        <v>2</v>
      </c>
    </row>
    <row r="29" spans="1:5" x14ac:dyDescent="0.25">
      <c r="A29" t="s">
        <v>43</v>
      </c>
      <c r="B29">
        <f>COUNTIFS(Scenario2[winner1],ScenarioStat2[[#This Row],[hero-1]],Scenario2[loser1],ScenarioStat2[[#This Row],[hero-2]])</f>
        <v>0</v>
      </c>
      <c r="C29" t="s">
        <v>45</v>
      </c>
      <c r="D29">
        <f>COUNTIFS(Scenario2[winner1],ScenarioStat2[[#This Row],[hero-2]],Scenario2[loser1],ScenarioStat2[[#This Row],[hero-1]])</f>
        <v>2</v>
      </c>
      <c r="E29">
        <f>ScenarioStat2[[#This Row],[team-1-win]]+ScenarioStat2[[#This Row],[team-2-win]]</f>
        <v>2</v>
      </c>
    </row>
    <row r="30" spans="1:5" x14ac:dyDescent="0.25">
      <c r="A30" t="s">
        <v>43</v>
      </c>
      <c r="B30">
        <f>COUNTIFS(Scenario2[winner1],ScenarioStat2[[#This Row],[hero-1]],Scenario2[loser1],ScenarioStat2[[#This Row],[hero-2]])</f>
        <v>2</v>
      </c>
      <c r="C30" t="s">
        <v>63</v>
      </c>
      <c r="D30">
        <f>COUNTIFS(Scenario2[winner1],ScenarioStat2[[#This Row],[hero-2]],Scenario2[loser1],ScenarioStat2[[#This Row],[hero-1]])</f>
        <v>0</v>
      </c>
      <c r="E30">
        <f>ScenarioStat2[[#This Row],[team-1-win]]+ScenarioStat2[[#This Row],[team-2-win]]</f>
        <v>2</v>
      </c>
    </row>
    <row r="31" spans="1:5" x14ac:dyDescent="0.25">
      <c r="A31" t="s">
        <v>43</v>
      </c>
      <c r="B31">
        <f>COUNTIFS(Scenario2[winner1],ScenarioStat2[[#This Row],[hero-1]],Scenario2[loser1],ScenarioStat2[[#This Row],[hero-2]])</f>
        <v>1</v>
      </c>
      <c r="C31" t="s">
        <v>38</v>
      </c>
      <c r="D31">
        <f>COUNTIFS(Scenario2[winner1],ScenarioStat2[[#This Row],[hero-2]],Scenario2[loser1],ScenarioStat2[[#This Row],[hero-1]])</f>
        <v>1</v>
      </c>
      <c r="E31">
        <f>ScenarioStat2[[#This Row],[team-1-win]]+ScenarioStat2[[#This Row],[team-2-win]]</f>
        <v>2</v>
      </c>
    </row>
    <row r="32" spans="1:5" x14ac:dyDescent="0.25">
      <c r="A32" t="s">
        <v>43</v>
      </c>
      <c r="B32">
        <f>COUNTIFS(Scenario2[winner1],ScenarioStat2[[#This Row],[hero-1]],Scenario2[loser1],ScenarioStat2[[#This Row],[hero-2]])</f>
        <v>2</v>
      </c>
      <c r="C32" t="s">
        <v>227</v>
      </c>
      <c r="D32">
        <f>COUNTIFS(Scenario2[winner1],ScenarioStat2[[#This Row],[hero-2]],Scenario2[loser1],ScenarioStat2[[#This Row],[hero-1]])</f>
        <v>0</v>
      </c>
      <c r="E32">
        <f>ScenarioStat2[[#This Row],[team-1-win]]+ScenarioStat2[[#This Row],[team-2-win]]</f>
        <v>2</v>
      </c>
    </row>
    <row r="33" spans="1:5" x14ac:dyDescent="0.25">
      <c r="A33" t="s">
        <v>45</v>
      </c>
      <c r="B33">
        <f>COUNTIFS(Scenario2[winner1],ScenarioStat2[[#This Row],[hero-1]],Scenario2[loser1],ScenarioStat2[[#This Row],[hero-2]])</f>
        <v>1</v>
      </c>
      <c r="C33" t="s">
        <v>63</v>
      </c>
      <c r="D33">
        <f>COUNTIFS(Scenario2[winner1],ScenarioStat2[[#This Row],[hero-2]],Scenario2[loser1],ScenarioStat2[[#This Row],[hero-1]])</f>
        <v>1</v>
      </c>
      <c r="E33">
        <f>ScenarioStat2[[#This Row],[team-1-win]]+ScenarioStat2[[#This Row],[team-2-win]]</f>
        <v>2</v>
      </c>
    </row>
    <row r="34" spans="1:5" x14ac:dyDescent="0.25">
      <c r="A34" t="s">
        <v>45</v>
      </c>
      <c r="B34">
        <f>COUNTIFS(Scenario2[winner1],ScenarioStat2[[#This Row],[hero-1]],Scenario2[loser1],ScenarioStat2[[#This Row],[hero-2]])</f>
        <v>1</v>
      </c>
      <c r="C34" t="s">
        <v>38</v>
      </c>
      <c r="D34">
        <f>COUNTIFS(Scenario2[winner1],ScenarioStat2[[#This Row],[hero-2]],Scenario2[loser1],ScenarioStat2[[#This Row],[hero-1]])</f>
        <v>1</v>
      </c>
      <c r="E34">
        <f>ScenarioStat2[[#This Row],[team-1-win]]+ScenarioStat2[[#This Row],[team-2-win]]</f>
        <v>2</v>
      </c>
    </row>
    <row r="35" spans="1:5" x14ac:dyDescent="0.25">
      <c r="A35" t="s">
        <v>45</v>
      </c>
      <c r="B35">
        <f>COUNTIFS(Scenario2[winner1],ScenarioStat2[[#This Row],[hero-1]],Scenario2[loser1],ScenarioStat2[[#This Row],[hero-2]])</f>
        <v>0</v>
      </c>
      <c r="C35" t="s">
        <v>227</v>
      </c>
      <c r="D35">
        <f>COUNTIFS(Scenario2[winner1],ScenarioStat2[[#This Row],[hero-2]],Scenario2[loser1],ScenarioStat2[[#This Row],[hero-1]])</f>
        <v>2</v>
      </c>
      <c r="E35">
        <f>ScenarioStat2[[#This Row],[team-1-win]]+ScenarioStat2[[#This Row],[team-2-win]]</f>
        <v>2</v>
      </c>
    </row>
    <row r="36" spans="1:5" x14ac:dyDescent="0.25">
      <c r="A36" t="s">
        <v>63</v>
      </c>
      <c r="B36">
        <f>COUNTIFS(Scenario2[winner1],ScenarioStat2[[#This Row],[hero-1]],Scenario2[loser1],ScenarioStat2[[#This Row],[hero-2]])</f>
        <v>1</v>
      </c>
      <c r="C36" t="s">
        <v>38</v>
      </c>
      <c r="D36">
        <f>COUNTIFS(Scenario2[winner1],ScenarioStat2[[#This Row],[hero-2]],Scenario2[loser1],ScenarioStat2[[#This Row],[hero-1]])</f>
        <v>1</v>
      </c>
      <c r="E36">
        <f>ScenarioStat2[[#This Row],[team-1-win]]+ScenarioStat2[[#This Row],[team-2-win]]</f>
        <v>2</v>
      </c>
    </row>
    <row r="37" spans="1:5" x14ac:dyDescent="0.25">
      <c r="A37" t="s">
        <v>63</v>
      </c>
      <c r="B37">
        <f>COUNTIFS(Scenario2[winner1],ScenarioStat2[[#This Row],[hero-1]],Scenario2[loser1],ScenarioStat2[[#This Row],[hero-2]])</f>
        <v>2</v>
      </c>
      <c r="C37" t="s">
        <v>227</v>
      </c>
      <c r="D37">
        <f>COUNTIFS(Scenario2[winner1],ScenarioStat2[[#This Row],[hero-2]],Scenario2[loser1],ScenarioStat2[[#This Row],[hero-1]])</f>
        <v>0</v>
      </c>
      <c r="E37">
        <f>ScenarioStat2[[#This Row],[team-1-win]]+ScenarioStat2[[#This Row],[team-2-win]]</f>
        <v>2</v>
      </c>
    </row>
    <row r="38" spans="1:5" x14ac:dyDescent="0.25">
      <c r="A38" t="s">
        <v>38</v>
      </c>
      <c r="B38">
        <f>COUNTIFS(Scenario2[winner1],ScenarioStat2[[#This Row],[hero-1]],Scenario2[loser1],ScenarioStat2[[#This Row],[hero-2]])</f>
        <v>2</v>
      </c>
      <c r="C38" t="s">
        <v>227</v>
      </c>
      <c r="D38">
        <f>COUNTIFS(Scenario2[winner1],ScenarioStat2[[#This Row],[hero-2]],Scenario2[loser1],ScenarioStat2[[#This Row],[hero-1]])</f>
        <v>0</v>
      </c>
      <c r="E38">
        <f>ScenarioStat2[[#This Row],[team-1-win]]+ScenarioStat2[[#This Row],[team-2-win]]</f>
        <v>2</v>
      </c>
    </row>
  </sheetData>
  <mergeCells count="2">
    <mergeCell ref="A1:E1"/>
    <mergeCell ref="G1:J1"/>
  </mergeCells>
  <conditionalFormatting sqref="J3:J11">
    <cfRule type="colorScale" priority="59">
      <colorScale>
        <cfvo type="min"/>
        <cfvo type="max"/>
        <color rgb="FFFFEF9C"/>
        <color rgb="FF63BE7B"/>
      </colorScale>
    </cfRule>
  </conditionalFormatting>
  <conditionalFormatting sqref="K3:K1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CF00-6C84-47E3-B6DC-2D8EBC0E813F}">
  <dimension ref="A1:AB85"/>
  <sheetViews>
    <sheetView topLeftCell="A52" workbookViewId="0">
      <selection activeCell="A2" sqref="A2:AB85"/>
    </sheetView>
  </sheetViews>
  <sheetFormatPr defaultRowHeight="15" x14ac:dyDescent="0.25"/>
  <cols>
    <col min="1" max="1" width="37.7109375" bestFit="1" customWidth="1"/>
    <col min="2" max="2" width="8.28515625" bestFit="1" customWidth="1"/>
    <col min="3" max="3" width="11.42578125" bestFit="1" customWidth="1"/>
    <col min="4" max="4" width="13" hidden="1" customWidth="1"/>
    <col min="5" max="5" width="12.7109375" hidden="1" customWidth="1"/>
    <col min="6" max="6" width="12.42578125" hidden="1" customWidth="1"/>
    <col min="7" max="7" width="21.140625" hidden="1" customWidth="1"/>
    <col min="8" max="8" width="19.140625" hidden="1" customWidth="1"/>
    <col min="9" max="10" width="18" hidden="1" customWidth="1"/>
    <col min="11" max="11" width="11.42578125" bestFit="1" customWidth="1"/>
    <col min="12" max="12" width="12.140625" hidden="1" customWidth="1"/>
    <col min="13" max="13" width="11.85546875" hidden="1" customWidth="1"/>
    <col min="14" max="14" width="11.42578125" hidden="1" customWidth="1"/>
    <col min="15" max="15" width="18.42578125" hidden="1" customWidth="1"/>
    <col min="16" max="16" width="18.7109375" hidden="1" customWidth="1"/>
    <col min="17" max="17" width="20.7109375" hidden="1" customWidth="1"/>
    <col min="18" max="18" width="17.28515625" hidden="1" customWidth="1"/>
    <col min="19" max="19" width="11.42578125" bestFit="1" customWidth="1"/>
    <col min="20" max="26" width="17.28515625" hidden="1" customWidth="1"/>
    <col min="27" max="27" width="9.85546875" bestFit="1" customWidth="1"/>
    <col min="28" max="28" width="7.85546875" bestFit="1" customWidth="1"/>
  </cols>
  <sheetData>
    <row r="1" spans="1:28" x14ac:dyDescent="0.25">
      <c r="A1" t="s">
        <v>0</v>
      </c>
      <c r="B1" t="s">
        <v>173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s="32" t="s">
        <v>25</v>
      </c>
      <c r="T1" s="32" t="s">
        <v>26</v>
      </c>
      <c r="U1" s="32" t="s">
        <v>27</v>
      </c>
      <c r="V1" s="32" t="s">
        <v>28</v>
      </c>
      <c r="W1" s="32" t="s">
        <v>29</v>
      </c>
      <c r="X1" s="32" t="s">
        <v>119</v>
      </c>
      <c r="Y1" s="32" t="s">
        <v>30</v>
      </c>
      <c r="Z1" s="32" t="s">
        <v>31</v>
      </c>
      <c r="AA1" t="s">
        <v>64</v>
      </c>
      <c r="AB1" t="s">
        <v>32</v>
      </c>
    </row>
    <row r="2" spans="1:28" x14ac:dyDescent="0.25">
      <c r="A2" t="s">
        <v>1074</v>
      </c>
      <c r="B2">
        <v>0</v>
      </c>
      <c r="C2" t="s">
        <v>48</v>
      </c>
      <c r="D2">
        <v>3</v>
      </c>
      <c r="F2">
        <v>3</v>
      </c>
      <c r="G2" t="s">
        <v>126</v>
      </c>
      <c r="H2" t="s">
        <v>84</v>
      </c>
      <c r="I2" t="s">
        <v>90</v>
      </c>
      <c r="J2" t="s">
        <v>128</v>
      </c>
      <c r="K2" t="s">
        <v>53</v>
      </c>
      <c r="L2">
        <v>3</v>
      </c>
      <c r="M2">
        <v>3</v>
      </c>
      <c r="N2">
        <v>3</v>
      </c>
      <c r="O2" t="s">
        <v>112</v>
      </c>
      <c r="P2" t="s">
        <v>55</v>
      </c>
      <c r="Q2" t="s">
        <v>97</v>
      </c>
      <c r="R2" t="s">
        <v>115</v>
      </c>
      <c r="S2" t="s">
        <v>56</v>
      </c>
      <c r="T2">
        <v>3</v>
      </c>
      <c r="V2">
        <v>3</v>
      </c>
      <c r="W2" t="s">
        <v>120</v>
      </c>
      <c r="X2" t="s">
        <v>69</v>
      </c>
      <c r="Y2" t="s">
        <v>85</v>
      </c>
      <c r="Z2" t="s">
        <v>125</v>
      </c>
      <c r="AA2">
        <v>0</v>
      </c>
      <c r="AB2">
        <v>52</v>
      </c>
    </row>
    <row r="3" spans="1:28" x14ac:dyDescent="0.25">
      <c r="A3" t="s">
        <v>1075</v>
      </c>
      <c r="B3">
        <v>1</v>
      </c>
      <c r="C3" t="s">
        <v>33</v>
      </c>
      <c r="D3">
        <v>3</v>
      </c>
      <c r="F3">
        <v>3</v>
      </c>
      <c r="G3" t="s">
        <v>34</v>
      </c>
      <c r="H3" t="s">
        <v>130</v>
      </c>
      <c r="I3" t="s">
        <v>132</v>
      </c>
      <c r="J3" t="s">
        <v>37</v>
      </c>
      <c r="K3" t="s">
        <v>53</v>
      </c>
      <c r="L3">
        <v>1</v>
      </c>
      <c r="M3">
        <v>3</v>
      </c>
      <c r="N3">
        <v>2</v>
      </c>
      <c r="O3" t="s">
        <v>112</v>
      </c>
      <c r="P3" t="s">
        <v>55</v>
      </c>
      <c r="S3" t="s">
        <v>56</v>
      </c>
      <c r="T3">
        <v>3</v>
      </c>
      <c r="V3">
        <v>3</v>
      </c>
      <c r="W3" t="s">
        <v>120</v>
      </c>
      <c r="X3" t="s">
        <v>69</v>
      </c>
      <c r="Y3" t="s">
        <v>87</v>
      </c>
      <c r="AA3">
        <v>0</v>
      </c>
      <c r="AB3">
        <v>20</v>
      </c>
    </row>
    <row r="4" spans="1:28" x14ac:dyDescent="0.25">
      <c r="A4" t="s">
        <v>1076</v>
      </c>
      <c r="B4">
        <v>2</v>
      </c>
      <c r="C4" t="s">
        <v>56</v>
      </c>
      <c r="D4">
        <v>3</v>
      </c>
      <c r="F4">
        <v>3</v>
      </c>
      <c r="G4" t="s">
        <v>120</v>
      </c>
      <c r="H4" t="s">
        <v>69</v>
      </c>
      <c r="I4" t="s">
        <v>87</v>
      </c>
      <c r="J4" t="s">
        <v>88</v>
      </c>
      <c r="K4" t="s">
        <v>53</v>
      </c>
      <c r="L4">
        <v>2</v>
      </c>
      <c r="M4">
        <v>3</v>
      </c>
      <c r="N4">
        <v>3</v>
      </c>
      <c r="O4" t="s">
        <v>112</v>
      </c>
      <c r="P4" t="s">
        <v>83</v>
      </c>
      <c r="Q4" t="s">
        <v>97</v>
      </c>
      <c r="R4" t="s">
        <v>115</v>
      </c>
      <c r="S4" t="s">
        <v>43</v>
      </c>
      <c r="T4">
        <v>3</v>
      </c>
      <c r="V4">
        <v>3</v>
      </c>
      <c r="W4" t="s">
        <v>135</v>
      </c>
      <c r="X4" t="s">
        <v>136</v>
      </c>
      <c r="Y4" t="s">
        <v>137</v>
      </c>
      <c r="Z4" t="s">
        <v>139</v>
      </c>
      <c r="AA4">
        <v>0</v>
      </c>
      <c r="AB4">
        <v>30</v>
      </c>
    </row>
    <row r="5" spans="1:28" x14ac:dyDescent="0.25">
      <c r="A5" t="s">
        <v>1077</v>
      </c>
      <c r="B5">
        <v>3</v>
      </c>
      <c r="C5" t="s">
        <v>45</v>
      </c>
      <c r="D5">
        <v>3</v>
      </c>
      <c r="F5">
        <v>3</v>
      </c>
      <c r="G5" t="s">
        <v>86</v>
      </c>
      <c r="H5" t="s">
        <v>76</v>
      </c>
      <c r="I5" t="s">
        <v>142</v>
      </c>
      <c r="J5" t="s">
        <v>143</v>
      </c>
      <c r="K5" t="s">
        <v>53</v>
      </c>
      <c r="L5">
        <v>3</v>
      </c>
      <c r="M5">
        <v>3</v>
      </c>
      <c r="N5">
        <v>3</v>
      </c>
      <c r="O5" t="s">
        <v>112</v>
      </c>
      <c r="P5" t="s">
        <v>83</v>
      </c>
      <c r="Q5" t="s">
        <v>97</v>
      </c>
      <c r="R5" t="s">
        <v>115</v>
      </c>
      <c r="S5" t="s">
        <v>56</v>
      </c>
      <c r="T5">
        <v>3</v>
      </c>
      <c r="V5">
        <v>3</v>
      </c>
      <c r="W5" t="s">
        <v>120</v>
      </c>
      <c r="X5" t="s">
        <v>69</v>
      </c>
      <c r="Y5" t="s">
        <v>123</v>
      </c>
      <c r="Z5" t="s">
        <v>88</v>
      </c>
      <c r="AA5">
        <v>0</v>
      </c>
      <c r="AB5">
        <v>39</v>
      </c>
    </row>
    <row r="6" spans="1:28" x14ac:dyDescent="0.25">
      <c r="A6" t="s">
        <v>1154</v>
      </c>
      <c r="B6">
        <v>4</v>
      </c>
      <c r="C6" t="s">
        <v>53</v>
      </c>
      <c r="D6">
        <v>3</v>
      </c>
      <c r="E6">
        <v>3</v>
      </c>
      <c r="F6">
        <v>3</v>
      </c>
      <c r="G6" t="s">
        <v>112</v>
      </c>
      <c r="H6" t="s">
        <v>83</v>
      </c>
      <c r="I6" t="s">
        <v>97</v>
      </c>
      <c r="J6" t="s">
        <v>115</v>
      </c>
      <c r="K6" t="s">
        <v>56</v>
      </c>
      <c r="L6">
        <v>3</v>
      </c>
      <c r="N6">
        <v>3</v>
      </c>
      <c r="O6" t="s">
        <v>120</v>
      </c>
      <c r="P6" t="s">
        <v>69</v>
      </c>
      <c r="Q6" t="s">
        <v>87</v>
      </c>
      <c r="R6" t="s">
        <v>125</v>
      </c>
      <c r="S6" t="s">
        <v>63</v>
      </c>
      <c r="T6">
        <v>3</v>
      </c>
      <c r="V6">
        <v>3</v>
      </c>
      <c r="W6" t="s">
        <v>103</v>
      </c>
      <c r="X6" t="s">
        <v>91</v>
      </c>
      <c r="Y6" t="s">
        <v>148</v>
      </c>
      <c r="Z6" t="s">
        <v>151</v>
      </c>
      <c r="AA6">
        <v>0</v>
      </c>
      <c r="AB6">
        <v>42</v>
      </c>
    </row>
    <row r="7" spans="1:28" x14ac:dyDescent="0.25">
      <c r="A7" t="s">
        <v>1155</v>
      </c>
      <c r="B7">
        <v>5</v>
      </c>
      <c r="C7" t="s">
        <v>53</v>
      </c>
      <c r="D7">
        <v>3</v>
      </c>
      <c r="E7">
        <v>3</v>
      </c>
      <c r="F7">
        <v>3</v>
      </c>
      <c r="G7" t="s">
        <v>112</v>
      </c>
      <c r="H7" t="s">
        <v>55</v>
      </c>
      <c r="I7" t="s">
        <v>97</v>
      </c>
      <c r="J7" t="s">
        <v>98</v>
      </c>
      <c r="K7" t="s">
        <v>56</v>
      </c>
      <c r="L7">
        <v>3</v>
      </c>
      <c r="N7">
        <v>3</v>
      </c>
      <c r="O7" t="s">
        <v>120</v>
      </c>
      <c r="P7" t="s">
        <v>69</v>
      </c>
      <c r="Q7" t="s">
        <v>87</v>
      </c>
      <c r="R7" t="s">
        <v>124</v>
      </c>
      <c r="S7" t="s">
        <v>38</v>
      </c>
      <c r="T7">
        <v>3</v>
      </c>
      <c r="U7">
        <v>3</v>
      </c>
      <c r="V7">
        <v>3</v>
      </c>
      <c r="W7" t="s">
        <v>39</v>
      </c>
      <c r="X7" t="s">
        <v>70</v>
      </c>
      <c r="Y7" t="s">
        <v>153</v>
      </c>
      <c r="Z7" t="s">
        <v>42</v>
      </c>
      <c r="AA7">
        <v>0</v>
      </c>
      <c r="AB7">
        <v>43</v>
      </c>
    </row>
    <row r="8" spans="1:28" x14ac:dyDescent="0.25">
      <c r="A8" t="s">
        <v>1156</v>
      </c>
      <c r="B8">
        <v>6</v>
      </c>
      <c r="C8" t="s">
        <v>227</v>
      </c>
      <c r="D8">
        <v>3</v>
      </c>
      <c r="E8">
        <v>3</v>
      </c>
      <c r="F8">
        <v>3</v>
      </c>
      <c r="G8" t="s">
        <v>228</v>
      </c>
      <c r="H8" t="s">
        <v>233</v>
      </c>
      <c r="I8" t="s">
        <v>236</v>
      </c>
      <c r="J8" t="s">
        <v>239</v>
      </c>
      <c r="K8" t="s">
        <v>53</v>
      </c>
      <c r="L8">
        <v>3</v>
      </c>
      <c r="M8">
        <v>3</v>
      </c>
      <c r="N8">
        <v>3</v>
      </c>
      <c r="O8" t="s">
        <v>112</v>
      </c>
      <c r="P8" t="s">
        <v>83</v>
      </c>
      <c r="Q8" t="s">
        <v>97</v>
      </c>
      <c r="R8" t="s">
        <v>115</v>
      </c>
      <c r="S8" t="s">
        <v>56</v>
      </c>
      <c r="T8">
        <v>3</v>
      </c>
      <c r="V8">
        <v>3</v>
      </c>
      <c r="W8" t="s">
        <v>120</v>
      </c>
      <c r="X8" t="s">
        <v>69</v>
      </c>
      <c r="Y8" t="s">
        <v>87</v>
      </c>
      <c r="Z8" t="s">
        <v>125</v>
      </c>
      <c r="AA8">
        <v>0</v>
      </c>
      <c r="AB8">
        <v>43</v>
      </c>
    </row>
    <row r="9" spans="1:28" x14ac:dyDescent="0.25">
      <c r="A9" t="s">
        <v>1157</v>
      </c>
      <c r="B9">
        <v>7</v>
      </c>
      <c r="C9" t="s">
        <v>33</v>
      </c>
      <c r="D9">
        <v>3</v>
      </c>
      <c r="F9">
        <v>2</v>
      </c>
      <c r="G9" t="s">
        <v>34</v>
      </c>
      <c r="H9" t="s">
        <v>130</v>
      </c>
      <c r="I9" t="s">
        <v>36</v>
      </c>
      <c r="J9" t="s">
        <v>37</v>
      </c>
      <c r="K9" t="s">
        <v>53</v>
      </c>
      <c r="L9">
        <v>1</v>
      </c>
      <c r="M9">
        <v>3</v>
      </c>
      <c r="N9">
        <v>2</v>
      </c>
      <c r="O9" t="s">
        <v>112</v>
      </c>
      <c r="P9" t="s">
        <v>55</v>
      </c>
      <c r="Q9" t="s">
        <v>97</v>
      </c>
      <c r="S9" t="s">
        <v>48</v>
      </c>
      <c r="T9">
        <v>3</v>
      </c>
      <c r="V9">
        <v>1</v>
      </c>
      <c r="W9" t="s">
        <v>126</v>
      </c>
      <c r="X9" t="s">
        <v>84</v>
      </c>
      <c r="AA9">
        <v>0</v>
      </c>
      <c r="AB9">
        <v>17</v>
      </c>
    </row>
    <row r="10" spans="1:28" x14ac:dyDescent="0.25">
      <c r="A10" t="s">
        <v>1078</v>
      </c>
      <c r="B10">
        <v>8</v>
      </c>
      <c r="C10" t="s">
        <v>53</v>
      </c>
      <c r="D10">
        <v>3</v>
      </c>
      <c r="E10">
        <v>3</v>
      </c>
      <c r="F10">
        <v>3</v>
      </c>
      <c r="G10" t="s">
        <v>112</v>
      </c>
      <c r="H10" t="s">
        <v>83</v>
      </c>
      <c r="I10" t="s">
        <v>97</v>
      </c>
      <c r="J10" t="s">
        <v>115</v>
      </c>
      <c r="K10" t="s">
        <v>48</v>
      </c>
      <c r="L10">
        <v>3</v>
      </c>
      <c r="N10">
        <v>3</v>
      </c>
      <c r="O10" t="s">
        <v>126</v>
      </c>
      <c r="P10" t="s">
        <v>84</v>
      </c>
      <c r="Q10" t="s">
        <v>90</v>
      </c>
      <c r="R10" t="s">
        <v>128</v>
      </c>
      <c r="S10" t="s">
        <v>43</v>
      </c>
      <c r="T10">
        <v>3</v>
      </c>
      <c r="V10">
        <v>3</v>
      </c>
      <c r="W10" t="s">
        <v>135</v>
      </c>
      <c r="X10" t="s">
        <v>74</v>
      </c>
      <c r="Y10" t="s">
        <v>100</v>
      </c>
      <c r="Z10" t="s">
        <v>101</v>
      </c>
      <c r="AA10">
        <v>0</v>
      </c>
      <c r="AB10">
        <v>45</v>
      </c>
    </row>
    <row r="11" spans="1:28" x14ac:dyDescent="0.25">
      <c r="A11" t="s">
        <v>1079</v>
      </c>
      <c r="B11">
        <v>9</v>
      </c>
      <c r="C11" t="s">
        <v>53</v>
      </c>
      <c r="D11">
        <v>3</v>
      </c>
      <c r="E11">
        <v>3</v>
      </c>
      <c r="F11">
        <v>3</v>
      </c>
      <c r="G11" t="s">
        <v>112</v>
      </c>
      <c r="H11" t="s">
        <v>55</v>
      </c>
      <c r="I11" t="s">
        <v>97</v>
      </c>
      <c r="J11" t="s">
        <v>115</v>
      </c>
      <c r="K11" t="s">
        <v>48</v>
      </c>
      <c r="L11">
        <v>3</v>
      </c>
      <c r="N11">
        <v>3</v>
      </c>
      <c r="O11" t="s">
        <v>126</v>
      </c>
      <c r="P11" t="s">
        <v>84</v>
      </c>
      <c r="Q11" t="s">
        <v>90</v>
      </c>
      <c r="R11" t="s">
        <v>128</v>
      </c>
      <c r="S11" t="s">
        <v>45</v>
      </c>
      <c r="T11">
        <v>3</v>
      </c>
      <c r="V11">
        <v>3</v>
      </c>
      <c r="W11" t="s">
        <v>86</v>
      </c>
      <c r="X11" t="s">
        <v>141</v>
      </c>
      <c r="Y11" t="s">
        <v>102</v>
      </c>
      <c r="Z11" t="s">
        <v>143</v>
      </c>
      <c r="AA11">
        <v>0</v>
      </c>
      <c r="AB11">
        <v>46</v>
      </c>
    </row>
    <row r="12" spans="1:28" x14ac:dyDescent="0.25">
      <c r="A12" t="s">
        <v>1080</v>
      </c>
      <c r="B12">
        <v>10</v>
      </c>
      <c r="C12" t="s">
        <v>53</v>
      </c>
      <c r="D12">
        <v>3</v>
      </c>
      <c r="E12">
        <v>3</v>
      </c>
      <c r="F12">
        <v>3</v>
      </c>
      <c r="G12" t="s">
        <v>112</v>
      </c>
      <c r="H12" t="s">
        <v>55</v>
      </c>
      <c r="I12" t="s">
        <v>97</v>
      </c>
      <c r="J12" t="s">
        <v>115</v>
      </c>
      <c r="K12" t="s">
        <v>48</v>
      </c>
      <c r="L12">
        <v>3</v>
      </c>
      <c r="N12">
        <v>3</v>
      </c>
      <c r="O12" t="s">
        <v>126</v>
      </c>
      <c r="P12" t="s">
        <v>84</v>
      </c>
      <c r="Q12" t="s">
        <v>90</v>
      </c>
      <c r="R12" t="s">
        <v>128</v>
      </c>
      <c r="S12" t="s">
        <v>63</v>
      </c>
      <c r="T12">
        <v>3</v>
      </c>
      <c r="V12">
        <v>3</v>
      </c>
      <c r="W12" t="s">
        <v>103</v>
      </c>
      <c r="X12" t="s">
        <v>91</v>
      </c>
      <c r="Y12" t="s">
        <v>148</v>
      </c>
      <c r="Z12" t="s">
        <v>151</v>
      </c>
      <c r="AA12">
        <v>0</v>
      </c>
      <c r="AB12">
        <v>48</v>
      </c>
    </row>
    <row r="13" spans="1:28" x14ac:dyDescent="0.25">
      <c r="A13" t="s">
        <v>1081</v>
      </c>
      <c r="B13">
        <v>11</v>
      </c>
      <c r="C13" t="s">
        <v>53</v>
      </c>
      <c r="D13">
        <v>3</v>
      </c>
      <c r="E13">
        <v>3</v>
      </c>
      <c r="F13">
        <v>3</v>
      </c>
      <c r="G13" t="s">
        <v>112</v>
      </c>
      <c r="H13" t="s">
        <v>83</v>
      </c>
      <c r="I13" t="s">
        <v>97</v>
      </c>
      <c r="J13" t="s">
        <v>115</v>
      </c>
      <c r="K13" t="s">
        <v>48</v>
      </c>
      <c r="L13">
        <v>3</v>
      </c>
      <c r="N13">
        <v>3</v>
      </c>
      <c r="O13" t="s">
        <v>126</v>
      </c>
      <c r="P13" t="s">
        <v>84</v>
      </c>
      <c r="Q13" t="s">
        <v>90</v>
      </c>
      <c r="R13" t="s">
        <v>128</v>
      </c>
      <c r="S13" t="s">
        <v>38</v>
      </c>
      <c r="T13">
        <v>3</v>
      </c>
      <c r="U13">
        <v>3</v>
      </c>
      <c r="V13">
        <v>3</v>
      </c>
      <c r="W13" t="s">
        <v>39</v>
      </c>
      <c r="X13" t="s">
        <v>70</v>
      </c>
      <c r="Y13" t="s">
        <v>41</v>
      </c>
      <c r="Z13" t="s">
        <v>156</v>
      </c>
      <c r="AA13">
        <v>0</v>
      </c>
      <c r="AB13">
        <v>49</v>
      </c>
    </row>
    <row r="14" spans="1:28" x14ac:dyDescent="0.25">
      <c r="A14" t="s">
        <v>1082</v>
      </c>
      <c r="B14">
        <v>12</v>
      </c>
      <c r="C14" t="s">
        <v>53</v>
      </c>
      <c r="D14">
        <v>3</v>
      </c>
      <c r="E14">
        <v>3</v>
      </c>
      <c r="F14">
        <v>3</v>
      </c>
      <c r="G14" t="s">
        <v>112</v>
      </c>
      <c r="H14" t="s">
        <v>83</v>
      </c>
      <c r="I14" t="s">
        <v>114</v>
      </c>
      <c r="J14" t="s">
        <v>98</v>
      </c>
      <c r="K14" t="s">
        <v>48</v>
      </c>
      <c r="L14">
        <v>3</v>
      </c>
      <c r="N14">
        <v>3</v>
      </c>
      <c r="O14" t="s">
        <v>126</v>
      </c>
      <c r="P14" t="s">
        <v>84</v>
      </c>
      <c r="Q14" t="s">
        <v>127</v>
      </c>
      <c r="R14" t="s">
        <v>52</v>
      </c>
      <c r="S14" t="s">
        <v>227</v>
      </c>
      <c r="T14">
        <v>3</v>
      </c>
      <c r="U14">
        <v>3</v>
      </c>
      <c r="V14">
        <v>3</v>
      </c>
      <c r="W14" t="s">
        <v>228</v>
      </c>
      <c r="X14" t="s">
        <v>233</v>
      </c>
      <c r="Y14" t="s">
        <v>235</v>
      </c>
      <c r="Z14" t="s">
        <v>238</v>
      </c>
      <c r="AA14">
        <v>0</v>
      </c>
      <c r="AB14">
        <v>37</v>
      </c>
    </row>
    <row r="15" spans="1:28" x14ac:dyDescent="0.25">
      <c r="A15" t="s">
        <v>1083</v>
      </c>
      <c r="B15">
        <v>13</v>
      </c>
      <c r="C15" t="s">
        <v>33</v>
      </c>
      <c r="D15">
        <v>2</v>
      </c>
      <c r="F15">
        <v>3</v>
      </c>
      <c r="G15" t="s">
        <v>34</v>
      </c>
      <c r="H15" t="s">
        <v>130</v>
      </c>
      <c r="I15" t="s">
        <v>132</v>
      </c>
      <c r="J15" t="s">
        <v>37</v>
      </c>
      <c r="K15" t="s">
        <v>53</v>
      </c>
      <c r="L15">
        <v>1</v>
      </c>
      <c r="M15">
        <v>3</v>
      </c>
      <c r="N15">
        <v>2</v>
      </c>
      <c r="O15" t="s">
        <v>112</v>
      </c>
      <c r="S15" t="s">
        <v>43</v>
      </c>
      <c r="T15">
        <v>3</v>
      </c>
      <c r="V15">
        <v>2</v>
      </c>
      <c r="W15" t="s">
        <v>135</v>
      </c>
      <c r="X15" t="s">
        <v>136</v>
      </c>
      <c r="Y15" t="s">
        <v>100</v>
      </c>
      <c r="Z15" t="s">
        <v>101</v>
      </c>
      <c r="AA15">
        <v>0</v>
      </c>
      <c r="AB15">
        <v>19</v>
      </c>
    </row>
    <row r="16" spans="1:28" x14ac:dyDescent="0.25">
      <c r="A16" t="s">
        <v>1084</v>
      </c>
      <c r="B16">
        <v>14</v>
      </c>
      <c r="C16" t="s">
        <v>33</v>
      </c>
      <c r="D16">
        <v>2</v>
      </c>
      <c r="F16">
        <v>3</v>
      </c>
      <c r="G16" t="s">
        <v>34</v>
      </c>
      <c r="H16" t="s">
        <v>130</v>
      </c>
      <c r="I16" t="s">
        <v>36</v>
      </c>
      <c r="J16" t="s">
        <v>37</v>
      </c>
      <c r="K16" t="s">
        <v>53</v>
      </c>
      <c r="L16">
        <v>1</v>
      </c>
      <c r="M16">
        <v>3</v>
      </c>
      <c r="N16">
        <v>2</v>
      </c>
      <c r="O16" t="s">
        <v>112</v>
      </c>
      <c r="P16" t="s">
        <v>83</v>
      </c>
      <c r="Q16" t="s">
        <v>97</v>
      </c>
      <c r="S16" t="s">
        <v>45</v>
      </c>
      <c r="T16">
        <v>3</v>
      </c>
      <c r="V16">
        <v>1</v>
      </c>
      <c r="W16" t="s">
        <v>86</v>
      </c>
      <c r="X16" t="s">
        <v>141</v>
      </c>
      <c r="AA16">
        <v>0</v>
      </c>
      <c r="AB16">
        <v>17</v>
      </c>
    </row>
    <row r="17" spans="1:28" x14ac:dyDescent="0.25">
      <c r="A17" t="s">
        <v>1085</v>
      </c>
      <c r="B17">
        <v>15</v>
      </c>
      <c r="C17" t="s">
        <v>33</v>
      </c>
      <c r="D17">
        <v>3</v>
      </c>
      <c r="F17">
        <v>3</v>
      </c>
      <c r="G17" t="s">
        <v>34</v>
      </c>
      <c r="H17" t="s">
        <v>66</v>
      </c>
      <c r="I17" t="s">
        <v>131</v>
      </c>
      <c r="J17" t="s">
        <v>37</v>
      </c>
      <c r="K17" t="s">
        <v>53</v>
      </c>
      <c r="L17">
        <v>2</v>
      </c>
      <c r="M17">
        <v>3</v>
      </c>
      <c r="N17">
        <v>2</v>
      </c>
      <c r="O17" t="s">
        <v>112</v>
      </c>
      <c r="P17" t="s">
        <v>55</v>
      </c>
      <c r="S17" t="s">
        <v>63</v>
      </c>
      <c r="T17">
        <v>2</v>
      </c>
      <c r="V17">
        <v>3</v>
      </c>
      <c r="W17" t="s">
        <v>145</v>
      </c>
      <c r="X17" t="s">
        <v>146</v>
      </c>
      <c r="Y17" t="s">
        <v>148</v>
      </c>
      <c r="Z17" t="s">
        <v>151</v>
      </c>
      <c r="AA17">
        <v>0</v>
      </c>
      <c r="AB17">
        <v>21</v>
      </c>
    </row>
    <row r="18" spans="1:28" x14ac:dyDescent="0.25">
      <c r="A18" t="s">
        <v>1086</v>
      </c>
      <c r="B18">
        <v>16</v>
      </c>
      <c r="C18" t="s">
        <v>33</v>
      </c>
      <c r="D18">
        <v>2</v>
      </c>
      <c r="F18">
        <v>2</v>
      </c>
      <c r="G18" t="s">
        <v>34</v>
      </c>
      <c r="H18" t="s">
        <v>130</v>
      </c>
      <c r="I18" t="s">
        <v>132</v>
      </c>
      <c r="J18" t="s">
        <v>134</v>
      </c>
      <c r="K18" t="s">
        <v>53</v>
      </c>
      <c r="L18">
        <v>2</v>
      </c>
      <c r="M18">
        <v>3</v>
      </c>
      <c r="N18">
        <v>2</v>
      </c>
      <c r="O18" t="s">
        <v>112</v>
      </c>
      <c r="S18" t="s">
        <v>38</v>
      </c>
      <c r="T18">
        <v>1</v>
      </c>
      <c r="U18">
        <v>1</v>
      </c>
      <c r="V18">
        <v>1</v>
      </c>
      <c r="W18" t="s">
        <v>39</v>
      </c>
      <c r="X18" t="s">
        <v>40</v>
      </c>
      <c r="Y18" t="s">
        <v>153</v>
      </c>
      <c r="Z18" t="s">
        <v>155</v>
      </c>
      <c r="AA18">
        <v>0</v>
      </c>
      <c r="AB18">
        <v>17</v>
      </c>
    </row>
    <row r="19" spans="1:28" x14ac:dyDescent="0.25">
      <c r="A19" t="s">
        <v>1087</v>
      </c>
      <c r="B19">
        <v>17</v>
      </c>
      <c r="C19" t="s">
        <v>33</v>
      </c>
      <c r="D19">
        <v>3</v>
      </c>
      <c r="F19">
        <v>3</v>
      </c>
      <c r="G19" t="s">
        <v>34</v>
      </c>
      <c r="H19" t="s">
        <v>130</v>
      </c>
      <c r="I19" t="s">
        <v>132</v>
      </c>
      <c r="J19" t="s">
        <v>133</v>
      </c>
      <c r="K19" t="s">
        <v>53</v>
      </c>
      <c r="L19">
        <v>1</v>
      </c>
      <c r="M19">
        <v>3</v>
      </c>
      <c r="N19">
        <v>2</v>
      </c>
      <c r="O19" t="s">
        <v>112</v>
      </c>
      <c r="P19" t="s">
        <v>55</v>
      </c>
      <c r="S19" t="s">
        <v>227</v>
      </c>
      <c r="T19">
        <v>2</v>
      </c>
      <c r="U19">
        <v>3</v>
      </c>
      <c r="V19">
        <v>3</v>
      </c>
      <c r="W19" t="s">
        <v>228</v>
      </c>
      <c r="X19" t="s">
        <v>231</v>
      </c>
      <c r="AA19">
        <v>0</v>
      </c>
      <c r="AB19">
        <v>20</v>
      </c>
    </row>
    <row r="20" spans="1:28" x14ac:dyDescent="0.25">
      <c r="A20" t="s">
        <v>1088</v>
      </c>
      <c r="B20">
        <v>18</v>
      </c>
      <c r="C20" t="s">
        <v>53</v>
      </c>
      <c r="D20">
        <v>3</v>
      </c>
      <c r="E20">
        <v>3</v>
      </c>
      <c r="F20">
        <v>3</v>
      </c>
      <c r="G20" t="s">
        <v>112</v>
      </c>
      <c r="H20" t="s">
        <v>83</v>
      </c>
      <c r="I20" t="s">
        <v>114</v>
      </c>
      <c r="J20" t="s">
        <v>98</v>
      </c>
      <c r="K20" t="s">
        <v>43</v>
      </c>
      <c r="L20">
        <v>3</v>
      </c>
      <c r="N20">
        <v>3</v>
      </c>
      <c r="O20" t="s">
        <v>135</v>
      </c>
      <c r="P20" t="s">
        <v>74</v>
      </c>
      <c r="Q20" t="s">
        <v>75</v>
      </c>
      <c r="R20" t="s">
        <v>138</v>
      </c>
      <c r="S20" t="s">
        <v>45</v>
      </c>
      <c r="T20">
        <v>3</v>
      </c>
      <c r="V20">
        <v>3</v>
      </c>
      <c r="W20" t="s">
        <v>86</v>
      </c>
      <c r="X20" t="s">
        <v>76</v>
      </c>
      <c r="Y20" t="s">
        <v>142</v>
      </c>
      <c r="Z20" t="s">
        <v>94</v>
      </c>
      <c r="AA20">
        <v>0</v>
      </c>
      <c r="AB20">
        <v>35</v>
      </c>
    </row>
    <row r="21" spans="1:28" x14ac:dyDescent="0.25">
      <c r="A21" t="s">
        <v>1089</v>
      </c>
      <c r="B21">
        <v>19</v>
      </c>
      <c r="C21" t="s">
        <v>43</v>
      </c>
      <c r="D21">
        <v>3</v>
      </c>
      <c r="F21">
        <v>3</v>
      </c>
      <c r="G21" t="s">
        <v>135</v>
      </c>
      <c r="H21" t="s">
        <v>74</v>
      </c>
      <c r="I21" t="s">
        <v>137</v>
      </c>
      <c r="J21" t="s">
        <v>139</v>
      </c>
      <c r="K21" t="s">
        <v>53</v>
      </c>
      <c r="L21">
        <v>1</v>
      </c>
      <c r="M21">
        <v>3</v>
      </c>
      <c r="N21">
        <v>3</v>
      </c>
      <c r="O21" t="s">
        <v>112</v>
      </c>
      <c r="P21" t="s">
        <v>83</v>
      </c>
      <c r="Q21" t="s">
        <v>97</v>
      </c>
      <c r="S21" t="s">
        <v>63</v>
      </c>
      <c r="T21">
        <v>3</v>
      </c>
      <c r="V21">
        <v>3</v>
      </c>
      <c r="W21" t="s">
        <v>103</v>
      </c>
      <c r="X21" t="s">
        <v>91</v>
      </c>
      <c r="Y21" t="s">
        <v>148</v>
      </c>
      <c r="Z21" t="s">
        <v>151</v>
      </c>
      <c r="AA21">
        <v>0</v>
      </c>
      <c r="AB21">
        <v>26</v>
      </c>
    </row>
    <row r="22" spans="1:28" x14ac:dyDescent="0.25">
      <c r="A22" t="s">
        <v>1090</v>
      </c>
      <c r="B22">
        <v>20</v>
      </c>
      <c r="C22" t="s">
        <v>53</v>
      </c>
      <c r="D22">
        <v>3</v>
      </c>
      <c r="E22">
        <v>3</v>
      </c>
      <c r="F22">
        <v>3</v>
      </c>
      <c r="G22" t="s">
        <v>112</v>
      </c>
      <c r="H22" t="s">
        <v>83</v>
      </c>
      <c r="I22" t="s">
        <v>97</v>
      </c>
      <c r="J22" t="s">
        <v>115</v>
      </c>
      <c r="K22" t="s">
        <v>43</v>
      </c>
      <c r="L22">
        <v>3</v>
      </c>
      <c r="N22">
        <v>3</v>
      </c>
      <c r="O22" t="s">
        <v>135</v>
      </c>
      <c r="P22" t="s">
        <v>74</v>
      </c>
      <c r="Q22" t="s">
        <v>137</v>
      </c>
      <c r="R22" t="s">
        <v>139</v>
      </c>
      <c r="S22" t="s">
        <v>38</v>
      </c>
      <c r="T22">
        <v>3</v>
      </c>
      <c r="U22">
        <v>3</v>
      </c>
      <c r="V22">
        <v>3</v>
      </c>
      <c r="W22" t="s">
        <v>39</v>
      </c>
      <c r="X22" t="s">
        <v>40</v>
      </c>
      <c r="Y22" t="s">
        <v>41</v>
      </c>
      <c r="Z22" t="s">
        <v>156</v>
      </c>
      <c r="AA22">
        <v>0</v>
      </c>
      <c r="AB22">
        <v>46</v>
      </c>
    </row>
    <row r="23" spans="1:28" x14ac:dyDescent="0.25">
      <c r="A23" t="s">
        <v>1091</v>
      </c>
      <c r="B23">
        <v>21</v>
      </c>
      <c r="C23" t="s">
        <v>53</v>
      </c>
      <c r="D23">
        <v>3</v>
      </c>
      <c r="E23">
        <v>3</v>
      </c>
      <c r="F23">
        <v>3</v>
      </c>
      <c r="G23" t="s">
        <v>112</v>
      </c>
      <c r="H23" t="s">
        <v>83</v>
      </c>
      <c r="I23" t="s">
        <v>97</v>
      </c>
      <c r="J23" t="s">
        <v>115</v>
      </c>
      <c r="K23" t="s">
        <v>43</v>
      </c>
      <c r="L23">
        <v>3</v>
      </c>
      <c r="N23">
        <v>3</v>
      </c>
      <c r="O23" t="s">
        <v>135</v>
      </c>
      <c r="P23" t="s">
        <v>74</v>
      </c>
      <c r="Q23" t="s">
        <v>75</v>
      </c>
      <c r="R23" t="s">
        <v>139</v>
      </c>
      <c r="S23" t="s">
        <v>227</v>
      </c>
      <c r="T23">
        <v>2</v>
      </c>
      <c r="U23">
        <v>3</v>
      </c>
      <c r="V23">
        <v>3</v>
      </c>
      <c r="W23" t="s">
        <v>229</v>
      </c>
      <c r="X23" t="s">
        <v>231</v>
      </c>
      <c r="Y23" t="s">
        <v>235</v>
      </c>
      <c r="Z23" t="s">
        <v>238</v>
      </c>
      <c r="AA23">
        <v>0</v>
      </c>
      <c r="AB23">
        <v>36</v>
      </c>
    </row>
    <row r="24" spans="1:28" x14ac:dyDescent="0.25">
      <c r="A24" t="s">
        <v>1092</v>
      </c>
      <c r="B24">
        <v>22</v>
      </c>
      <c r="C24" t="s">
        <v>53</v>
      </c>
      <c r="D24">
        <v>3</v>
      </c>
      <c r="E24">
        <v>3</v>
      </c>
      <c r="F24">
        <v>3</v>
      </c>
      <c r="G24" t="s">
        <v>112</v>
      </c>
      <c r="H24" t="s">
        <v>55</v>
      </c>
      <c r="I24" t="s">
        <v>97</v>
      </c>
      <c r="J24" t="s">
        <v>115</v>
      </c>
      <c r="K24" t="s">
        <v>45</v>
      </c>
      <c r="L24">
        <v>3</v>
      </c>
      <c r="N24">
        <v>3</v>
      </c>
      <c r="O24" t="s">
        <v>86</v>
      </c>
      <c r="P24" t="s">
        <v>141</v>
      </c>
      <c r="Q24" t="s">
        <v>102</v>
      </c>
      <c r="R24" t="s">
        <v>94</v>
      </c>
      <c r="S24" t="s">
        <v>63</v>
      </c>
      <c r="T24">
        <v>3</v>
      </c>
      <c r="V24">
        <v>3</v>
      </c>
      <c r="W24" t="s">
        <v>103</v>
      </c>
      <c r="X24" t="s">
        <v>91</v>
      </c>
      <c r="Y24" t="s">
        <v>148</v>
      </c>
      <c r="Z24" t="s">
        <v>151</v>
      </c>
      <c r="AA24">
        <v>0</v>
      </c>
      <c r="AB24">
        <v>42</v>
      </c>
    </row>
    <row r="25" spans="1:28" x14ac:dyDescent="0.25">
      <c r="A25" t="s">
        <v>1093</v>
      </c>
      <c r="B25">
        <v>23</v>
      </c>
      <c r="C25" t="s">
        <v>53</v>
      </c>
      <c r="D25">
        <v>3</v>
      </c>
      <c r="E25">
        <v>3</v>
      </c>
      <c r="F25">
        <v>3</v>
      </c>
      <c r="G25" t="s">
        <v>112</v>
      </c>
      <c r="H25" t="s">
        <v>55</v>
      </c>
      <c r="I25" t="s">
        <v>97</v>
      </c>
      <c r="J25" t="s">
        <v>115</v>
      </c>
      <c r="K25" t="s">
        <v>45</v>
      </c>
      <c r="L25">
        <v>3</v>
      </c>
      <c r="N25">
        <v>3</v>
      </c>
      <c r="O25" t="s">
        <v>86</v>
      </c>
      <c r="P25" t="s">
        <v>141</v>
      </c>
      <c r="Q25" t="s">
        <v>93</v>
      </c>
      <c r="R25" t="s">
        <v>94</v>
      </c>
      <c r="S25" t="s">
        <v>38</v>
      </c>
      <c r="T25">
        <v>3</v>
      </c>
      <c r="U25">
        <v>3</v>
      </c>
      <c r="V25">
        <v>3</v>
      </c>
      <c r="W25" t="s">
        <v>39</v>
      </c>
      <c r="X25" t="s">
        <v>40</v>
      </c>
      <c r="Y25" t="s">
        <v>41</v>
      </c>
      <c r="Z25" t="s">
        <v>156</v>
      </c>
      <c r="AA25">
        <v>0</v>
      </c>
      <c r="AB25">
        <v>39</v>
      </c>
    </row>
    <row r="26" spans="1:28" x14ac:dyDescent="0.25">
      <c r="A26" t="s">
        <v>1094</v>
      </c>
      <c r="B26">
        <v>24</v>
      </c>
      <c r="C26" t="s">
        <v>45</v>
      </c>
      <c r="D26">
        <v>3</v>
      </c>
      <c r="F26">
        <v>2</v>
      </c>
      <c r="G26" t="s">
        <v>86</v>
      </c>
      <c r="H26" t="s">
        <v>76</v>
      </c>
      <c r="I26" t="s">
        <v>142</v>
      </c>
      <c r="J26" t="s">
        <v>94</v>
      </c>
      <c r="K26" t="s">
        <v>53</v>
      </c>
      <c r="L26">
        <v>1</v>
      </c>
      <c r="M26">
        <v>2</v>
      </c>
      <c r="N26">
        <v>3</v>
      </c>
      <c r="O26" t="s">
        <v>112</v>
      </c>
      <c r="P26" t="s">
        <v>83</v>
      </c>
      <c r="Q26" t="s">
        <v>97</v>
      </c>
      <c r="R26" t="s">
        <v>98</v>
      </c>
      <c r="S26" t="s">
        <v>227</v>
      </c>
      <c r="T26">
        <v>3</v>
      </c>
      <c r="U26">
        <v>1</v>
      </c>
      <c r="V26">
        <v>3</v>
      </c>
      <c r="W26" t="s">
        <v>228</v>
      </c>
      <c r="X26" t="s">
        <v>231</v>
      </c>
      <c r="Y26" t="s">
        <v>235</v>
      </c>
      <c r="Z26" t="s">
        <v>238</v>
      </c>
      <c r="AA26">
        <v>0</v>
      </c>
      <c r="AB26">
        <v>23</v>
      </c>
    </row>
    <row r="27" spans="1:28" x14ac:dyDescent="0.25">
      <c r="A27" t="s">
        <v>1095</v>
      </c>
      <c r="B27">
        <v>25</v>
      </c>
      <c r="C27" t="s">
        <v>53</v>
      </c>
      <c r="D27">
        <v>3</v>
      </c>
      <c r="E27">
        <v>3</v>
      </c>
      <c r="F27">
        <v>3</v>
      </c>
      <c r="G27" t="s">
        <v>112</v>
      </c>
      <c r="H27" t="s">
        <v>83</v>
      </c>
      <c r="I27" t="s">
        <v>97</v>
      </c>
      <c r="J27" t="s">
        <v>115</v>
      </c>
      <c r="K27" t="s">
        <v>63</v>
      </c>
      <c r="L27">
        <v>3</v>
      </c>
      <c r="N27">
        <v>3</v>
      </c>
      <c r="O27" t="s">
        <v>103</v>
      </c>
      <c r="P27" t="s">
        <v>91</v>
      </c>
      <c r="Q27" t="s">
        <v>148</v>
      </c>
      <c r="R27" t="s">
        <v>151</v>
      </c>
      <c r="S27" t="s">
        <v>38</v>
      </c>
      <c r="T27">
        <v>3</v>
      </c>
      <c r="U27">
        <v>3</v>
      </c>
      <c r="V27">
        <v>2</v>
      </c>
      <c r="W27" t="s">
        <v>39</v>
      </c>
      <c r="X27" t="s">
        <v>40</v>
      </c>
      <c r="Y27" t="s">
        <v>41</v>
      </c>
      <c r="Z27" t="s">
        <v>156</v>
      </c>
      <c r="AA27">
        <v>0</v>
      </c>
      <c r="AB27">
        <v>42</v>
      </c>
    </row>
    <row r="28" spans="1:28" x14ac:dyDescent="0.25">
      <c r="A28" t="s">
        <v>1096</v>
      </c>
      <c r="B28">
        <v>26</v>
      </c>
      <c r="C28" t="s">
        <v>227</v>
      </c>
      <c r="D28">
        <v>3</v>
      </c>
      <c r="E28">
        <v>3</v>
      </c>
      <c r="F28">
        <v>3</v>
      </c>
      <c r="G28" t="s">
        <v>229</v>
      </c>
      <c r="H28" t="s">
        <v>233</v>
      </c>
      <c r="I28" t="s">
        <v>235</v>
      </c>
      <c r="J28" t="s">
        <v>238</v>
      </c>
      <c r="K28" t="s">
        <v>53</v>
      </c>
      <c r="L28">
        <v>3</v>
      </c>
      <c r="M28">
        <v>3</v>
      </c>
      <c r="N28">
        <v>3</v>
      </c>
      <c r="O28" t="s">
        <v>112</v>
      </c>
      <c r="P28" t="s">
        <v>83</v>
      </c>
      <c r="Q28" t="s">
        <v>97</v>
      </c>
      <c r="R28" t="s">
        <v>115</v>
      </c>
      <c r="S28" t="s">
        <v>63</v>
      </c>
      <c r="T28">
        <v>3</v>
      </c>
      <c r="V28">
        <v>3</v>
      </c>
      <c r="W28" t="s">
        <v>103</v>
      </c>
      <c r="X28" t="s">
        <v>91</v>
      </c>
      <c r="Y28" t="s">
        <v>148</v>
      </c>
      <c r="Z28" t="s">
        <v>151</v>
      </c>
      <c r="AA28">
        <v>0</v>
      </c>
      <c r="AB28">
        <v>46</v>
      </c>
    </row>
    <row r="29" spans="1:28" x14ac:dyDescent="0.25">
      <c r="A29" t="s">
        <v>1097</v>
      </c>
      <c r="B29">
        <v>27</v>
      </c>
      <c r="C29" t="s">
        <v>53</v>
      </c>
      <c r="D29">
        <v>3</v>
      </c>
      <c r="E29">
        <v>3</v>
      </c>
      <c r="F29">
        <v>3</v>
      </c>
      <c r="G29" t="s">
        <v>112</v>
      </c>
      <c r="H29" t="s">
        <v>83</v>
      </c>
      <c r="I29" t="s">
        <v>97</v>
      </c>
      <c r="J29" t="s">
        <v>115</v>
      </c>
      <c r="K29" t="s">
        <v>38</v>
      </c>
      <c r="L29">
        <v>3</v>
      </c>
      <c r="M29">
        <v>3</v>
      </c>
      <c r="N29">
        <v>3</v>
      </c>
      <c r="O29" t="s">
        <v>39</v>
      </c>
      <c r="P29" t="s">
        <v>40</v>
      </c>
      <c r="Q29" t="s">
        <v>153</v>
      </c>
      <c r="R29" t="s">
        <v>42</v>
      </c>
      <c r="S29" t="s">
        <v>227</v>
      </c>
      <c r="T29">
        <v>3</v>
      </c>
      <c r="U29">
        <v>3</v>
      </c>
      <c r="V29">
        <v>3</v>
      </c>
      <c r="W29" t="s">
        <v>228</v>
      </c>
      <c r="X29" t="s">
        <v>233</v>
      </c>
      <c r="Y29" t="s">
        <v>235</v>
      </c>
      <c r="Z29" t="s">
        <v>238</v>
      </c>
      <c r="AA29">
        <v>0</v>
      </c>
      <c r="AB29">
        <v>41</v>
      </c>
    </row>
    <row r="30" spans="1:28" x14ac:dyDescent="0.25">
      <c r="A30" t="s">
        <v>1098</v>
      </c>
      <c r="B30">
        <v>28</v>
      </c>
      <c r="C30" t="s">
        <v>56</v>
      </c>
      <c r="D30">
        <v>3</v>
      </c>
      <c r="F30">
        <v>2</v>
      </c>
      <c r="G30" t="s">
        <v>120</v>
      </c>
      <c r="H30" t="s">
        <v>69</v>
      </c>
      <c r="I30" t="s">
        <v>87</v>
      </c>
      <c r="K30" t="s">
        <v>48</v>
      </c>
      <c r="L30">
        <v>3</v>
      </c>
      <c r="N30">
        <v>1</v>
      </c>
      <c r="O30" t="s">
        <v>126</v>
      </c>
      <c r="S30" t="s">
        <v>33</v>
      </c>
      <c r="T30">
        <v>2</v>
      </c>
      <c r="V30">
        <v>2</v>
      </c>
      <c r="W30" t="s">
        <v>34</v>
      </c>
      <c r="X30" t="s">
        <v>130</v>
      </c>
      <c r="Y30" t="s">
        <v>132</v>
      </c>
      <c r="Z30" t="s">
        <v>37</v>
      </c>
      <c r="AA30">
        <v>0</v>
      </c>
      <c r="AB30">
        <v>16</v>
      </c>
    </row>
    <row r="31" spans="1:28" x14ac:dyDescent="0.25">
      <c r="A31" t="s">
        <v>1099</v>
      </c>
      <c r="B31">
        <v>29</v>
      </c>
      <c r="C31" t="s">
        <v>48</v>
      </c>
      <c r="D31">
        <v>3</v>
      </c>
      <c r="F31">
        <v>3</v>
      </c>
      <c r="G31" t="s">
        <v>126</v>
      </c>
      <c r="H31" t="s">
        <v>84</v>
      </c>
      <c r="I31" t="s">
        <v>90</v>
      </c>
      <c r="J31" t="s">
        <v>128</v>
      </c>
      <c r="K31" t="s">
        <v>56</v>
      </c>
      <c r="L31">
        <v>3</v>
      </c>
      <c r="N31">
        <v>3</v>
      </c>
      <c r="O31" t="s">
        <v>120</v>
      </c>
      <c r="P31" t="s">
        <v>121</v>
      </c>
      <c r="Q31" t="s">
        <v>87</v>
      </c>
      <c r="R31" t="s">
        <v>88</v>
      </c>
      <c r="S31" t="s">
        <v>43</v>
      </c>
      <c r="T31">
        <v>3</v>
      </c>
      <c r="V31">
        <v>3</v>
      </c>
      <c r="W31" t="s">
        <v>73</v>
      </c>
      <c r="X31" t="s">
        <v>74</v>
      </c>
      <c r="Y31" t="s">
        <v>75</v>
      </c>
      <c r="Z31" t="s">
        <v>139</v>
      </c>
      <c r="AA31">
        <v>0</v>
      </c>
      <c r="AB31">
        <v>38</v>
      </c>
    </row>
    <row r="32" spans="1:28" x14ac:dyDescent="0.25">
      <c r="A32" t="s">
        <v>1100</v>
      </c>
      <c r="B32">
        <v>30</v>
      </c>
      <c r="C32" t="s">
        <v>56</v>
      </c>
      <c r="D32">
        <v>2</v>
      </c>
      <c r="F32">
        <v>3</v>
      </c>
      <c r="G32" t="s">
        <v>120</v>
      </c>
      <c r="H32" t="s">
        <v>69</v>
      </c>
      <c r="K32" t="s">
        <v>48</v>
      </c>
      <c r="L32">
        <v>1</v>
      </c>
      <c r="N32">
        <v>1</v>
      </c>
      <c r="O32" t="s">
        <v>126</v>
      </c>
      <c r="P32" t="s">
        <v>84</v>
      </c>
      <c r="Q32" t="s">
        <v>90</v>
      </c>
      <c r="S32" t="s">
        <v>45</v>
      </c>
      <c r="T32">
        <v>3</v>
      </c>
      <c r="V32">
        <v>1</v>
      </c>
      <c r="W32" t="s">
        <v>86</v>
      </c>
      <c r="X32" t="s">
        <v>141</v>
      </c>
      <c r="Y32" t="s">
        <v>93</v>
      </c>
      <c r="AA32">
        <v>0</v>
      </c>
      <c r="AB32">
        <v>13</v>
      </c>
    </row>
    <row r="33" spans="1:28" x14ac:dyDescent="0.25">
      <c r="A33" t="s">
        <v>1101</v>
      </c>
      <c r="B33">
        <v>31</v>
      </c>
      <c r="C33" t="s">
        <v>56</v>
      </c>
      <c r="D33">
        <v>3</v>
      </c>
      <c r="F33">
        <v>2</v>
      </c>
      <c r="G33" t="s">
        <v>57</v>
      </c>
      <c r="H33" t="s">
        <v>122</v>
      </c>
      <c r="I33" t="s">
        <v>85</v>
      </c>
      <c r="J33" t="s">
        <v>88</v>
      </c>
      <c r="K33" t="s">
        <v>48</v>
      </c>
      <c r="L33">
        <v>1</v>
      </c>
      <c r="N33">
        <v>1</v>
      </c>
      <c r="O33" t="s">
        <v>126</v>
      </c>
      <c r="P33" t="s">
        <v>84</v>
      </c>
      <c r="Q33" t="s">
        <v>127</v>
      </c>
      <c r="R33" t="s">
        <v>52</v>
      </c>
      <c r="S33" t="s">
        <v>63</v>
      </c>
      <c r="T33">
        <v>3</v>
      </c>
      <c r="V33">
        <v>2</v>
      </c>
      <c r="W33" t="s">
        <v>103</v>
      </c>
      <c r="X33" t="s">
        <v>91</v>
      </c>
      <c r="Y33" t="s">
        <v>148</v>
      </c>
      <c r="Z33" t="s">
        <v>151</v>
      </c>
      <c r="AA33">
        <v>0</v>
      </c>
      <c r="AB33">
        <v>19</v>
      </c>
    </row>
    <row r="34" spans="1:28" x14ac:dyDescent="0.25">
      <c r="A34" t="s">
        <v>1102</v>
      </c>
      <c r="B34">
        <v>32</v>
      </c>
      <c r="C34" t="s">
        <v>38</v>
      </c>
      <c r="D34">
        <v>1</v>
      </c>
      <c r="E34">
        <v>3</v>
      </c>
      <c r="F34">
        <v>2</v>
      </c>
      <c r="G34" t="s">
        <v>39</v>
      </c>
      <c r="H34" t="s">
        <v>40</v>
      </c>
      <c r="I34" t="s">
        <v>154</v>
      </c>
      <c r="J34" t="s">
        <v>156</v>
      </c>
      <c r="K34" t="s">
        <v>56</v>
      </c>
      <c r="L34">
        <v>3</v>
      </c>
      <c r="N34">
        <v>2</v>
      </c>
      <c r="O34" t="s">
        <v>120</v>
      </c>
      <c r="P34" t="s">
        <v>122</v>
      </c>
      <c r="Q34" t="s">
        <v>87</v>
      </c>
      <c r="S34" t="s">
        <v>48</v>
      </c>
      <c r="T34">
        <v>1</v>
      </c>
      <c r="V34">
        <v>1</v>
      </c>
      <c r="W34" t="s">
        <v>126</v>
      </c>
      <c r="X34" t="s">
        <v>84</v>
      </c>
      <c r="Y34" t="s">
        <v>127</v>
      </c>
      <c r="AA34">
        <v>0</v>
      </c>
      <c r="AB34">
        <v>16</v>
      </c>
    </row>
    <row r="35" spans="1:28" x14ac:dyDescent="0.25">
      <c r="A35" t="s">
        <v>1103</v>
      </c>
      <c r="B35">
        <v>33</v>
      </c>
      <c r="C35" t="s">
        <v>48</v>
      </c>
      <c r="D35">
        <v>3</v>
      </c>
      <c r="F35">
        <v>3</v>
      </c>
      <c r="G35" t="s">
        <v>126</v>
      </c>
      <c r="H35" t="s">
        <v>84</v>
      </c>
      <c r="I35" t="s">
        <v>127</v>
      </c>
      <c r="J35" t="s">
        <v>128</v>
      </c>
      <c r="K35" t="s">
        <v>56</v>
      </c>
      <c r="L35">
        <v>3</v>
      </c>
      <c r="N35">
        <v>3</v>
      </c>
      <c r="O35" t="s">
        <v>120</v>
      </c>
      <c r="P35" t="s">
        <v>69</v>
      </c>
      <c r="Q35" t="s">
        <v>87</v>
      </c>
      <c r="R35" t="s">
        <v>124</v>
      </c>
      <c r="S35" t="s">
        <v>227</v>
      </c>
      <c r="T35">
        <v>3</v>
      </c>
      <c r="U35">
        <v>3</v>
      </c>
      <c r="V35">
        <v>3</v>
      </c>
      <c r="W35" t="s">
        <v>229</v>
      </c>
      <c r="X35" t="s">
        <v>231</v>
      </c>
      <c r="Y35" t="s">
        <v>235</v>
      </c>
      <c r="Z35" t="s">
        <v>238</v>
      </c>
      <c r="AA35">
        <v>0</v>
      </c>
      <c r="AB35">
        <v>38</v>
      </c>
    </row>
    <row r="36" spans="1:28" x14ac:dyDescent="0.25">
      <c r="A36" t="s">
        <v>1104</v>
      </c>
      <c r="B36">
        <v>34</v>
      </c>
      <c r="C36" t="s">
        <v>43</v>
      </c>
      <c r="D36">
        <v>3</v>
      </c>
      <c r="F36">
        <v>2</v>
      </c>
      <c r="G36" t="s">
        <v>135</v>
      </c>
      <c r="H36" t="s">
        <v>136</v>
      </c>
      <c r="I36" t="s">
        <v>137</v>
      </c>
      <c r="J36" t="s">
        <v>138</v>
      </c>
      <c r="K36" t="s">
        <v>56</v>
      </c>
      <c r="L36">
        <v>3</v>
      </c>
      <c r="N36">
        <v>3</v>
      </c>
      <c r="O36" t="s">
        <v>120</v>
      </c>
      <c r="P36" t="s">
        <v>69</v>
      </c>
      <c r="Q36" t="s">
        <v>87</v>
      </c>
      <c r="S36" t="s">
        <v>33</v>
      </c>
      <c r="T36">
        <v>3</v>
      </c>
      <c r="V36">
        <v>3</v>
      </c>
      <c r="W36" t="s">
        <v>34</v>
      </c>
      <c r="AA36">
        <v>0</v>
      </c>
      <c r="AB36">
        <v>20</v>
      </c>
    </row>
    <row r="37" spans="1:28" x14ac:dyDescent="0.25">
      <c r="A37" t="s">
        <v>1105</v>
      </c>
      <c r="B37">
        <v>35</v>
      </c>
      <c r="C37" t="s">
        <v>33</v>
      </c>
      <c r="D37">
        <v>2</v>
      </c>
      <c r="F37">
        <v>3</v>
      </c>
      <c r="G37" t="s">
        <v>34</v>
      </c>
      <c r="H37" t="s">
        <v>130</v>
      </c>
      <c r="I37" t="s">
        <v>132</v>
      </c>
      <c r="K37" t="s">
        <v>56</v>
      </c>
      <c r="L37">
        <v>3</v>
      </c>
      <c r="N37">
        <v>3</v>
      </c>
      <c r="O37" t="s">
        <v>120</v>
      </c>
      <c r="S37" t="s">
        <v>45</v>
      </c>
      <c r="T37">
        <v>3</v>
      </c>
      <c r="V37">
        <v>1</v>
      </c>
      <c r="W37" t="s">
        <v>86</v>
      </c>
      <c r="AA37">
        <v>0</v>
      </c>
      <c r="AB37">
        <v>14</v>
      </c>
    </row>
    <row r="38" spans="1:28" x14ac:dyDescent="0.25">
      <c r="A38" t="s">
        <v>1106</v>
      </c>
      <c r="B38">
        <v>36</v>
      </c>
      <c r="C38" t="s">
        <v>56</v>
      </c>
      <c r="D38">
        <v>3</v>
      </c>
      <c r="F38">
        <v>1</v>
      </c>
      <c r="G38" t="s">
        <v>68</v>
      </c>
      <c r="K38" t="s">
        <v>33</v>
      </c>
      <c r="L38">
        <v>2</v>
      </c>
      <c r="N38">
        <v>2</v>
      </c>
      <c r="O38" t="s">
        <v>34</v>
      </c>
      <c r="P38" t="s">
        <v>35</v>
      </c>
      <c r="S38" t="s">
        <v>63</v>
      </c>
      <c r="T38">
        <v>1</v>
      </c>
      <c r="V38">
        <v>1</v>
      </c>
      <c r="W38" t="s">
        <v>145</v>
      </c>
      <c r="X38" t="s">
        <v>146</v>
      </c>
      <c r="AA38">
        <v>0</v>
      </c>
      <c r="AB38">
        <v>10</v>
      </c>
    </row>
    <row r="39" spans="1:28" x14ac:dyDescent="0.25">
      <c r="A39" t="s">
        <v>1107</v>
      </c>
      <c r="B39">
        <v>37</v>
      </c>
      <c r="C39" t="s">
        <v>56</v>
      </c>
      <c r="D39">
        <v>2</v>
      </c>
      <c r="F39">
        <v>2</v>
      </c>
      <c r="G39" t="s">
        <v>120</v>
      </c>
      <c r="H39" t="s">
        <v>69</v>
      </c>
      <c r="I39" t="s">
        <v>87</v>
      </c>
      <c r="K39" t="s">
        <v>33</v>
      </c>
      <c r="L39">
        <v>3</v>
      </c>
      <c r="N39">
        <v>3</v>
      </c>
      <c r="O39" t="s">
        <v>46</v>
      </c>
      <c r="S39" t="s">
        <v>38</v>
      </c>
      <c r="T39">
        <v>1</v>
      </c>
      <c r="U39">
        <v>1</v>
      </c>
      <c r="V39">
        <v>2</v>
      </c>
      <c r="W39" t="s">
        <v>39</v>
      </c>
      <c r="X39" t="s">
        <v>40</v>
      </c>
      <c r="Y39" t="s">
        <v>153</v>
      </c>
      <c r="AA39">
        <v>0</v>
      </c>
      <c r="AB39">
        <v>14</v>
      </c>
    </row>
    <row r="40" spans="1:28" x14ac:dyDescent="0.25">
      <c r="A40" t="s">
        <v>1108</v>
      </c>
      <c r="B40">
        <v>38</v>
      </c>
      <c r="C40" t="s">
        <v>56</v>
      </c>
      <c r="D40">
        <v>3</v>
      </c>
      <c r="F40">
        <v>1</v>
      </c>
      <c r="G40" t="s">
        <v>120</v>
      </c>
      <c r="H40" t="s">
        <v>122</v>
      </c>
      <c r="I40" t="s">
        <v>87</v>
      </c>
      <c r="J40" t="s">
        <v>125</v>
      </c>
      <c r="K40" t="s">
        <v>33</v>
      </c>
      <c r="L40">
        <v>2</v>
      </c>
      <c r="N40">
        <v>3</v>
      </c>
      <c r="O40" t="s">
        <v>34</v>
      </c>
      <c r="S40" t="s">
        <v>227</v>
      </c>
      <c r="T40">
        <v>2</v>
      </c>
      <c r="U40">
        <v>1</v>
      </c>
      <c r="V40">
        <v>3</v>
      </c>
      <c r="W40" t="s">
        <v>228</v>
      </c>
      <c r="X40" t="s">
        <v>232</v>
      </c>
      <c r="Y40" t="s">
        <v>235</v>
      </c>
      <c r="AA40">
        <v>0</v>
      </c>
      <c r="AB40">
        <v>16</v>
      </c>
    </row>
    <row r="41" spans="1:28" x14ac:dyDescent="0.25">
      <c r="A41" t="s">
        <v>1109</v>
      </c>
      <c r="B41">
        <v>39</v>
      </c>
      <c r="C41" t="s">
        <v>56</v>
      </c>
      <c r="D41">
        <v>1</v>
      </c>
      <c r="F41">
        <v>3</v>
      </c>
      <c r="G41" t="s">
        <v>120</v>
      </c>
      <c r="H41" t="s">
        <v>69</v>
      </c>
      <c r="I41" t="s">
        <v>87</v>
      </c>
      <c r="K41" t="s">
        <v>43</v>
      </c>
      <c r="L41">
        <v>1</v>
      </c>
      <c r="N41">
        <v>1</v>
      </c>
      <c r="O41" t="s">
        <v>73</v>
      </c>
      <c r="P41" t="s">
        <v>136</v>
      </c>
      <c r="Q41" t="s">
        <v>100</v>
      </c>
      <c r="S41" t="s">
        <v>45</v>
      </c>
      <c r="T41">
        <v>3</v>
      </c>
      <c r="V41">
        <v>1</v>
      </c>
      <c r="W41" t="s">
        <v>86</v>
      </c>
      <c r="X41" t="s">
        <v>141</v>
      </c>
      <c r="Y41" t="s">
        <v>102</v>
      </c>
      <c r="AA41">
        <v>0</v>
      </c>
      <c r="AB41">
        <v>14</v>
      </c>
    </row>
    <row r="42" spans="1:28" x14ac:dyDescent="0.25">
      <c r="A42" t="s">
        <v>1110</v>
      </c>
      <c r="B42">
        <v>40</v>
      </c>
      <c r="C42" t="s">
        <v>56</v>
      </c>
      <c r="D42">
        <v>2</v>
      </c>
      <c r="F42">
        <v>1</v>
      </c>
      <c r="G42" t="s">
        <v>120</v>
      </c>
      <c r="H42" t="s">
        <v>69</v>
      </c>
      <c r="I42" t="s">
        <v>87</v>
      </c>
      <c r="J42" t="s">
        <v>125</v>
      </c>
      <c r="K42" t="s">
        <v>43</v>
      </c>
      <c r="L42">
        <v>2</v>
      </c>
      <c r="N42">
        <v>1</v>
      </c>
      <c r="O42" t="s">
        <v>135</v>
      </c>
      <c r="P42" t="s">
        <v>136</v>
      </c>
      <c r="Q42" t="s">
        <v>137</v>
      </c>
      <c r="R42" t="s">
        <v>138</v>
      </c>
      <c r="S42" t="s">
        <v>63</v>
      </c>
      <c r="T42">
        <v>1</v>
      </c>
      <c r="V42">
        <v>1</v>
      </c>
      <c r="W42" t="s">
        <v>145</v>
      </c>
      <c r="X42" t="s">
        <v>146</v>
      </c>
      <c r="Y42" t="s">
        <v>148</v>
      </c>
      <c r="AA42">
        <v>0</v>
      </c>
      <c r="AB42">
        <v>14</v>
      </c>
    </row>
    <row r="43" spans="1:28" x14ac:dyDescent="0.25">
      <c r="A43" t="s">
        <v>1111</v>
      </c>
      <c r="B43">
        <v>41</v>
      </c>
      <c r="C43" t="s">
        <v>56</v>
      </c>
      <c r="D43">
        <v>3</v>
      </c>
      <c r="F43">
        <v>3</v>
      </c>
      <c r="G43" t="s">
        <v>120</v>
      </c>
      <c r="H43" t="s">
        <v>69</v>
      </c>
      <c r="I43" t="s">
        <v>87</v>
      </c>
      <c r="J43" t="s">
        <v>125</v>
      </c>
      <c r="K43" t="s">
        <v>43</v>
      </c>
      <c r="L43">
        <v>3</v>
      </c>
      <c r="N43">
        <v>2</v>
      </c>
      <c r="O43" t="s">
        <v>73</v>
      </c>
      <c r="P43" t="s">
        <v>136</v>
      </c>
      <c r="Q43" t="s">
        <v>100</v>
      </c>
      <c r="R43" t="s">
        <v>139</v>
      </c>
      <c r="S43" t="s">
        <v>38</v>
      </c>
      <c r="T43">
        <v>1</v>
      </c>
      <c r="U43">
        <v>3</v>
      </c>
      <c r="V43">
        <v>3</v>
      </c>
      <c r="W43" t="s">
        <v>39</v>
      </c>
      <c r="X43" t="s">
        <v>40</v>
      </c>
      <c r="Y43" t="s">
        <v>153</v>
      </c>
      <c r="Z43" t="s">
        <v>156</v>
      </c>
      <c r="AA43">
        <v>0</v>
      </c>
      <c r="AB43">
        <v>23</v>
      </c>
    </row>
    <row r="44" spans="1:28" x14ac:dyDescent="0.25">
      <c r="A44" t="s">
        <v>1112</v>
      </c>
      <c r="B44">
        <v>42</v>
      </c>
      <c r="C44" t="s">
        <v>56</v>
      </c>
      <c r="D44">
        <v>3</v>
      </c>
      <c r="F44">
        <v>3</v>
      </c>
      <c r="G44" t="s">
        <v>120</v>
      </c>
      <c r="H44" t="s">
        <v>69</v>
      </c>
      <c r="I44" t="s">
        <v>87</v>
      </c>
      <c r="J44" t="s">
        <v>88</v>
      </c>
      <c r="K44" t="s">
        <v>43</v>
      </c>
      <c r="L44">
        <v>3</v>
      </c>
      <c r="N44">
        <v>3</v>
      </c>
      <c r="O44" t="s">
        <v>135</v>
      </c>
      <c r="P44" t="s">
        <v>136</v>
      </c>
      <c r="Q44" t="s">
        <v>75</v>
      </c>
      <c r="R44" t="s">
        <v>138</v>
      </c>
      <c r="S44" t="s">
        <v>227</v>
      </c>
      <c r="T44">
        <v>2</v>
      </c>
      <c r="U44">
        <v>3</v>
      </c>
      <c r="V44">
        <v>3</v>
      </c>
      <c r="W44" t="s">
        <v>229</v>
      </c>
      <c r="X44" t="s">
        <v>232</v>
      </c>
      <c r="Y44" t="s">
        <v>235</v>
      </c>
      <c r="Z44" t="s">
        <v>238</v>
      </c>
      <c r="AA44">
        <v>0</v>
      </c>
      <c r="AB44">
        <v>29</v>
      </c>
    </row>
    <row r="45" spans="1:28" x14ac:dyDescent="0.25">
      <c r="A45" t="s">
        <v>1113</v>
      </c>
      <c r="B45">
        <v>43</v>
      </c>
      <c r="C45" t="s">
        <v>56</v>
      </c>
      <c r="D45">
        <v>3</v>
      </c>
      <c r="F45">
        <v>3</v>
      </c>
      <c r="G45" t="s">
        <v>57</v>
      </c>
      <c r="H45" t="s">
        <v>69</v>
      </c>
      <c r="I45" t="s">
        <v>85</v>
      </c>
      <c r="J45" t="s">
        <v>125</v>
      </c>
      <c r="K45" t="s">
        <v>45</v>
      </c>
      <c r="L45">
        <v>3</v>
      </c>
      <c r="N45">
        <v>3</v>
      </c>
      <c r="O45" t="s">
        <v>86</v>
      </c>
      <c r="P45" t="s">
        <v>141</v>
      </c>
      <c r="Q45" t="s">
        <v>142</v>
      </c>
      <c r="R45" t="s">
        <v>144</v>
      </c>
      <c r="S45" t="s">
        <v>63</v>
      </c>
      <c r="T45">
        <v>2</v>
      </c>
      <c r="V45">
        <v>3</v>
      </c>
      <c r="W45" t="s">
        <v>145</v>
      </c>
      <c r="X45" t="s">
        <v>146</v>
      </c>
      <c r="Y45" t="s">
        <v>148</v>
      </c>
      <c r="Z45" t="s">
        <v>151</v>
      </c>
      <c r="AA45">
        <v>0</v>
      </c>
      <c r="AB45">
        <v>27</v>
      </c>
    </row>
    <row r="46" spans="1:28" x14ac:dyDescent="0.25">
      <c r="A46" t="s">
        <v>1114</v>
      </c>
      <c r="B46">
        <v>44</v>
      </c>
      <c r="C46" t="s">
        <v>38</v>
      </c>
      <c r="D46">
        <v>3</v>
      </c>
      <c r="E46">
        <v>2</v>
      </c>
      <c r="F46">
        <v>2</v>
      </c>
      <c r="G46" t="s">
        <v>39</v>
      </c>
      <c r="H46" t="s">
        <v>96</v>
      </c>
      <c r="I46" t="s">
        <v>154</v>
      </c>
      <c r="J46" t="s">
        <v>156</v>
      </c>
      <c r="K46" t="s">
        <v>56</v>
      </c>
      <c r="L46">
        <v>2</v>
      </c>
      <c r="N46">
        <v>3</v>
      </c>
      <c r="O46" t="s">
        <v>120</v>
      </c>
      <c r="P46" t="s">
        <v>122</v>
      </c>
      <c r="Q46" t="s">
        <v>85</v>
      </c>
      <c r="R46" t="s">
        <v>124</v>
      </c>
      <c r="S46" t="s">
        <v>45</v>
      </c>
      <c r="T46">
        <v>3</v>
      </c>
      <c r="V46">
        <v>1</v>
      </c>
      <c r="W46" t="s">
        <v>86</v>
      </c>
      <c r="AA46">
        <v>0</v>
      </c>
      <c r="AB46">
        <v>18</v>
      </c>
    </row>
    <row r="47" spans="1:28" x14ac:dyDescent="0.25">
      <c r="A47" t="s">
        <v>1115</v>
      </c>
      <c r="B47">
        <v>45</v>
      </c>
      <c r="C47" t="s">
        <v>227</v>
      </c>
      <c r="D47">
        <v>2</v>
      </c>
      <c r="E47">
        <v>3</v>
      </c>
      <c r="F47">
        <v>3</v>
      </c>
      <c r="G47" t="s">
        <v>228</v>
      </c>
      <c r="H47" t="s">
        <v>231</v>
      </c>
      <c r="K47" t="s">
        <v>56</v>
      </c>
      <c r="L47">
        <v>3</v>
      </c>
      <c r="N47">
        <v>2</v>
      </c>
      <c r="O47" t="s">
        <v>57</v>
      </c>
      <c r="P47" t="s">
        <v>122</v>
      </c>
      <c r="Q47" t="s">
        <v>85</v>
      </c>
      <c r="S47" t="s">
        <v>45</v>
      </c>
      <c r="T47">
        <v>3</v>
      </c>
      <c r="V47">
        <v>1</v>
      </c>
      <c r="W47" t="s">
        <v>86</v>
      </c>
      <c r="AA47">
        <v>0</v>
      </c>
      <c r="AB47">
        <v>16</v>
      </c>
    </row>
    <row r="48" spans="1:28" x14ac:dyDescent="0.25">
      <c r="A48" t="s">
        <v>1116</v>
      </c>
      <c r="B48">
        <v>46</v>
      </c>
      <c r="C48" t="s">
        <v>56</v>
      </c>
      <c r="D48">
        <v>3</v>
      </c>
      <c r="F48">
        <v>3</v>
      </c>
      <c r="G48" t="s">
        <v>57</v>
      </c>
      <c r="H48" t="s">
        <v>122</v>
      </c>
      <c r="I48" t="s">
        <v>85</v>
      </c>
      <c r="J48" t="s">
        <v>125</v>
      </c>
      <c r="K48" t="s">
        <v>63</v>
      </c>
      <c r="L48">
        <v>2</v>
      </c>
      <c r="N48">
        <v>2</v>
      </c>
      <c r="O48" t="s">
        <v>103</v>
      </c>
      <c r="P48" t="s">
        <v>146</v>
      </c>
      <c r="Q48" t="s">
        <v>104</v>
      </c>
      <c r="R48" t="s">
        <v>151</v>
      </c>
      <c r="S48" t="s">
        <v>38</v>
      </c>
      <c r="T48">
        <v>3</v>
      </c>
      <c r="U48">
        <v>3</v>
      </c>
      <c r="V48">
        <v>3</v>
      </c>
      <c r="W48" t="s">
        <v>39</v>
      </c>
      <c r="X48" t="s">
        <v>96</v>
      </c>
      <c r="Y48" t="s">
        <v>154</v>
      </c>
      <c r="Z48" t="s">
        <v>156</v>
      </c>
      <c r="AA48">
        <v>0</v>
      </c>
      <c r="AB48">
        <v>26</v>
      </c>
    </row>
    <row r="49" spans="1:28" x14ac:dyDescent="0.25">
      <c r="A49" t="s">
        <v>1117</v>
      </c>
      <c r="B49">
        <v>47</v>
      </c>
      <c r="C49" t="s">
        <v>56</v>
      </c>
      <c r="D49">
        <v>3</v>
      </c>
      <c r="F49">
        <v>1</v>
      </c>
      <c r="G49" t="s">
        <v>57</v>
      </c>
      <c r="H49" t="s">
        <v>122</v>
      </c>
      <c r="I49" t="s">
        <v>87</v>
      </c>
      <c r="K49" t="s">
        <v>63</v>
      </c>
      <c r="L49">
        <v>1</v>
      </c>
      <c r="N49">
        <v>1</v>
      </c>
      <c r="O49" t="s">
        <v>103</v>
      </c>
      <c r="P49" t="s">
        <v>91</v>
      </c>
      <c r="Q49" t="s">
        <v>147</v>
      </c>
      <c r="S49" t="s">
        <v>227</v>
      </c>
      <c r="T49">
        <v>1</v>
      </c>
      <c r="U49">
        <v>3</v>
      </c>
      <c r="V49">
        <v>3</v>
      </c>
      <c r="W49" t="s">
        <v>229</v>
      </c>
      <c r="AA49">
        <v>0</v>
      </c>
      <c r="AB49">
        <v>13</v>
      </c>
    </row>
    <row r="50" spans="1:28" x14ac:dyDescent="0.25">
      <c r="A50" t="s">
        <v>1118</v>
      </c>
      <c r="B50">
        <v>48</v>
      </c>
      <c r="C50" t="s">
        <v>227</v>
      </c>
      <c r="D50">
        <v>3</v>
      </c>
      <c r="E50">
        <v>3</v>
      </c>
      <c r="F50">
        <v>3</v>
      </c>
      <c r="G50" t="s">
        <v>228</v>
      </c>
      <c r="H50" t="s">
        <v>233</v>
      </c>
      <c r="I50" t="s">
        <v>235</v>
      </c>
      <c r="J50" t="s">
        <v>237</v>
      </c>
      <c r="K50" t="s">
        <v>56</v>
      </c>
      <c r="L50">
        <v>3</v>
      </c>
      <c r="N50">
        <v>3</v>
      </c>
      <c r="O50" t="s">
        <v>57</v>
      </c>
      <c r="P50" t="s">
        <v>69</v>
      </c>
      <c r="Q50" t="s">
        <v>85</v>
      </c>
      <c r="R50" t="s">
        <v>125</v>
      </c>
      <c r="S50" t="s">
        <v>38</v>
      </c>
      <c r="T50">
        <v>3</v>
      </c>
      <c r="U50">
        <v>3</v>
      </c>
      <c r="V50">
        <v>3</v>
      </c>
      <c r="W50" t="s">
        <v>39</v>
      </c>
      <c r="X50" t="s">
        <v>96</v>
      </c>
      <c r="Y50" t="s">
        <v>153</v>
      </c>
      <c r="Z50" t="s">
        <v>42</v>
      </c>
      <c r="AA50">
        <v>0</v>
      </c>
      <c r="AB50">
        <v>38</v>
      </c>
    </row>
    <row r="51" spans="1:28" x14ac:dyDescent="0.25">
      <c r="A51" t="s">
        <v>1119</v>
      </c>
      <c r="B51">
        <v>49</v>
      </c>
      <c r="C51" t="s">
        <v>33</v>
      </c>
      <c r="D51">
        <v>1</v>
      </c>
      <c r="F51">
        <v>3</v>
      </c>
      <c r="G51" t="s">
        <v>34</v>
      </c>
      <c r="H51" t="s">
        <v>130</v>
      </c>
      <c r="I51" t="s">
        <v>36</v>
      </c>
      <c r="K51" t="s">
        <v>48</v>
      </c>
      <c r="L51">
        <v>3</v>
      </c>
      <c r="N51">
        <v>1</v>
      </c>
      <c r="O51" t="s">
        <v>126</v>
      </c>
      <c r="S51" t="s">
        <v>43</v>
      </c>
      <c r="T51">
        <v>3</v>
      </c>
      <c r="V51">
        <v>2</v>
      </c>
      <c r="W51" t="s">
        <v>135</v>
      </c>
      <c r="AA51">
        <v>0</v>
      </c>
      <c r="AB51">
        <v>12</v>
      </c>
    </row>
    <row r="52" spans="1:28" x14ac:dyDescent="0.25">
      <c r="A52" t="s">
        <v>1120</v>
      </c>
      <c r="B52">
        <v>50</v>
      </c>
      <c r="C52" t="s">
        <v>45</v>
      </c>
      <c r="D52">
        <v>3</v>
      </c>
      <c r="F52">
        <v>1</v>
      </c>
      <c r="G52" t="s">
        <v>47</v>
      </c>
      <c r="H52" t="s">
        <v>92</v>
      </c>
      <c r="I52" t="s">
        <v>142</v>
      </c>
      <c r="J52" t="s">
        <v>144</v>
      </c>
      <c r="K52" t="s">
        <v>48</v>
      </c>
      <c r="L52">
        <v>3</v>
      </c>
      <c r="N52">
        <v>1</v>
      </c>
      <c r="O52" t="s">
        <v>126</v>
      </c>
      <c r="P52" t="s">
        <v>84</v>
      </c>
      <c r="Q52" t="s">
        <v>127</v>
      </c>
      <c r="S52" t="s">
        <v>33</v>
      </c>
      <c r="T52">
        <v>1</v>
      </c>
      <c r="V52">
        <v>3</v>
      </c>
      <c r="W52" t="s">
        <v>34</v>
      </c>
      <c r="X52" t="s">
        <v>130</v>
      </c>
      <c r="Y52" t="s">
        <v>132</v>
      </c>
      <c r="AA52">
        <v>0</v>
      </c>
      <c r="AB52">
        <v>16</v>
      </c>
    </row>
    <row r="53" spans="1:28" x14ac:dyDescent="0.25">
      <c r="A53" t="s">
        <v>1121</v>
      </c>
      <c r="B53">
        <v>51</v>
      </c>
      <c r="C53" t="s">
        <v>63</v>
      </c>
      <c r="D53">
        <v>3</v>
      </c>
      <c r="F53">
        <v>2</v>
      </c>
      <c r="G53" t="s">
        <v>145</v>
      </c>
      <c r="H53" t="s">
        <v>146</v>
      </c>
      <c r="I53" t="s">
        <v>148</v>
      </c>
      <c r="J53" t="s">
        <v>150</v>
      </c>
      <c r="K53" t="s">
        <v>48</v>
      </c>
      <c r="L53">
        <v>2</v>
      </c>
      <c r="N53">
        <v>2</v>
      </c>
      <c r="O53" t="s">
        <v>126</v>
      </c>
      <c r="P53" t="s">
        <v>84</v>
      </c>
      <c r="Q53" t="s">
        <v>90</v>
      </c>
      <c r="S53" t="s">
        <v>33</v>
      </c>
      <c r="T53">
        <v>3</v>
      </c>
      <c r="V53">
        <v>3</v>
      </c>
      <c r="W53" t="s">
        <v>34</v>
      </c>
      <c r="X53" t="s">
        <v>130</v>
      </c>
      <c r="Y53" t="s">
        <v>36</v>
      </c>
      <c r="Z53" t="s">
        <v>37</v>
      </c>
      <c r="AA53">
        <v>0</v>
      </c>
      <c r="AB53">
        <v>21</v>
      </c>
    </row>
    <row r="54" spans="1:28" x14ac:dyDescent="0.25">
      <c r="A54" t="s">
        <v>1122</v>
      </c>
      <c r="B54">
        <v>52</v>
      </c>
      <c r="C54" t="s">
        <v>38</v>
      </c>
      <c r="D54">
        <v>1</v>
      </c>
      <c r="E54">
        <v>2</v>
      </c>
      <c r="F54">
        <v>3</v>
      </c>
      <c r="G54" t="s">
        <v>39</v>
      </c>
      <c r="H54" t="s">
        <v>40</v>
      </c>
      <c r="I54" t="s">
        <v>153</v>
      </c>
      <c r="J54" t="s">
        <v>156</v>
      </c>
      <c r="K54" t="s">
        <v>48</v>
      </c>
      <c r="L54">
        <v>3</v>
      </c>
      <c r="N54">
        <v>1</v>
      </c>
      <c r="O54" t="s">
        <v>126</v>
      </c>
      <c r="P54" t="s">
        <v>71</v>
      </c>
      <c r="Q54" t="s">
        <v>127</v>
      </c>
      <c r="R54" t="s">
        <v>128</v>
      </c>
      <c r="S54" t="s">
        <v>33</v>
      </c>
      <c r="T54">
        <v>1</v>
      </c>
      <c r="V54">
        <v>2</v>
      </c>
      <c r="W54" t="s">
        <v>34</v>
      </c>
      <c r="X54" t="s">
        <v>130</v>
      </c>
      <c r="Y54" t="s">
        <v>132</v>
      </c>
      <c r="Z54" t="s">
        <v>133</v>
      </c>
      <c r="AA54">
        <v>0</v>
      </c>
      <c r="AB54">
        <v>18</v>
      </c>
    </row>
    <row r="55" spans="1:28" x14ac:dyDescent="0.25">
      <c r="A55" t="s">
        <v>1123</v>
      </c>
      <c r="B55">
        <v>53</v>
      </c>
      <c r="C55" t="s">
        <v>227</v>
      </c>
      <c r="D55">
        <v>1</v>
      </c>
      <c r="E55">
        <v>1</v>
      </c>
      <c r="F55">
        <v>2</v>
      </c>
      <c r="G55" t="s">
        <v>228</v>
      </c>
      <c r="H55" t="s">
        <v>231</v>
      </c>
      <c r="K55" t="s">
        <v>48</v>
      </c>
      <c r="L55">
        <v>2</v>
      </c>
      <c r="N55">
        <v>1</v>
      </c>
      <c r="O55" t="s">
        <v>89</v>
      </c>
      <c r="S55" t="s">
        <v>33</v>
      </c>
      <c r="T55">
        <v>3</v>
      </c>
      <c r="V55">
        <v>2</v>
      </c>
      <c r="W55" t="s">
        <v>34</v>
      </c>
      <c r="AA55">
        <v>0</v>
      </c>
      <c r="AB55">
        <v>10</v>
      </c>
    </row>
    <row r="56" spans="1:28" x14ac:dyDescent="0.25">
      <c r="A56" t="s">
        <v>1124</v>
      </c>
      <c r="B56">
        <v>54</v>
      </c>
      <c r="C56" t="s">
        <v>45</v>
      </c>
      <c r="D56">
        <v>3</v>
      </c>
      <c r="F56">
        <v>3</v>
      </c>
      <c r="G56" t="s">
        <v>86</v>
      </c>
      <c r="H56" t="s">
        <v>141</v>
      </c>
      <c r="I56" t="s">
        <v>102</v>
      </c>
      <c r="J56" t="s">
        <v>143</v>
      </c>
      <c r="K56" t="s">
        <v>48</v>
      </c>
      <c r="L56">
        <v>1</v>
      </c>
      <c r="N56">
        <v>1</v>
      </c>
      <c r="O56" t="s">
        <v>126</v>
      </c>
      <c r="P56" t="s">
        <v>84</v>
      </c>
      <c r="S56" t="s">
        <v>43</v>
      </c>
      <c r="T56">
        <v>2</v>
      </c>
      <c r="V56">
        <v>3</v>
      </c>
      <c r="W56" t="s">
        <v>73</v>
      </c>
      <c r="X56" t="s">
        <v>74</v>
      </c>
      <c r="Y56" t="s">
        <v>100</v>
      </c>
      <c r="Z56" t="s">
        <v>101</v>
      </c>
      <c r="AA56">
        <v>0</v>
      </c>
      <c r="AB56">
        <v>18</v>
      </c>
    </row>
    <row r="57" spans="1:28" x14ac:dyDescent="0.25">
      <c r="A57" t="s">
        <v>1125</v>
      </c>
      <c r="B57">
        <v>55</v>
      </c>
      <c r="C57" t="s">
        <v>63</v>
      </c>
      <c r="D57">
        <v>3</v>
      </c>
      <c r="F57">
        <v>3</v>
      </c>
      <c r="G57" t="s">
        <v>145</v>
      </c>
      <c r="H57" t="s">
        <v>146</v>
      </c>
      <c r="I57" t="s">
        <v>148</v>
      </c>
      <c r="J57" t="s">
        <v>149</v>
      </c>
      <c r="K57" t="s">
        <v>48</v>
      </c>
      <c r="L57">
        <v>3</v>
      </c>
      <c r="N57">
        <v>3</v>
      </c>
      <c r="O57" t="s">
        <v>126</v>
      </c>
      <c r="P57" t="s">
        <v>84</v>
      </c>
      <c r="Q57" t="s">
        <v>90</v>
      </c>
      <c r="R57" t="s">
        <v>128</v>
      </c>
      <c r="S57" t="s">
        <v>43</v>
      </c>
      <c r="T57">
        <v>3</v>
      </c>
      <c r="V57">
        <v>3</v>
      </c>
      <c r="W57" t="s">
        <v>73</v>
      </c>
      <c r="X57" t="s">
        <v>74</v>
      </c>
      <c r="Y57" t="s">
        <v>100</v>
      </c>
      <c r="Z57" t="s">
        <v>101</v>
      </c>
      <c r="AA57">
        <v>0</v>
      </c>
      <c r="AB57">
        <v>39</v>
      </c>
    </row>
    <row r="58" spans="1:28" x14ac:dyDescent="0.25">
      <c r="A58" t="s">
        <v>1126</v>
      </c>
      <c r="B58">
        <v>56</v>
      </c>
      <c r="C58" t="s">
        <v>48</v>
      </c>
      <c r="D58">
        <v>3</v>
      </c>
      <c r="F58">
        <v>3</v>
      </c>
      <c r="G58" t="s">
        <v>126</v>
      </c>
      <c r="H58" t="s">
        <v>84</v>
      </c>
      <c r="I58" t="s">
        <v>90</v>
      </c>
      <c r="J58" t="s">
        <v>128</v>
      </c>
      <c r="K58" t="s">
        <v>43</v>
      </c>
      <c r="L58">
        <v>3</v>
      </c>
      <c r="N58">
        <v>1</v>
      </c>
      <c r="O58" t="s">
        <v>135</v>
      </c>
      <c r="P58" t="s">
        <v>74</v>
      </c>
      <c r="Q58" t="s">
        <v>137</v>
      </c>
      <c r="R58" t="s">
        <v>139</v>
      </c>
      <c r="S58" t="s">
        <v>38</v>
      </c>
      <c r="T58">
        <v>3</v>
      </c>
      <c r="U58">
        <v>3</v>
      </c>
      <c r="V58">
        <v>3</v>
      </c>
      <c r="W58" t="s">
        <v>39</v>
      </c>
      <c r="X58" t="s">
        <v>40</v>
      </c>
      <c r="Y58" t="s">
        <v>154</v>
      </c>
      <c r="Z58" t="s">
        <v>156</v>
      </c>
      <c r="AA58">
        <v>0</v>
      </c>
      <c r="AB58">
        <v>36</v>
      </c>
    </row>
    <row r="59" spans="1:28" x14ac:dyDescent="0.25">
      <c r="A59" t="s">
        <v>1127</v>
      </c>
      <c r="B59">
        <v>57</v>
      </c>
      <c r="C59" t="s">
        <v>48</v>
      </c>
      <c r="D59">
        <v>3</v>
      </c>
      <c r="F59">
        <v>3</v>
      </c>
      <c r="G59" t="s">
        <v>126</v>
      </c>
      <c r="H59" t="s">
        <v>84</v>
      </c>
      <c r="I59" t="s">
        <v>90</v>
      </c>
      <c r="J59" t="s">
        <v>128</v>
      </c>
      <c r="K59" t="s">
        <v>43</v>
      </c>
      <c r="L59">
        <v>3</v>
      </c>
      <c r="N59">
        <v>3</v>
      </c>
      <c r="O59" t="s">
        <v>135</v>
      </c>
      <c r="P59" t="s">
        <v>136</v>
      </c>
      <c r="Q59" t="s">
        <v>100</v>
      </c>
      <c r="R59" t="s">
        <v>101</v>
      </c>
      <c r="S59" t="s">
        <v>227</v>
      </c>
      <c r="T59">
        <v>3</v>
      </c>
      <c r="U59">
        <v>3</v>
      </c>
      <c r="V59">
        <v>3</v>
      </c>
      <c r="W59" t="s">
        <v>229</v>
      </c>
      <c r="X59" t="s">
        <v>231</v>
      </c>
      <c r="Y59" t="s">
        <v>235</v>
      </c>
      <c r="Z59" t="s">
        <v>238</v>
      </c>
      <c r="AA59">
        <v>0</v>
      </c>
      <c r="AB59">
        <v>41</v>
      </c>
    </row>
    <row r="60" spans="1:28" x14ac:dyDescent="0.25">
      <c r="A60" t="s">
        <v>1128</v>
      </c>
      <c r="B60">
        <v>58</v>
      </c>
      <c r="C60" t="s">
        <v>48</v>
      </c>
      <c r="D60">
        <v>3</v>
      </c>
      <c r="F60">
        <v>3</v>
      </c>
      <c r="G60" t="s">
        <v>126</v>
      </c>
      <c r="H60" t="s">
        <v>84</v>
      </c>
      <c r="I60" t="s">
        <v>127</v>
      </c>
      <c r="J60" t="s">
        <v>128</v>
      </c>
      <c r="K60" t="s">
        <v>45</v>
      </c>
      <c r="L60">
        <v>3</v>
      </c>
      <c r="N60">
        <v>3</v>
      </c>
      <c r="O60" t="s">
        <v>86</v>
      </c>
      <c r="P60" t="s">
        <v>141</v>
      </c>
      <c r="Q60" t="s">
        <v>102</v>
      </c>
      <c r="R60" t="s">
        <v>144</v>
      </c>
      <c r="S60" t="s">
        <v>63</v>
      </c>
      <c r="T60">
        <v>1</v>
      </c>
      <c r="V60">
        <v>1</v>
      </c>
      <c r="W60" t="s">
        <v>145</v>
      </c>
      <c r="X60" t="s">
        <v>91</v>
      </c>
      <c r="Y60" t="s">
        <v>148</v>
      </c>
      <c r="Z60" t="s">
        <v>151</v>
      </c>
      <c r="AA60">
        <v>0</v>
      </c>
      <c r="AB60">
        <v>24</v>
      </c>
    </row>
    <row r="61" spans="1:28" x14ac:dyDescent="0.25">
      <c r="A61" t="s">
        <v>1129</v>
      </c>
      <c r="B61">
        <v>59</v>
      </c>
      <c r="C61" t="s">
        <v>48</v>
      </c>
      <c r="D61">
        <v>3</v>
      </c>
      <c r="F61">
        <v>3</v>
      </c>
      <c r="G61" t="s">
        <v>126</v>
      </c>
      <c r="H61" t="s">
        <v>84</v>
      </c>
      <c r="I61" t="s">
        <v>90</v>
      </c>
      <c r="J61" t="s">
        <v>128</v>
      </c>
      <c r="K61" t="s">
        <v>45</v>
      </c>
      <c r="L61">
        <v>3</v>
      </c>
      <c r="N61">
        <v>3</v>
      </c>
      <c r="O61" t="s">
        <v>86</v>
      </c>
      <c r="P61" t="s">
        <v>141</v>
      </c>
      <c r="Q61" t="s">
        <v>93</v>
      </c>
      <c r="R61" t="s">
        <v>94</v>
      </c>
      <c r="S61" t="s">
        <v>38</v>
      </c>
      <c r="T61">
        <v>3</v>
      </c>
      <c r="U61">
        <v>3</v>
      </c>
      <c r="V61">
        <v>3</v>
      </c>
      <c r="W61" t="s">
        <v>39</v>
      </c>
      <c r="X61" t="s">
        <v>40</v>
      </c>
      <c r="Y61" t="s">
        <v>41</v>
      </c>
      <c r="Z61" t="s">
        <v>156</v>
      </c>
      <c r="AA61">
        <v>0</v>
      </c>
      <c r="AB61">
        <v>39</v>
      </c>
    </row>
    <row r="62" spans="1:28" x14ac:dyDescent="0.25">
      <c r="A62" t="s">
        <v>1130</v>
      </c>
      <c r="B62">
        <v>60</v>
      </c>
      <c r="C62" t="s">
        <v>48</v>
      </c>
      <c r="D62">
        <v>3</v>
      </c>
      <c r="F62">
        <v>3</v>
      </c>
      <c r="G62" t="s">
        <v>126</v>
      </c>
      <c r="H62" t="s">
        <v>84</v>
      </c>
      <c r="I62" t="s">
        <v>127</v>
      </c>
      <c r="J62" t="s">
        <v>128</v>
      </c>
      <c r="K62" t="s">
        <v>45</v>
      </c>
      <c r="L62">
        <v>2</v>
      </c>
      <c r="N62">
        <v>1</v>
      </c>
      <c r="O62" t="s">
        <v>86</v>
      </c>
      <c r="P62" t="s">
        <v>76</v>
      </c>
      <c r="Q62" t="s">
        <v>93</v>
      </c>
      <c r="S62" t="s">
        <v>227</v>
      </c>
      <c r="T62">
        <v>3</v>
      </c>
      <c r="U62">
        <v>3</v>
      </c>
      <c r="V62">
        <v>3</v>
      </c>
      <c r="W62" t="s">
        <v>229</v>
      </c>
      <c r="X62" t="s">
        <v>231</v>
      </c>
      <c r="Y62" t="s">
        <v>235</v>
      </c>
      <c r="Z62" t="s">
        <v>238</v>
      </c>
      <c r="AA62">
        <v>0</v>
      </c>
      <c r="AB62">
        <v>24</v>
      </c>
    </row>
    <row r="63" spans="1:28" x14ac:dyDescent="0.25">
      <c r="A63" t="s">
        <v>1131</v>
      </c>
      <c r="B63">
        <v>61</v>
      </c>
      <c r="C63" t="s">
        <v>38</v>
      </c>
      <c r="D63">
        <v>3</v>
      </c>
      <c r="E63">
        <v>3</v>
      </c>
      <c r="F63">
        <v>3</v>
      </c>
      <c r="G63" t="s">
        <v>39</v>
      </c>
      <c r="H63" t="s">
        <v>40</v>
      </c>
      <c r="I63" t="s">
        <v>153</v>
      </c>
      <c r="J63" t="s">
        <v>156</v>
      </c>
      <c r="K63" t="s">
        <v>48</v>
      </c>
      <c r="L63">
        <v>3</v>
      </c>
      <c r="N63">
        <v>3</v>
      </c>
      <c r="O63" t="s">
        <v>126</v>
      </c>
      <c r="P63" t="s">
        <v>84</v>
      </c>
      <c r="Q63" t="s">
        <v>127</v>
      </c>
      <c r="R63" t="s">
        <v>52</v>
      </c>
      <c r="S63" t="s">
        <v>63</v>
      </c>
      <c r="T63">
        <v>3</v>
      </c>
      <c r="V63">
        <v>3</v>
      </c>
      <c r="W63" t="s">
        <v>103</v>
      </c>
      <c r="X63" t="s">
        <v>91</v>
      </c>
      <c r="Y63" t="s">
        <v>148</v>
      </c>
      <c r="Z63" t="s">
        <v>151</v>
      </c>
      <c r="AA63">
        <v>0</v>
      </c>
      <c r="AB63">
        <v>52</v>
      </c>
    </row>
    <row r="64" spans="1:28" x14ac:dyDescent="0.25">
      <c r="A64" t="s">
        <v>1132</v>
      </c>
      <c r="B64">
        <v>62</v>
      </c>
      <c r="C64" t="s">
        <v>48</v>
      </c>
      <c r="D64">
        <v>3</v>
      </c>
      <c r="F64">
        <v>3</v>
      </c>
      <c r="G64" t="s">
        <v>126</v>
      </c>
      <c r="H64" t="s">
        <v>84</v>
      </c>
      <c r="I64" t="s">
        <v>127</v>
      </c>
      <c r="J64" t="s">
        <v>52</v>
      </c>
      <c r="K64" t="s">
        <v>63</v>
      </c>
      <c r="L64">
        <v>3</v>
      </c>
      <c r="N64">
        <v>3</v>
      </c>
      <c r="O64" t="s">
        <v>145</v>
      </c>
      <c r="P64" t="s">
        <v>91</v>
      </c>
      <c r="Q64" t="s">
        <v>148</v>
      </c>
      <c r="R64" t="s">
        <v>151</v>
      </c>
      <c r="S64" t="s">
        <v>227</v>
      </c>
      <c r="T64">
        <v>2</v>
      </c>
      <c r="U64">
        <v>3</v>
      </c>
      <c r="V64">
        <v>3</v>
      </c>
      <c r="W64" t="s">
        <v>229</v>
      </c>
      <c r="X64" t="s">
        <v>231</v>
      </c>
      <c r="Y64" t="s">
        <v>235</v>
      </c>
      <c r="Z64" t="s">
        <v>237</v>
      </c>
      <c r="AA64">
        <v>0</v>
      </c>
      <c r="AB64">
        <v>32</v>
      </c>
    </row>
    <row r="65" spans="1:28" x14ac:dyDescent="0.25">
      <c r="A65" s="39" t="s">
        <v>1133</v>
      </c>
      <c r="B65">
        <v>63</v>
      </c>
      <c r="C65" t="s">
        <v>48</v>
      </c>
      <c r="D65">
        <v>3</v>
      </c>
      <c r="F65">
        <v>3</v>
      </c>
      <c r="G65" t="s">
        <v>126</v>
      </c>
      <c r="H65" t="s">
        <v>84</v>
      </c>
      <c r="I65" t="s">
        <v>127</v>
      </c>
      <c r="J65" t="s">
        <v>128</v>
      </c>
      <c r="K65" t="s">
        <v>38</v>
      </c>
      <c r="L65">
        <v>3</v>
      </c>
      <c r="M65">
        <v>3</v>
      </c>
      <c r="N65">
        <v>3</v>
      </c>
      <c r="O65" t="s">
        <v>39</v>
      </c>
      <c r="P65" t="s">
        <v>96</v>
      </c>
      <c r="Q65" t="s">
        <v>41</v>
      </c>
      <c r="R65" t="s">
        <v>156</v>
      </c>
      <c r="S65" t="s">
        <v>227</v>
      </c>
      <c r="T65">
        <v>1</v>
      </c>
      <c r="U65">
        <v>3</v>
      </c>
      <c r="V65">
        <v>3</v>
      </c>
      <c r="W65" t="s">
        <v>229</v>
      </c>
      <c r="X65" t="s">
        <v>231</v>
      </c>
      <c r="Y65" t="s">
        <v>235</v>
      </c>
      <c r="Z65" t="s">
        <v>238</v>
      </c>
      <c r="AA65">
        <v>0</v>
      </c>
      <c r="AB65">
        <v>28</v>
      </c>
    </row>
    <row r="66" spans="1:28" x14ac:dyDescent="0.25">
      <c r="A66" t="s">
        <v>1134</v>
      </c>
      <c r="B66">
        <v>64</v>
      </c>
      <c r="C66" t="s">
        <v>45</v>
      </c>
      <c r="D66">
        <v>3</v>
      </c>
      <c r="F66">
        <v>1</v>
      </c>
      <c r="G66" t="s">
        <v>86</v>
      </c>
      <c r="H66" t="s">
        <v>76</v>
      </c>
      <c r="I66" t="s">
        <v>142</v>
      </c>
      <c r="K66" t="s">
        <v>33</v>
      </c>
      <c r="L66">
        <v>1</v>
      </c>
      <c r="N66">
        <v>3</v>
      </c>
      <c r="O66" t="s">
        <v>34</v>
      </c>
      <c r="S66" t="s">
        <v>43</v>
      </c>
      <c r="T66">
        <v>3</v>
      </c>
      <c r="V66">
        <v>1</v>
      </c>
      <c r="W66" t="s">
        <v>135</v>
      </c>
      <c r="X66" t="s">
        <v>99</v>
      </c>
      <c r="Y66" t="s">
        <v>100</v>
      </c>
      <c r="AA66">
        <v>0</v>
      </c>
      <c r="AB66">
        <v>14</v>
      </c>
    </row>
    <row r="67" spans="1:28" x14ac:dyDescent="0.25">
      <c r="A67" t="s">
        <v>1135</v>
      </c>
      <c r="B67">
        <v>65</v>
      </c>
      <c r="C67" t="s">
        <v>33</v>
      </c>
      <c r="D67">
        <v>3</v>
      </c>
      <c r="F67">
        <v>3</v>
      </c>
      <c r="G67" t="s">
        <v>34</v>
      </c>
      <c r="H67" t="s">
        <v>66</v>
      </c>
      <c r="I67" t="s">
        <v>132</v>
      </c>
      <c r="J67" t="s">
        <v>37</v>
      </c>
      <c r="K67" t="s">
        <v>43</v>
      </c>
      <c r="L67">
        <v>3</v>
      </c>
      <c r="N67">
        <v>3</v>
      </c>
      <c r="O67" t="s">
        <v>135</v>
      </c>
      <c r="P67" t="s">
        <v>136</v>
      </c>
      <c r="S67" t="s">
        <v>63</v>
      </c>
      <c r="T67">
        <v>2</v>
      </c>
      <c r="V67">
        <v>3</v>
      </c>
      <c r="W67" t="s">
        <v>145</v>
      </c>
      <c r="X67" t="s">
        <v>146</v>
      </c>
      <c r="Y67" t="s">
        <v>148</v>
      </c>
      <c r="Z67" t="s">
        <v>151</v>
      </c>
      <c r="AA67">
        <v>0</v>
      </c>
      <c r="AB67">
        <v>21</v>
      </c>
    </row>
    <row r="68" spans="1:28" x14ac:dyDescent="0.25">
      <c r="A68" t="s">
        <v>1136</v>
      </c>
      <c r="B68">
        <v>66</v>
      </c>
      <c r="C68" t="s">
        <v>38</v>
      </c>
      <c r="D68">
        <v>1</v>
      </c>
      <c r="E68">
        <v>1</v>
      </c>
      <c r="F68">
        <v>2</v>
      </c>
      <c r="G68" t="s">
        <v>39</v>
      </c>
      <c r="H68" t="s">
        <v>70</v>
      </c>
      <c r="I68" t="s">
        <v>153</v>
      </c>
      <c r="J68" t="s">
        <v>155</v>
      </c>
      <c r="K68" t="s">
        <v>33</v>
      </c>
      <c r="L68">
        <v>1</v>
      </c>
      <c r="N68">
        <v>3</v>
      </c>
      <c r="O68" t="s">
        <v>34</v>
      </c>
      <c r="S68" t="s">
        <v>43</v>
      </c>
      <c r="T68">
        <v>3</v>
      </c>
      <c r="V68">
        <v>1</v>
      </c>
      <c r="W68" t="s">
        <v>135</v>
      </c>
      <c r="X68" t="s">
        <v>136</v>
      </c>
      <c r="Y68" t="s">
        <v>75</v>
      </c>
      <c r="AA68">
        <v>0</v>
      </c>
      <c r="AB68">
        <v>13</v>
      </c>
    </row>
    <row r="69" spans="1:28" x14ac:dyDescent="0.25">
      <c r="A69" t="s">
        <v>1137</v>
      </c>
      <c r="B69">
        <v>67</v>
      </c>
      <c r="C69" t="s">
        <v>227</v>
      </c>
      <c r="D69">
        <v>1</v>
      </c>
      <c r="E69">
        <v>1</v>
      </c>
      <c r="F69">
        <v>3</v>
      </c>
      <c r="G69" t="s">
        <v>228</v>
      </c>
      <c r="H69" t="s">
        <v>231</v>
      </c>
      <c r="I69" t="s">
        <v>235</v>
      </c>
      <c r="J69" t="s">
        <v>237</v>
      </c>
      <c r="K69" t="s">
        <v>33</v>
      </c>
      <c r="L69">
        <v>2</v>
      </c>
      <c r="N69">
        <v>3</v>
      </c>
      <c r="O69" t="s">
        <v>34</v>
      </c>
      <c r="S69" t="s">
        <v>43</v>
      </c>
      <c r="T69">
        <v>2</v>
      </c>
      <c r="V69">
        <v>1</v>
      </c>
      <c r="W69" t="s">
        <v>135</v>
      </c>
      <c r="X69" t="s">
        <v>136</v>
      </c>
      <c r="Y69" t="s">
        <v>75</v>
      </c>
      <c r="Z69" t="s">
        <v>138</v>
      </c>
      <c r="AA69">
        <v>0</v>
      </c>
      <c r="AB69">
        <v>15</v>
      </c>
    </row>
    <row r="70" spans="1:28" x14ac:dyDescent="0.25">
      <c r="A70" t="s">
        <v>1138</v>
      </c>
      <c r="B70">
        <v>68</v>
      </c>
      <c r="C70" t="s">
        <v>45</v>
      </c>
      <c r="D70">
        <v>3</v>
      </c>
      <c r="F70">
        <v>3</v>
      </c>
      <c r="G70" t="s">
        <v>86</v>
      </c>
      <c r="H70" t="s">
        <v>141</v>
      </c>
      <c r="I70" t="s">
        <v>142</v>
      </c>
      <c r="J70" t="s">
        <v>143</v>
      </c>
      <c r="K70" t="s">
        <v>33</v>
      </c>
      <c r="L70">
        <v>2</v>
      </c>
      <c r="N70">
        <v>3</v>
      </c>
      <c r="O70" t="s">
        <v>34</v>
      </c>
      <c r="P70" t="s">
        <v>130</v>
      </c>
      <c r="Q70" t="s">
        <v>131</v>
      </c>
      <c r="R70" t="s">
        <v>37</v>
      </c>
      <c r="S70" t="s">
        <v>63</v>
      </c>
      <c r="T70">
        <v>3</v>
      </c>
      <c r="V70">
        <v>3</v>
      </c>
      <c r="W70" t="s">
        <v>145</v>
      </c>
      <c r="X70" t="s">
        <v>146</v>
      </c>
      <c r="Y70" t="s">
        <v>104</v>
      </c>
      <c r="Z70" t="s">
        <v>150</v>
      </c>
      <c r="AA70">
        <v>0</v>
      </c>
      <c r="AB70">
        <v>24</v>
      </c>
    </row>
    <row r="71" spans="1:28" x14ac:dyDescent="0.25">
      <c r="A71" t="s">
        <v>1139</v>
      </c>
      <c r="B71">
        <v>69</v>
      </c>
      <c r="C71" t="s">
        <v>45</v>
      </c>
      <c r="D71">
        <v>3</v>
      </c>
      <c r="F71">
        <v>1</v>
      </c>
      <c r="G71" t="s">
        <v>86</v>
      </c>
      <c r="H71" t="s">
        <v>76</v>
      </c>
      <c r="K71" t="s">
        <v>33</v>
      </c>
      <c r="L71">
        <v>1</v>
      </c>
      <c r="N71">
        <v>2</v>
      </c>
      <c r="O71" t="s">
        <v>34</v>
      </c>
      <c r="S71" t="s">
        <v>38</v>
      </c>
      <c r="T71">
        <v>1</v>
      </c>
      <c r="U71">
        <v>1</v>
      </c>
      <c r="V71">
        <v>2</v>
      </c>
      <c r="W71" t="s">
        <v>39</v>
      </c>
      <c r="X71" t="s">
        <v>96</v>
      </c>
      <c r="Y71" t="s">
        <v>153</v>
      </c>
      <c r="AA71">
        <v>0</v>
      </c>
      <c r="AB71">
        <v>10</v>
      </c>
    </row>
    <row r="72" spans="1:28" x14ac:dyDescent="0.25">
      <c r="A72" t="s">
        <v>1140</v>
      </c>
      <c r="B72">
        <v>70</v>
      </c>
      <c r="C72" t="s">
        <v>227</v>
      </c>
      <c r="D72">
        <v>1</v>
      </c>
      <c r="E72">
        <v>1</v>
      </c>
      <c r="F72">
        <v>3</v>
      </c>
      <c r="G72" t="s">
        <v>228</v>
      </c>
      <c r="H72" t="s">
        <v>231</v>
      </c>
      <c r="I72" t="s">
        <v>235</v>
      </c>
      <c r="K72" t="s">
        <v>33</v>
      </c>
      <c r="L72">
        <v>2</v>
      </c>
      <c r="N72">
        <v>3</v>
      </c>
      <c r="O72" t="s">
        <v>34</v>
      </c>
      <c r="S72" t="s">
        <v>45</v>
      </c>
      <c r="T72">
        <v>3</v>
      </c>
      <c r="V72">
        <v>1</v>
      </c>
      <c r="W72" t="s">
        <v>47</v>
      </c>
      <c r="X72" t="s">
        <v>76</v>
      </c>
      <c r="AA72">
        <v>0</v>
      </c>
      <c r="AB72">
        <v>13</v>
      </c>
    </row>
    <row r="73" spans="1:28" x14ac:dyDescent="0.25">
      <c r="A73" t="s">
        <v>1141</v>
      </c>
      <c r="B73">
        <v>71</v>
      </c>
      <c r="C73" t="s">
        <v>33</v>
      </c>
      <c r="D73">
        <v>2</v>
      </c>
      <c r="F73">
        <v>3</v>
      </c>
      <c r="G73" t="s">
        <v>34</v>
      </c>
      <c r="H73" t="s">
        <v>35</v>
      </c>
      <c r="I73" t="s">
        <v>132</v>
      </c>
      <c r="K73" t="s">
        <v>63</v>
      </c>
      <c r="L73">
        <v>3</v>
      </c>
      <c r="N73">
        <v>1</v>
      </c>
      <c r="O73" t="s">
        <v>72</v>
      </c>
      <c r="P73" t="s">
        <v>95</v>
      </c>
      <c r="Q73" t="s">
        <v>147</v>
      </c>
      <c r="S73" t="s">
        <v>38</v>
      </c>
      <c r="T73">
        <v>1</v>
      </c>
      <c r="U73">
        <v>1</v>
      </c>
      <c r="V73">
        <v>2</v>
      </c>
      <c r="W73" t="s">
        <v>39</v>
      </c>
      <c r="X73" t="s">
        <v>96</v>
      </c>
      <c r="Y73" t="s">
        <v>153</v>
      </c>
      <c r="AA73">
        <v>0</v>
      </c>
      <c r="AB73">
        <v>15</v>
      </c>
    </row>
    <row r="74" spans="1:28" x14ac:dyDescent="0.25">
      <c r="A74" t="s">
        <v>1142</v>
      </c>
      <c r="B74">
        <v>72</v>
      </c>
      <c r="C74" t="s">
        <v>63</v>
      </c>
      <c r="D74">
        <v>3</v>
      </c>
      <c r="F74">
        <v>1</v>
      </c>
      <c r="G74" t="s">
        <v>145</v>
      </c>
      <c r="H74" t="s">
        <v>91</v>
      </c>
      <c r="I74" t="s">
        <v>104</v>
      </c>
      <c r="K74" t="s">
        <v>33</v>
      </c>
      <c r="L74">
        <v>2</v>
      </c>
      <c r="N74">
        <v>3</v>
      </c>
      <c r="O74" t="s">
        <v>34</v>
      </c>
      <c r="P74" t="s">
        <v>66</v>
      </c>
      <c r="S74" t="s">
        <v>227</v>
      </c>
      <c r="T74">
        <v>1</v>
      </c>
      <c r="U74">
        <v>3</v>
      </c>
      <c r="V74">
        <v>2</v>
      </c>
      <c r="W74" t="s">
        <v>228</v>
      </c>
      <c r="AA74">
        <v>0</v>
      </c>
      <c r="AB74">
        <v>14</v>
      </c>
    </row>
    <row r="75" spans="1:28" x14ac:dyDescent="0.25">
      <c r="A75" t="s">
        <v>1143</v>
      </c>
      <c r="B75">
        <v>73</v>
      </c>
      <c r="C75" t="s">
        <v>38</v>
      </c>
      <c r="D75">
        <v>3</v>
      </c>
      <c r="E75">
        <v>3</v>
      </c>
      <c r="F75">
        <v>3</v>
      </c>
      <c r="G75" t="s">
        <v>39</v>
      </c>
      <c r="H75" t="s">
        <v>40</v>
      </c>
      <c r="I75" t="s">
        <v>153</v>
      </c>
      <c r="J75" t="s">
        <v>156</v>
      </c>
      <c r="K75" t="s">
        <v>33</v>
      </c>
      <c r="L75">
        <v>3</v>
      </c>
      <c r="N75">
        <v>3</v>
      </c>
      <c r="O75" t="s">
        <v>65</v>
      </c>
      <c r="P75" t="s">
        <v>66</v>
      </c>
      <c r="Q75" t="s">
        <v>36</v>
      </c>
      <c r="R75" t="s">
        <v>133</v>
      </c>
      <c r="S75" t="s">
        <v>227</v>
      </c>
      <c r="T75">
        <v>1</v>
      </c>
      <c r="U75">
        <v>3</v>
      </c>
      <c r="V75">
        <v>2</v>
      </c>
      <c r="W75" t="s">
        <v>229</v>
      </c>
      <c r="AA75">
        <v>0</v>
      </c>
      <c r="AB75">
        <v>23</v>
      </c>
    </row>
    <row r="76" spans="1:28" x14ac:dyDescent="0.25">
      <c r="A76" t="s">
        <v>1144</v>
      </c>
      <c r="B76">
        <v>74</v>
      </c>
      <c r="C76" t="s">
        <v>63</v>
      </c>
      <c r="D76">
        <v>3</v>
      </c>
      <c r="F76">
        <v>3</v>
      </c>
      <c r="G76" t="s">
        <v>145</v>
      </c>
      <c r="H76" t="s">
        <v>146</v>
      </c>
      <c r="I76" t="s">
        <v>148</v>
      </c>
      <c r="J76" t="s">
        <v>150</v>
      </c>
      <c r="K76" t="s">
        <v>43</v>
      </c>
      <c r="L76">
        <v>1</v>
      </c>
      <c r="N76">
        <v>3</v>
      </c>
      <c r="O76" t="s">
        <v>135</v>
      </c>
      <c r="P76" t="s">
        <v>136</v>
      </c>
      <c r="Q76" t="s">
        <v>100</v>
      </c>
      <c r="R76" t="s">
        <v>139</v>
      </c>
      <c r="S76" t="s">
        <v>45</v>
      </c>
      <c r="T76">
        <v>3</v>
      </c>
      <c r="V76">
        <v>3</v>
      </c>
      <c r="W76" t="s">
        <v>47</v>
      </c>
      <c r="X76" t="s">
        <v>141</v>
      </c>
      <c r="Y76" t="s">
        <v>102</v>
      </c>
      <c r="Z76" t="s">
        <v>144</v>
      </c>
      <c r="AA76">
        <v>0</v>
      </c>
      <c r="AB76">
        <v>25</v>
      </c>
    </row>
    <row r="77" spans="1:28" x14ac:dyDescent="0.25">
      <c r="A77" t="s">
        <v>1145</v>
      </c>
      <c r="B77">
        <v>75</v>
      </c>
      <c r="C77" t="s">
        <v>43</v>
      </c>
      <c r="D77">
        <v>3</v>
      </c>
      <c r="F77">
        <v>3</v>
      </c>
      <c r="G77" t="s">
        <v>135</v>
      </c>
      <c r="H77" t="s">
        <v>74</v>
      </c>
      <c r="I77" t="s">
        <v>100</v>
      </c>
      <c r="J77" t="s">
        <v>138</v>
      </c>
      <c r="K77" t="s">
        <v>45</v>
      </c>
      <c r="L77">
        <v>3</v>
      </c>
      <c r="N77">
        <v>3</v>
      </c>
      <c r="O77" t="s">
        <v>86</v>
      </c>
      <c r="P77" t="s">
        <v>141</v>
      </c>
      <c r="Q77" t="s">
        <v>142</v>
      </c>
      <c r="R77" t="s">
        <v>144</v>
      </c>
      <c r="S77" t="s">
        <v>38</v>
      </c>
      <c r="T77">
        <v>3</v>
      </c>
      <c r="U77">
        <v>3</v>
      </c>
      <c r="V77">
        <v>3</v>
      </c>
      <c r="W77" t="s">
        <v>39</v>
      </c>
      <c r="X77" t="s">
        <v>40</v>
      </c>
      <c r="Y77" t="s">
        <v>153</v>
      </c>
      <c r="Z77" t="s">
        <v>156</v>
      </c>
      <c r="AA77">
        <v>0</v>
      </c>
      <c r="AB77">
        <v>35</v>
      </c>
    </row>
    <row r="78" spans="1:28" x14ac:dyDescent="0.25">
      <c r="A78" t="s">
        <v>1146</v>
      </c>
      <c r="B78">
        <v>76</v>
      </c>
      <c r="C78" t="s">
        <v>43</v>
      </c>
      <c r="D78">
        <v>3</v>
      </c>
      <c r="F78">
        <v>3</v>
      </c>
      <c r="G78" t="s">
        <v>135</v>
      </c>
      <c r="H78" t="s">
        <v>136</v>
      </c>
      <c r="I78" t="s">
        <v>100</v>
      </c>
      <c r="J78" t="s">
        <v>138</v>
      </c>
      <c r="K78" t="s">
        <v>45</v>
      </c>
      <c r="L78">
        <v>3</v>
      </c>
      <c r="N78">
        <v>3</v>
      </c>
      <c r="O78" t="s">
        <v>86</v>
      </c>
      <c r="P78" t="s">
        <v>141</v>
      </c>
      <c r="Q78" t="s">
        <v>142</v>
      </c>
      <c r="R78" t="s">
        <v>144</v>
      </c>
      <c r="S78" t="s">
        <v>227</v>
      </c>
      <c r="T78">
        <v>3</v>
      </c>
      <c r="U78">
        <v>3</v>
      </c>
      <c r="V78">
        <v>3</v>
      </c>
      <c r="W78" t="s">
        <v>229</v>
      </c>
      <c r="X78" t="s">
        <v>232</v>
      </c>
      <c r="Y78" t="s">
        <v>235</v>
      </c>
      <c r="Z78" t="s">
        <v>238</v>
      </c>
      <c r="AA78">
        <v>0</v>
      </c>
      <c r="AB78">
        <v>37</v>
      </c>
    </row>
    <row r="79" spans="1:28" x14ac:dyDescent="0.25">
      <c r="A79" t="s">
        <v>1147</v>
      </c>
      <c r="B79">
        <v>77</v>
      </c>
      <c r="C79" t="s">
        <v>63</v>
      </c>
      <c r="D79">
        <v>3</v>
      </c>
      <c r="F79">
        <v>3</v>
      </c>
      <c r="G79" t="s">
        <v>103</v>
      </c>
      <c r="H79" t="s">
        <v>146</v>
      </c>
      <c r="I79" t="s">
        <v>104</v>
      </c>
      <c r="J79" t="s">
        <v>151</v>
      </c>
      <c r="K79" t="s">
        <v>43</v>
      </c>
      <c r="L79">
        <v>3</v>
      </c>
      <c r="N79">
        <v>3</v>
      </c>
      <c r="O79" t="s">
        <v>135</v>
      </c>
      <c r="P79" t="s">
        <v>136</v>
      </c>
      <c r="Q79" t="s">
        <v>137</v>
      </c>
      <c r="R79" t="s">
        <v>139</v>
      </c>
      <c r="S79" t="s">
        <v>38</v>
      </c>
      <c r="T79">
        <v>3</v>
      </c>
      <c r="U79">
        <v>3</v>
      </c>
      <c r="V79">
        <v>3</v>
      </c>
      <c r="W79" t="s">
        <v>39</v>
      </c>
      <c r="X79" t="s">
        <v>40</v>
      </c>
      <c r="Y79" t="s">
        <v>153</v>
      </c>
      <c r="Z79" t="s">
        <v>156</v>
      </c>
      <c r="AA79">
        <v>0</v>
      </c>
      <c r="AB79">
        <v>40</v>
      </c>
    </row>
    <row r="80" spans="1:28" x14ac:dyDescent="0.25">
      <c r="A80" t="s">
        <v>1148</v>
      </c>
      <c r="B80">
        <v>78</v>
      </c>
      <c r="C80" t="s">
        <v>63</v>
      </c>
      <c r="D80">
        <v>3</v>
      </c>
      <c r="F80">
        <v>3</v>
      </c>
      <c r="G80" t="s">
        <v>145</v>
      </c>
      <c r="H80" t="s">
        <v>146</v>
      </c>
      <c r="I80" t="s">
        <v>148</v>
      </c>
      <c r="J80" t="s">
        <v>151</v>
      </c>
      <c r="K80" t="s">
        <v>43</v>
      </c>
      <c r="L80">
        <v>3</v>
      </c>
      <c r="N80">
        <v>3</v>
      </c>
      <c r="O80" t="s">
        <v>135</v>
      </c>
      <c r="P80" t="s">
        <v>136</v>
      </c>
      <c r="Q80" t="s">
        <v>100</v>
      </c>
      <c r="R80" t="s">
        <v>139</v>
      </c>
      <c r="S80" t="s">
        <v>227</v>
      </c>
      <c r="T80">
        <v>3</v>
      </c>
      <c r="U80">
        <v>3</v>
      </c>
      <c r="V80">
        <v>3</v>
      </c>
      <c r="W80" t="s">
        <v>229</v>
      </c>
      <c r="X80" t="s">
        <v>231</v>
      </c>
      <c r="Y80" t="s">
        <v>235</v>
      </c>
      <c r="Z80" t="s">
        <v>238</v>
      </c>
      <c r="AA80">
        <v>0</v>
      </c>
      <c r="AB80">
        <v>38</v>
      </c>
    </row>
    <row r="81" spans="1:28" x14ac:dyDescent="0.25">
      <c r="A81" t="s">
        <v>1149</v>
      </c>
      <c r="B81">
        <v>79</v>
      </c>
      <c r="C81" t="s">
        <v>38</v>
      </c>
      <c r="D81">
        <v>3</v>
      </c>
      <c r="E81">
        <v>3</v>
      </c>
      <c r="F81">
        <v>3</v>
      </c>
      <c r="G81" t="s">
        <v>39</v>
      </c>
      <c r="H81" t="s">
        <v>40</v>
      </c>
      <c r="I81" t="s">
        <v>153</v>
      </c>
      <c r="J81" t="s">
        <v>156</v>
      </c>
      <c r="K81" t="s">
        <v>43</v>
      </c>
      <c r="L81">
        <v>3</v>
      </c>
      <c r="N81">
        <v>3</v>
      </c>
      <c r="O81" t="s">
        <v>135</v>
      </c>
      <c r="P81" t="s">
        <v>136</v>
      </c>
      <c r="Q81" t="s">
        <v>100</v>
      </c>
      <c r="R81" t="s">
        <v>138</v>
      </c>
      <c r="S81" t="s">
        <v>227</v>
      </c>
      <c r="T81">
        <v>3</v>
      </c>
      <c r="U81">
        <v>3</v>
      </c>
      <c r="V81">
        <v>3</v>
      </c>
      <c r="W81" t="s">
        <v>229</v>
      </c>
      <c r="X81" t="s">
        <v>231</v>
      </c>
      <c r="Y81" t="s">
        <v>235</v>
      </c>
      <c r="Z81" t="s">
        <v>238</v>
      </c>
      <c r="AA81">
        <v>0</v>
      </c>
      <c r="AB81">
        <v>30</v>
      </c>
    </row>
    <row r="82" spans="1:28" x14ac:dyDescent="0.25">
      <c r="A82" t="s">
        <v>1150</v>
      </c>
      <c r="B82">
        <v>80</v>
      </c>
      <c r="C82" t="s">
        <v>63</v>
      </c>
      <c r="D82">
        <v>3</v>
      </c>
      <c r="F82">
        <v>3</v>
      </c>
      <c r="G82" t="s">
        <v>103</v>
      </c>
      <c r="H82" t="s">
        <v>146</v>
      </c>
      <c r="I82" t="s">
        <v>147</v>
      </c>
      <c r="J82" t="s">
        <v>151</v>
      </c>
      <c r="K82" t="s">
        <v>45</v>
      </c>
      <c r="L82">
        <v>3</v>
      </c>
      <c r="N82">
        <v>3</v>
      </c>
      <c r="O82" t="s">
        <v>86</v>
      </c>
      <c r="P82" t="s">
        <v>92</v>
      </c>
      <c r="Q82" t="s">
        <v>93</v>
      </c>
      <c r="R82" t="s">
        <v>143</v>
      </c>
      <c r="S82" t="s">
        <v>38</v>
      </c>
      <c r="T82">
        <v>3</v>
      </c>
      <c r="U82">
        <v>1</v>
      </c>
      <c r="V82">
        <v>3</v>
      </c>
      <c r="W82" t="s">
        <v>39</v>
      </c>
      <c r="X82" t="s">
        <v>96</v>
      </c>
      <c r="Y82" t="s">
        <v>153</v>
      </c>
      <c r="Z82" t="s">
        <v>42</v>
      </c>
      <c r="AA82">
        <v>0</v>
      </c>
      <c r="AB82">
        <v>28</v>
      </c>
    </row>
    <row r="83" spans="1:28" x14ac:dyDescent="0.25">
      <c r="A83" s="39" t="s">
        <v>1151</v>
      </c>
      <c r="B83">
        <v>81</v>
      </c>
      <c r="C83" t="s">
        <v>227</v>
      </c>
      <c r="D83">
        <v>3</v>
      </c>
      <c r="E83">
        <v>1</v>
      </c>
      <c r="F83">
        <v>3</v>
      </c>
      <c r="G83" t="s">
        <v>229</v>
      </c>
      <c r="H83" t="s">
        <v>231</v>
      </c>
      <c r="I83" t="s">
        <v>235</v>
      </c>
      <c r="K83" t="s">
        <v>45</v>
      </c>
      <c r="L83">
        <v>3</v>
      </c>
      <c r="N83">
        <v>2</v>
      </c>
      <c r="O83" t="s">
        <v>86</v>
      </c>
      <c r="P83" t="s">
        <v>141</v>
      </c>
      <c r="Q83" t="s">
        <v>102</v>
      </c>
      <c r="R83" t="s">
        <v>144</v>
      </c>
      <c r="S83" t="s">
        <v>63</v>
      </c>
      <c r="T83">
        <v>1</v>
      </c>
      <c r="V83">
        <v>1</v>
      </c>
      <c r="W83" t="s">
        <v>145</v>
      </c>
      <c r="X83" t="s">
        <v>91</v>
      </c>
      <c r="Y83" t="s">
        <v>148</v>
      </c>
      <c r="Z83" t="s">
        <v>151</v>
      </c>
      <c r="AA83">
        <v>0</v>
      </c>
      <c r="AB83">
        <v>19</v>
      </c>
    </row>
    <row r="84" spans="1:28" x14ac:dyDescent="0.25">
      <c r="A84" t="s">
        <v>1152</v>
      </c>
      <c r="B84">
        <v>82</v>
      </c>
      <c r="C84" t="s">
        <v>227</v>
      </c>
      <c r="D84">
        <v>3</v>
      </c>
      <c r="E84">
        <v>3</v>
      </c>
      <c r="F84">
        <v>3</v>
      </c>
      <c r="G84" t="s">
        <v>229</v>
      </c>
      <c r="H84" t="s">
        <v>231</v>
      </c>
      <c r="I84" t="s">
        <v>235</v>
      </c>
      <c r="J84" t="s">
        <v>238</v>
      </c>
      <c r="K84" t="s">
        <v>45</v>
      </c>
      <c r="L84">
        <v>3</v>
      </c>
      <c r="N84">
        <v>3</v>
      </c>
      <c r="O84" t="s">
        <v>86</v>
      </c>
      <c r="P84" t="s">
        <v>76</v>
      </c>
      <c r="Q84" t="s">
        <v>102</v>
      </c>
      <c r="R84" t="s">
        <v>144</v>
      </c>
      <c r="S84" t="s">
        <v>38</v>
      </c>
      <c r="T84">
        <v>3</v>
      </c>
      <c r="U84">
        <v>3</v>
      </c>
      <c r="V84">
        <v>3</v>
      </c>
      <c r="W84" t="s">
        <v>39</v>
      </c>
      <c r="X84" t="s">
        <v>96</v>
      </c>
      <c r="Y84" t="s">
        <v>153</v>
      </c>
      <c r="Z84" t="s">
        <v>156</v>
      </c>
      <c r="AA84">
        <v>0</v>
      </c>
      <c r="AB84">
        <v>37</v>
      </c>
    </row>
    <row r="85" spans="1:28" x14ac:dyDescent="0.25">
      <c r="A85" t="s">
        <v>1153</v>
      </c>
      <c r="B85">
        <v>83</v>
      </c>
      <c r="C85" t="s">
        <v>38</v>
      </c>
      <c r="D85">
        <v>3</v>
      </c>
      <c r="E85">
        <v>3</v>
      </c>
      <c r="F85">
        <v>3</v>
      </c>
      <c r="G85" t="s">
        <v>39</v>
      </c>
      <c r="H85" t="s">
        <v>40</v>
      </c>
      <c r="I85" t="s">
        <v>153</v>
      </c>
      <c r="J85" t="s">
        <v>156</v>
      </c>
      <c r="K85" t="s">
        <v>63</v>
      </c>
      <c r="L85">
        <v>3</v>
      </c>
      <c r="N85">
        <v>3</v>
      </c>
      <c r="O85" t="s">
        <v>103</v>
      </c>
      <c r="P85" t="s">
        <v>91</v>
      </c>
      <c r="Q85" t="s">
        <v>147</v>
      </c>
      <c r="R85" t="s">
        <v>151</v>
      </c>
      <c r="S85" t="s">
        <v>227</v>
      </c>
      <c r="T85">
        <v>2</v>
      </c>
      <c r="U85">
        <v>3</v>
      </c>
      <c r="V85">
        <v>3</v>
      </c>
      <c r="W85" t="s">
        <v>229</v>
      </c>
      <c r="X85" t="s">
        <v>231</v>
      </c>
      <c r="Y85" t="s">
        <v>235</v>
      </c>
      <c r="Z85" t="s">
        <v>238</v>
      </c>
      <c r="AA85">
        <v>0</v>
      </c>
      <c r="AB85">
        <v>35</v>
      </c>
    </row>
  </sheetData>
  <phoneticPr fontId="3" type="noConversion"/>
  <conditionalFormatting sqref="B1:B1048576">
    <cfRule type="duplicateValues" dxfId="7" priority="1"/>
  </conditionalFormatting>
  <conditionalFormatting sqref="A2:B85">
    <cfRule type="duplicateValues" dxfId="6" priority="3613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4AB4-BED7-471D-B263-F65A15EB3258}">
  <dimension ref="A1:O86"/>
  <sheetViews>
    <sheetView workbookViewId="0">
      <selection activeCell="J20" sqref="J20"/>
    </sheetView>
  </sheetViews>
  <sheetFormatPr defaultRowHeight="15" x14ac:dyDescent="0.25"/>
  <cols>
    <col min="1" max="1" width="11.42578125" bestFit="1" customWidth="1"/>
    <col min="2" max="2" width="13.5703125" customWidth="1"/>
    <col min="3" max="3" width="11.42578125" bestFit="1" customWidth="1"/>
    <col min="4" max="4" width="13.5703125" customWidth="1"/>
    <col min="5" max="5" width="11.42578125" bestFit="1" customWidth="1"/>
    <col min="6" max="6" width="13.5703125" bestFit="1" customWidth="1"/>
    <col min="7" max="7" width="9.42578125" bestFit="1" customWidth="1"/>
    <col min="9" max="9" width="11.42578125" bestFit="1" customWidth="1"/>
    <col min="10" max="10" width="9.42578125" bestFit="1" customWidth="1"/>
    <col min="11" max="11" width="7.42578125" bestFit="1" customWidth="1"/>
    <col min="12" max="12" width="10.85546875" bestFit="1" customWidth="1"/>
    <col min="14" max="14" width="25.140625" bestFit="1" customWidth="1"/>
    <col min="15" max="15" width="5.5703125" customWidth="1"/>
    <col min="17" max="17" width="9.28515625" bestFit="1" customWidth="1"/>
  </cols>
  <sheetData>
    <row r="1" spans="1:15" ht="15.75" thickBot="1" x14ac:dyDescent="0.3">
      <c r="A1" s="36" t="s">
        <v>78</v>
      </c>
      <c r="B1" s="37"/>
      <c r="C1" s="37"/>
      <c r="D1" s="37"/>
      <c r="E1" s="37"/>
      <c r="F1" s="37"/>
      <c r="G1" s="38"/>
      <c r="I1" s="36" t="s">
        <v>82</v>
      </c>
      <c r="J1" s="37"/>
      <c r="K1" s="37"/>
      <c r="L1" s="38"/>
      <c r="N1" s="4" t="s">
        <v>157</v>
      </c>
      <c r="O1" s="30">
        <f>MIN(Scenario3[crystals])</f>
        <v>0</v>
      </c>
    </row>
    <row r="2" spans="1:15" ht="15.75" thickBot="1" x14ac:dyDescent="0.3">
      <c r="A2" t="s">
        <v>59</v>
      </c>
      <c r="B2" t="s">
        <v>81</v>
      </c>
      <c r="C2" t="s">
        <v>60</v>
      </c>
      <c r="D2" t="s">
        <v>77</v>
      </c>
      <c r="E2" t="s">
        <v>61</v>
      </c>
      <c r="F2" t="s">
        <v>187</v>
      </c>
      <c r="G2" t="s">
        <v>58</v>
      </c>
      <c r="I2" t="s">
        <v>106</v>
      </c>
      <c r="J2" t="s">
        <v>58</v>
      </c>
      <c r="K2" t="s">
        <v>79</v>
      </c>
      <c r="L2" t="s">
        <v>80</v>
      </c>
      <c r="N2" s="4" t="s">
        <v>107</v>
      </c>
      <c r="O2" s="30">
        <f>AVERAGE(Scenario3[crystals])</f>
        <v>0</v>
      </c>
    </row>
    <row r="3" spans="1:15" ht="15.75" thickBot="1" x14ac:dyDescent="0.3">
      <c r="A3" t="s">
        <v>53</v>
      </c>
      <c r="B3">
        <f>COUNTIFS(Scenario3[winner1],ScenarioStat3[[#This Row],[hero-1]],Scenario3[loser1],ScenarioStat3[[#This Row],[hero-2]],Scenario3[loser2],ScenarioStat3[[#This Row],[hero-3]])</f>
        <v>0</v>
      </c>
      <c r="C3" t="s">
        <v>56</v>
      </c>
      <c r="D3">
        <f>COUNTIFS(Scenario3[winner1],ScenarioStat3[[#This Row],[hero-2]],Scenario3[loser1],ScenarioStat3[[#This Row],[hero-1]],Scenario3[loser2],ScenarioStat3[[#This Row],[hero-3]])</f>
        <v>0</v>
      </c>
      <c r="E3" t="s">
        <v>48</v>
      </c>
      <c r="F3">
        <f>COUNTIFS(Scenario3[winner1],ScenarioStat3[[#This Row],[hero-3]],Scenario3[loser1],ScenarioStat3[[#This Row],[hero-1]],Scenario3[loser2],ScenarioStat3[[#This Row],[hero-2]])</f>
        <v>1</v>
      </c>
      <c r="G3">
        <f>ScenarioStat3[[#This Row],[team-1-win]]+ScenarioStat3[[#This Row],[team-2-win]]+ScenarioStat3[[#This Row],[team-3-win]]</f>
        <v>1</v>
      </c>
      <c r="I3" t="s">
        <v>53</v>
      </c>
      <c r="J3">
        <f>SUMIFS(ScenarioStat3[battles],ScenarioStat3[hero-1],ScenarioTeams3[[#This Row],[hero]])+SUMIFS(ScenarioStat3[battles],ScenarioStat3[hero-2],ScenarioTeams3[[#This Row],[hero]])+SUMIFS(ScenarioStat3[battles],ScenarioStat3[hero-3],ScenarioTeams3[[#This Row],[hero]])</f>
        <v>28</v>
      </c>
      <c r="K3">
        <f>SUMIFS(ScenarioStat3[team-1-win],ScenarioStat3[hero-1],ScenarioTeams3[[#This Row],[hero]])+SUMIFS(ScenarioStat3[team-2-win],ScenarioStat3[hero-2],ScenarioTeams3[[#This Row],[hero]])+SUMIFS(ScenarioStat3[team-3-win],ScenarioStat3[hero-3],ScenarioTeams3[[#This Row],[hero]])</f>
        <v>14</v>
      </c>
      <c r="L3" s="3">
        <f>IF(ScenarioTeams3[[#This Row],[battles]],ScenarioTeams3[[#This Row],[wins]]/ScenarioTeams3[[#This Row],[battles]],0)</f>
        <v>0.5</v>
      </c>
      <c r="N3" s="4" t="s">
        <v>159</v>
      </c>
      <c r="O3" s="30">
        <f>MAX(Scenario3[crystals])</f>
        <v>0</v>
      </c>
    </row>
    <row r="4" spans="1:15" ht="15.75" thickBot="1" x14ac:dyDescent="0.3">
      <c r="A4" t="s">
        <v>53</v>
      </c>
      <c r="B4">
        <f>COUNTIFS(Scenario3[winner1],ScenarioStat3[[#This Row],[hero-1]],Scenario3[loser1],ScenarioStat3[[#This Row],[hero-2]],Scenario3[loser2],ScenarioStat3[[#This Row],[hero-3]])</f>
        <v>0</v>
      </c>
      <c r="C4" t="s">
        <v>56</v>
      </c>
      <c r="D4">
        <f>COUNTIFS(Scenario3[winner1],ScenarioStat3[[#This Row],[hero-2]],Scenario3[loser1],ScenarioStat3[[#This Row],[hero-1]],Scenario3[loser2],ScenarioStat3[[#This Row],[hero-3]])</f>
        <v>0</v>
      </c>
      <c r="E4" t="s">
        <v>33</v>
      </c>
      <c r="F4">
        <f>COUNTIFS(Scenario3[winner1],ScenarioStat3[[#This Row],[hero-3]],Scenario3[loser1],ScenarioStat3[[#This Row],[hero-1]],Scenario3[loser2],ScenarioStat3[[#This Row],[hero-2]])</f>
        <v>1</v>
      </c>
      <c r="G4">
        <f>ScenarioStat3[[#This Row],[team-1-win]]+ScenarioStat3[[#This Row],[team-2-win]]+ScenarioStat3[[#This Row],[team-3-win]]</f>
        <v>1</v>
      </c>
      <c r="I4" t="s">
        <v>56</v>
      </c>
      <c r="J4">
        <f>SUMIFS(ScenarioStat3[battles],ScenarioStat3[hero-1],ScenarioTeams3[[#This Row],[hero]])+SUMIFS(ScenarioStat3[battles],ScenarioStat3[hero-2],ScenarioTeams3[[#This Row],[hero]])+SUMIFS(ScenarioStat3[battles],ScenarioStat3[hero-3],ScenarioTeams3[[#This Row],[hero]])</f>
        <v>28</v>
      </c>
      <c r="K4">
        <f>SUMIFS(ScenarioStat3[team-1-win],ScenarioStat3[hero-1],ScenarioTeams3[[#This Row],[hero]])+SUMIFS(ScenarioStat3[team-2-win],ScenarioStat3[hero-2],ScenarioTeams3[[#This Row],[hero]])+SUMIFS(ScenarioStat3[team-3-win],ScenarioStat3[hero-3],ScenarioTeams3[[#This Row],[hero]])</f>
        <v>14</v>
      </c>
      <c r="L4" s="3">
        <f>IF(ScenarioTeams3[[#This Row],[battles]],ScenarioTeams3[[#This Row],[wins]]/ScenarioTeams3[[#This Row],[battles]],0)</f>
        <v>0.5</v>
      </c>
      <c r="O4" s="7"/>
    </row>
    <row r="5" spans="1:15" ht="15.75" thickBot="1" x14ac:dyDescent="0.3">
      <c r="A5" t="s">
        <v>53</v>
      </c>
      <c r="B5">
        <f>COUNTIFS(Scenario3[winner1],ScenarioStat3[[#This Row],[hero-1]],Scenario3[loser1],ScenarioStat3[[#This Row],[hero-2]],Scenario3[loser2],ScenarioStat3[[#This Row],[hero-3]])</f>
        <v>0</v>
      </c>
      <c r="C5" t="s">
        <v>56</v>
      </c>
      <c r="D5">
        <f>COUNTIFS(Scenario3[winner1],ScenarioStat3[[#This Row],[hero-2]],Scenario3[loser1],ScenarioStat3[[#This Row],[hero-1]],Scenario3[loser2],ScenarioStat3[[#This Row],[hero-3]])</f>
        <v>1</v>
      </c>
      <c r="E5" t="s">
        <v>43</v>
      </c>
      <c r="F5">
        <f>COUNTIFS(Scenario3[winner1],ScenarioStat3[[#This Row],[hero-3]],Scenario3[loser1],ScenarioStat3[[#This Row],[hero-1]],Scenario3[loser2],ScenarioStat3[[#This Row],[hero-2]])</f>
        <v>0</v>
      </c>
      <c r="G5">
        <f>ScenarioStat3[[#This Row],[team-1-win]]+ScenarioStat3[[#This Row],[team-2-win]]+ScenarioStat3[[#This Row],[team-3-win]]</f>
        <v>1</v>
      </c>
      <c r="I5" t="s">
        <v>48</v>
      </c>
      <c r="J5">
        <f>SUMIFS(ScenarioStat3[battles],ScenarioStat3[hero-1],ScenarioTeams3[[#This Row],[hero]])+SUMIFS(ScenarioStat3[battles],ScenarioStat3[hero-2],ScenarioTeams3[[#This Row],[hero]])+SUMIFS(ScenarioStat3[battles],ScenarioStat3[hero-3],ScenarioTeams3[[#This Row],[hero]])</f>
        <v>28</v>
      </c>
      <c r="K5">
        <f>SUMIFS(ScenarioStat3[team-1-win],ScenarioStat3[hero-1],ScenarioTeams3[[#This Row],[hero]])+SUMIFS(ScenarioStat3[team-2-win],ScenarioStat3[hero-2],ScenarioTeams3[[#This Row],[hero]])+SUMIFS(ScenarioStat3[team-3-win],ScenarioStat3[hero-3],ScenarioTeams3[[#This Row],[hero]])</f>
        <v>10</v>
      </c>
      <c r="L5" s="3">
        <f>IF(ScenarioTeams3[[#This Row],[battles]],ScenarioTeams3[[#This Row],[wins]]/ScenarioTeams3[[#This Row],[battles]],0)</f>
        <v>0.35714285714285715</v>
      </c>
      <c r="N5" s="4" t="s">
        <v>158</v>
      </c>
      <c r="O5" s="30">
        <f>MIN(Scenario3[turns])</f>
        <v>10</v>
      </c>
    </row>
    <row r="6" spans="1:15" ht="15.75" thickBot="1" x14ac:dyDescent="0.3">
      <c r="A6" t="s">
        <v>53</v>
      </c>
      <c r="B6">
        <f>COUNTIFS(Scenario3[winner1],ScenarioStat3[[#This Row],[hero-1]],Scenario3[loser1],ScenarioStat3[[#This Row],[hero-2]],Scenario3[loser2],ScenarioStat3[[#This Row],[hero-3]])</f>
        <v>0</v>
      </c>
      <c r="C6" t="s">
        <v>56</v>
      </c>
      <c r="D6">
        <f>COUNTIFS(Scenario3[winner1],ScenarioStat3[[#This Row],[hero-2]],Scenario3[loser1],ScenarioStat3[[#This Row],[hero-1]],Scenario3[loser2],ScenarioStat3[[#This Row],[hero-3]])</f>
        <v>0</v>
      </c>
      <c r="E6" t="s">
        <v>45</v>
      </c>
      <c r="F6">
        <f>COUNTIFS(Scenario3[winner1],ScenarioStat3[[#This Row],[hero-3]],Scenario3[loser1],ScenarioStat3[[#This Row],[hero-1]],Scenario3[loser2],ScenarioStat3[[#This Row],[hero-2]])</f>
        <v>1</v>
      </c>
      <c r="G6">
        <f>ScenarioStat3[[#This Row],[team-1-win]]+ScenarioStat3[[#This Row],[team-2-win]]+ScenarioStat3[[#This Row],[team-3-win]]</f>
        <v>1</v>
      </c>
      <c r="I6" t="s">
        <v>33</v>
      </c>
      <c r="J6">
        <f>SUMIFS(ScenarioStat3[battles],ScenarioStat3[hero-1],ScenarioTeams3[[#This Row],[hero]])+SUMIFS(ScenarioStat3[battles],ScenarioStat3[hero-2],ScenarioTeams3[[#This Row],[hero]])+SUMIFS(ScenarioStat3[battles],ScenarioStat3[hero-3],ScenarioTeams3[[#This Row],[hero]])</f>
        <v>28</v>
      </c>
      <c r="K6">
        <f>SUMIFS(ScenarioStat3[team-1-win],ScenarioStat3[hero-1],ScenarioTeams3[[#This Row],[hero]])+SUMIFS(ScenarioStat3[team-2-win],ScenarioStat3[hero-2],ScenarioTeams3[[#This Row],[hero]])+SUMIFS(ScenarioStat3[team-3-win],ScenarioStat3[hero-3],ScenarioTeams3[[#This Row],[hero]])</f>
        <v>11</v>
      </c>
      <c r="L6" s="3">
        <f>IF(ScenarioTeams3[[#This Row],[battles]],ScenarioTeams3[[#This Row],[wins]]/ScenarioTeams3[[#This Row],[battles]],0)</f>
        <v>0.39285714285714285</v>
      </c>
      <c r="N6" s="5" t="s">
        <v>108</v>
      </c>
      <c r="O6" s="31">
        <f>AVERAGE(Scenario3[turns])</f>
        <v>27.488095238095237</v>
      </c>
    </row>
    <row r="7" spans="1:15" ht="15.75" thickBot="1" x14ac:dyDescent="0.3">
      <c r="A7" t="s">
        <v>53</v>
      </c>
      <c r="B7">
        <f>COUNTIFS(Scenario3[winner1],ScenarioStat3[[#This Row],[hero-1]],Scenario3[loser1],ScenarioStat3[[#This Row],[hero-2]],Scenario3[loser2],ScenarioStat3[[#This Row],[hero-3]])</f>
        <v>1</v>
      </c>
      <c r="C7" t="s">
        <v>56</v>
      </c>
      <c r="D7">
        <f>COUNTIFS(Scenario3[winner1],ScenarioStat3[[#This Row],[hero-2]],Scenario3[loser1],ScenarioStat3[[#This Row],[hero-1]],Scenario3[loser2],ScenarioStat3[[#This Row],[hero-3]])</f>
        <v>0</v>
      </c>
      <c r="E7" t="s">
        <v>63</v>
      </c>
      <c r="F7">
        <f>COUNTIFS(Scenario3[winner1],ScenarioStat3[[#This Row],[hero-3]],Scenario3[loser1],ScenarioStat3[[#This Row],[hero-1]],Scenario3[loser2],ScenarioStat3[[#This Row],[hero-2]])</f>
        <v>0</v>
      </c>
      <c r="G7">
        <f>ScenarioStat3[[#This Row],[team-1-win]]+ScenarioStat3[[#This Row],[team-2-win]]+ScenarioStat3[[#This Row],[team-3-win]]</f>
        <v>1</v>
      </c>
      <c r="I7" t="s">
        <v>43</v>
      </c>
      <c r="J7">
        <f>SUMIFS(ScenarioStat3[battles],ScenarioStat3[hero-1],ScenarioTeams3[[#This Row],[hero]])+SUMIFS(ScenarioStat3[battles],ScenarioStat3[hero-2],ScenarioTeams3[[#This Row],[hero]])+SUMIFS(ScenarioStat3[battles],ScenarioStat3[hero-3],ScenarioTeams3[[#This Row],[hero]])</f>
        <v>28</v>
      </c>
      <c r="K7">
        <f>SUMIFS(ScenarioStat3[team-1-win],ScenarioStat3[hero-1],ScenarioTeams3[[#This Row],[hero]])+SUMIFS(ScenarioStat3[team-2-win],ScenarioStat3[hero-2],ScenarioTeams3[[#This Row],[hero]])+SUMIFS(ScenarioStat3[team-3-win],ScenarioStat3[hero-3],ScenarioTeams3[[#This Row],[hero]])</f>
        <v>4</v>
      </c>
      <c r="L7" s="3">
        <f>IF(ScenarioTeams3[[#This Row],[battles]],ScenarioTeams3[[#This Row],[wins]]/ScenarioTeams3[[#This Row],[battles]],0)</f>
        <v>0.14285714285714285</v>
      </c>
      <c r="N7" s="5" t="s">
        <v>160</v>
      </c>
      <c r="O7" s="31">
        <f>MAX(Scenario3[turns])</f>
        <v>52</v>
      </c>
    </row>
    <row r="8" spans="1:15" ht="15.75" thickBot="1" x14ac:dyDescent="0.3">
      <c r="A8" t="s">
        <v>53</v>
      </c>
      <c r="B8">
        <f>COUNTIFS(Scenario3[winner1],ScenarioStat3[[#This Row],[hero-1]],Scenario3[loser1],ScenarioStat3[[#This Row],[hero-2]],Scenario3[loser2],ScenarioStat3[[#This Row],[hero-3]])</f>
        <v>1</v>
      </c>
      <c r="C8" t="s">
        <v>56</v>
      </c>
      <c r="D8">
        <f>COUNTIFS(Scenario3[winner1],ScenarioStat3[[#This Row],[hero-2]],Scenario3[loser1],ScenarioStat3[[#This Row],[hero-1]],Scenario3[loser2],ScenarioStat3[[#This Row],[hero-3]])</f>
        <v>0</v>
      </c>
      <c r="E8" t="s">
        <v>38</v>
      </c>
      <c r="F8">
        <f>COUNTIFS(Scenario3[winner1],ScenarioStat3[[#This Row],[hero-3]],Scenario3[loser1],ScenarioStat3[[#This Row],[hero-1]],Scenario3[loser2],ScenarioStat3[[#This Row],[hero-2]])</f>
        <v>0</v>
      </c>
      <c r="G8">
        <f>ScenarioStat3[[#This Row],[team-1-win]]+ScenarioStat3[[#This Row],[team-2-win]]+ScenarioStat3[[#This Row],[team-3-win]]</f>
        <v>1</v>
      </c>
      <c r="I8" t="s">
        <v>45</v>
      </c>
      <c r="J8">
        <f>SUMIFS(ScenarioStat3[battles],ScenarioStat3[hero-1],ScenarioTeams3[[#This Row],[hero]])+SUMIFS(ScenarioStat3[battles],ScenarioStat3[hero-2],ScenarioTeams3[[#This Row],[hero]])+SUMIFS(ScenarioStat3[battles],ScenarioStat3[hero-3],ScenarioTeams3[[#This Row],[hero]])</f>
        <v>28</v>
      </c>
      <c r="K8">
        <f>SUMIFS(ScenarioStat3[team-1-win],ScenarioStat3[hero-1],ScenarioTeams3[[#This Row],[hero]])+SUMIFS(ScenarioStat3[team-2-win],ScenarioStat3[hero-2],ScenarioTeams3[[#This Row],[hero]])+SUMIFS(ScenarioStat3[team-3-win],ScenarioStat3[hero-3],ScenarioTeams3[[#This Row],[hero]])</f>
        <v>7</v>
      </c>
      <c r="L8" s="3">
        <f>IF(ScenarioTeams3[[#This Row],[battles]],ScenarioTeams3[[#This Row],[wins]]/ScenarioTeams3[[#This Row],[battles]],0)</f>
        <v>0.25</v>
      </c>
    </row>
    <row r="9" spans="1:15" ht="15.75" thickBot="1" x14ac:dyDescent="0.3">
      <c r="A9" t="s">
        <v>53</v>
      </c>
      <c r="B9">
        <f>COUNTIFS(Scenario3[winner1],ScenarioStat3[[#This Row],[hero-1]],Scenario3[loser1],ScenarioStat3[[#This Row],[hero-2]],Scenario3[loser2],ScenarioStat3[[#This Row],[hero-3]])</f>
        <v>0</v>
      </c>
      <c r="C9" t="s">
        <v>56</v>
      </c>
      <c r="D9">
        <f>COUNTIFS(Scenario3[winner1],ScenarioStat3[[#This Row],[hero-2]],Scenario3[loser1],ScenarioStat3[[#This Row],[hero-1]],Scenario3[loser2],ScenarioStat3[[#This Row],[hero-3]])</f>
        <v>0</v>
      </c>
      <c r="E9" t="s">
        <v>227</v>
      </c>
      <c r="F9">
        <f>COUNTIFS(Scenario3[winner1],ScenarioStat3[[#This Row],[hero-3]],Scenario3[loser1],ScenarioStat3[[#This Row],[hero-1]],Scenario3[loser2],ScenarioStat3[[#This Row],[hero-2]])</f>
        <v>1</v>
      </c>
      <c r="G9">
        <f>ScenarioStat3[[#This Row],[team-1-win]]+ScenarioStat3[[#This Row],[team-2-win]]+ScenarioStat3[[#This Row],[team-3-win]]</f>
        <v>1</v>
      </c>
      <c r="I9" t="s">
        <v>63</v>
      </c>
      <c r="J9">
        <f>SUMIFS(ScenarioStat3[battles],ScenarioStat3[hero-1],ScenarioTeams3[[#This Row],[hero]])+SUMIFS(ScenarioStat3[battles],ScenarioStat3[hero-2],ScenarioTeams3[[#This Row],[hero]])+SUMIFS(ScenarioStat3[battles],ScenarioStat3[hero-3],ScenarioTeams3[[#This Row],[hero]])</f>
        <v>28</v>
      </c>
      <c r="K9">
        <f>SUMIFS(ScenarioStat3[team-1-win],ScenarioStat3[hero-1],ScenarioTeams3[[#This Row],[hero]])+SUMIFS(ScenarioStat3[team-2-win],ScenarioStat3[hero-2],ScenarioTeams3[[#This Row],[hero]])+SUMIFS(ScenarioStat3[team-3-win],ScenarioStat3[hero-3],ScenarioTeams3[[#This Row],[hero]])</f>
        <v>7</v>
      </c>
      <c r="L9" s="3">
        <f>IF(ScenarioTeams3[[#This Row],[battles]],ScenarioTeams3[[#This Row],[wins]]/ScenarioTeams3[[#This Row],[battles]],0)</f>
        <v>0.25</v>
      </c>
      <c r="N9" s="4" t="s">
        <v>185</v>
      </c>
      <c r="O9" s="30">
        <f>120000*$O$6/1000/60</f>
        <v>54.976190476190474</v>
      </c>
    </row>
    <row r="10" spans="1:15" ht="15.75" thickBot="1" x14ac:dyDescent="0.3">
      <c r="A10" t="s">
        <v>53</v>
      </c>
      <c r="B10">
        <f>COUNTIFS(Scenario3[winner1],ScenarioStat3[[#This Row],[hero-1]],Scenario3[loser1],ScenarioStat3[[#This Row],[hero-2]],Scenario3[loser2],ScenarioStat3[[#This Row],[hero-3]])</f>
        <v>0</v>
      </c>
      <c r="C10" t="s">
        <v>48</v>
      </c>
      <c r="D10">
        <f>COUNTIFS(Scenario3[winner1],ScenarioStat3[[#This Row],[hero-2]],Scenario3[loser1],ScenarioStat3[[#This Row],[hero-1]],Scenario3[loser2],ScenarioStat3[[#This Row],[hero-3]])</f>
        <v>0</v>
      </c>
      <c r="E10" t="s">
        <v>33</v>
      </c>
      <c r="F10">
        <f>COUNTIFS(Scenario3[winner1],ScenarioStat3[[#This Row],[hero-3]],Scenario3[loser1],ScenarioStat3[[#This Row],[hero-1]],Scenario3[loser2],ScenarioStat3[[#This Row],[hero-2]])</f>
        <v>1</v>
      </c>
      <c r="G10">
        <f>ScenarioStat3[[#This Row],[team-1-win]]+ScenarioStat3[[#This Row],[team-2-win]]+ScenarioStat3[[#This Row],[team-3-win]]</f>
        <v>1</v>
      </c>
      <c r="I10" t="s">
        <v>38</v>
      </c>
      <c r="J10">
        <f>SUMIFS(ScenarioStat3[battles],ScenarioStat3[hero-1],ScenarioTeams3[[#This Row],[hero]])+SUMIFS(ScenarioStat3[battles],ScenarioStat3[hero-2],ScenarioTeams3[[#This Row],[hero]])+SUMIFS(ScenarioStat3[battles],ScenarioStat3[hero-3],ScenarioTeams3[[#This Row],[hero]])</f>
        <v>28</v>
      </c>
      <c r="K10">
        <f>SUMIFS(ScenarioStat3[team-1-win],ScenarioStat3[hero-1],ScenarioTeams3[[#This Row],[hero]])+SUMIFS(ScenarioStat3[team-2-win],ScenarioStat3[hero-2],ScenarioTeams3[[#This Row],[hero]])+SUMIFS(ScenarioStat3[team-3-win],ScenarioStat3[hero-3],ScenarioTeams3[[#This Row],[hero]])</f>
        <v>8</v>
      </c>
      <c r="L10" s="3">
        <f>IF(ScenarioTeams3[[#This Row],[battles]],ScenarioTeams3[[#This Row],[wins]]/ScenarioTeams3[[#This Row],[battles]],0)</f>
        <v>0.2857142857142857</v>
      </c>
      <c r="N10" s="5" t="s">
        <v>186</v>
      </c>
      <c r="O10" s="6">
        <f>O9*COUNTA(ScenarioStat3[hero-1])/60/24*2</f>
        <v>6.4138888888888888</v>
      </c>
    </row>
    <row r="11" spans="1:15" x14ac:dyDescent="0.25">
      <c r="A11" t="s">
        <v>53</v>
      </c>
      <c r="B11">
        <f>COUNTIFS(Scenario3[winner1],ScenarioStat3[[#This Row],[hero-1]],Scenario3[loser1],ScenarioStat3[[#This Row],[hero-2]],Scenario3[loser2],ScenarioStat3[[#This Row],[hero-3]])</f>
        <v>1</v>
      </c>
      <c r="C11" t="s">
        <v>48</v>
      </c>
      <c r="D11">
        <f>COUNTIFS(Scenario3[winner1],ScenarioStat3[[#This Row],[hero-2]],Scenario3[loser1],ScenarioStat3[[#This Row],[hero-1]],Scenario3[loser2],ScenarioStat3[[#This Row],[hero-3]])</f>
        <v>0</v>
      </c>
      <c r="E11" t="s">
        <v>43</v>
      </c>
      <c r="F11">
        <f>COUNTIFS(Scenario3[winner1],ScenarioStat3[[#This Row],[hero-3]],Scenario3[loser1],ScenarioStat3[[#This Row],[hero-1]],Scenario3[loser2],ScenarioStat3[[#This Row],[hero-2]])</f>
        <v>0</v>
      </c>
      <c r="G11">
        <f>ScenarioStat3[[#This Row],[team-1-win]]+ScenarioStat3[[#This Row],[team-2-win]]+ScenarioStat3[[#This Row],[team-3-win]]</f>
        <v>1</v>
      </c>
      <c r="I11" t="s">
        <v>227</v>
      </c>
      <c r="J11">
        <f>SUMIFS(ScenarioStat3[battles],ScenarioStat3[hero-1],ScenarioTeams3[[#This Row],[hero]])+SUMIFS(ScenarioStat3[battles],ScenarioStat3[hero-2],ScenarioTeams3[[#This Row],[hero]])+SUMIFS(ScenarioStat3[battles],ScenarioStat3[hero-3],ScenarioTeams3[[#This Row],[hero]])</f>
        <v>28</v>
      </c>
      <c r="K11">
        <f>SUMIFS(ScenarioStat3[team-1-win],ScenarioStat3[hero-1],ScenarioTeams3[[#This Row],[hero]])+SUMIFS(ScenarioStat3[team-2-win],ScenarioStat3[hero-2],ScenarioTeams3[[#This Row],[hero]])+SUMIFS(ScenarioStat3[team-3-win],ScenarioStat3[hero-3],ScenarioTeams3[[#This Row],[hero]])</f>
        <v>9</v>
      </c>
      <c r="L11" s="3">
        <f>IF(ScenarioTeams3[[#This Row],[battles]],ScenarioTeams3[[#This Row],[wins]]/ScenarioTeams3[[#This Row],[battles]],0)</f>
        <v>0.32142857142857145</v>
      </c>
    </row>
    <row r="12" spans="1:15" x14ac:dyDescent="0.25">
      <c r="A12" t="s">
        <v>53</v>
      </c>
      <c r="B12">
        <f>COUNTIFS(Scenario3[winner1],ScenarioStat3[[#This Row],[hero-1]],Scenario3[loser1],ScenarioStat3[[#This Row],[hero-2]],Scenario3[loser2],ScenarioStat3[[#This Row],[hero-3]])</f>
        <v>1</v>
      </c>
      <c r="C12" t="s">
        <v>48</v>
      </c>
      <c r="D12">
        <f>COUNTIFS(Scenario3[winner1],ScenarioStat3[[#This Row],[hero-2]],Scenario3[loser1],ScenarioStat3[[#This Row],[hero-1]],Scenario3[loser2],ScenarioStat3[[#This Row],[hero-3]])</f>
        <v>0</v>
      </c>
      <c r="E12" t="s">
        <v>45</v>
      </c>
      <c r="F12">
        <f>COUNTIFS(Scenario3[winner1],ScenarioStat3[[#This Row],[hero-3]],Scenario3[loser1],ScenarioStat3[[#This Row],[hero-1]],Scenario3[loser2],ScenarioStat3[[#This Row],[hero-2]])</f>
        <v>0</v>
      </c>
      <c r="G12">
        <f>ScenarioStat3[[#This Row],[team-1-win]]+ScenarioStat3[[#This Row],[team-2-win]]+ScenarioStat3[[#This Row],[team-3-win]]</f>
        <v>1</v>
      </c>
    </row>
    <row r="13" spans="1:15" x14ac:dyDescent="0.25">
      <c r="A13" t="s">
        <v>53</v>
      </c>
      <c r="B13">
        <f>COUNTIFS(Scenario3[winner1],ScenarioStat3[[#This Row],[hero-1]],Scenario3[loser1],ScenarioStat3[[#This Row],[hero-2]],Scenario3[loser2],ScenarioStat3[[#This Row],[hero-3]])</f>
        <v>1</v>
      </c>
      <c r="C13" t="s">
        <v>48</v>
      </c>
      <c r="D13">
        <f>COUNTIFS(Scenario3[winner1],ScenarioStat3[[#This Row],[hero-2]],Scenario3[loser1],ScenarioStat3[[#This Row],[hero-1]],Scenario3[loser2],ScenarioStat3[[#This Row],[hero-3]])</f>
        <v>0</v>
      </c>
      <c r="E13" t="s">
        <v>63</v>
      </c>
      <c r="F13">
        <f>COUNTIFS(Scenario3[winner1],ScenarioStat3[[#This Row],[hero-3]],Scenario3[loser1],ScenarioStat3[[#This Row],[hero-1]],Scenario3[loser2],ScenarioStat3[[#This Row],[hero-2]])</f>
        <v>0</v>
      </c>
      <c r="G13">
        <f>ScenarioStat3[[#This Row],[team-1-win]]+ScenarioStat3[[#This Row],[team-2-win]]+ScenarioStat3[[#This Row],[team-3-win]]</f>
        <v>1</v>
      </c>
    </row>
    <row r="14" spans="1:15" x14ac:dyDescent="0.25">
      <c r="A14" t="s">
        <v>53</v>
      </c>
      <c r="B14">
        <f>COUNTIFS(Scenario3[winner1],ScenarioStat3[[#This Row],[hero-1]],Scenario3[loser1],ScenarioStat3[[#This Row],[hero-2]],Scenario3[loser2],ScenarioStat3[[#This Row],[hero-3]])</f>
        <v>1</v>
      </c>
      <c r="C14" t="s">
        <v>48</v>
      </c>
      <c r="D14">
        <f>COUNTIFS(Scenario3[winner1],ScenarioStat3[[#This Row],[hero-2]],Scenario3[loser1],ScenarioStat3[[#This Row],[hero-1]],Scenario3[loser2],ScenarioStat3[[#This Row],[hero-3]])</f>
        <v>0</v>
      </c>
      <c r="E14" t="s">
        <v>38</v>
      </c>
      <c r="F14">
        <f>COUNTIFS(Scenario3[winner1],ScenarioStat3[[#This Row],[hero-3]],Scenario3[loser1],ScenarioStat3[[#This Row],[hero-1]],Scenario3[loser2],ScenarioStat3[[#This Row],[hero-2]])</f>
        <v>0</v>
      </c>
      <c r="G14">
        <f>ScenarioStat3[[#This Row],[team-1-win]]+ScenarioStat3[[#This Row],[team-2-win]]+ScenarioStat3[[#This Row],[team-3-win]]</f>
        <v>1</v>
      </c>
    </row>
    <row r="15" spans="1:15" x14ac:dyDescent="0.25">
      <c r="A15" t="s">
        <v>53</v>
      </c>
      <c r="B15">
        <f>COUNTIFS(Scenario3[winner1],ScenarioStat3[[#This Row],[hero-1]],Scenario3[loser1],ScenarioStat3[[#This Row],[hero-2]],Scenario3[loser2],ScenarioStat3[[#This Row],[hero-3]])</f>
        <v>1</v>
      </c>
      <c r="C15" t="s">
        <v>48</v>
      </c>
      <c r="D15">
        <f>COUNTIFS(Scenario3[winner1],ScenarioStat3[[#This Row],[hero-2]],Scenario3[loser1],ScenarioStat3[[#This Row],[hero-1]],Scenario3[loser2],ScenarioStat3[[#This Row],[hero-3]])</f>
        <v>0</v>
      </c>
      <c r="E15" t="s">
        <v>227</v>
      </c>
      <c r="F15">
        <f>COUNTIFS(Scenario3[winner1],ScenarioStat3[[#This Row],[hero-3]],Scenario3[loser1],ScenarioStat3[[#This Row],[hero-1]],Scenario3[loser2],ScenarioStat3[[#This Row],[hero-2]])</f>
        <v>0</v>
      </c>
      <c r="G15">
        <f>ScenarioStat3[[#This Row],[team-1-win]]+ScenarioStat3[[#This Row],[team-2-win]]+ScenarioStat3[[#This Row],[team-3-win]]</f>
        <v>1</v>
      </c>
    </row>
    <row r="16" spans="1:15" x14ac:dyDescent="0.25">
      <c r="A16" t="s">
        <v>53</v>
      </c>
      <c r="B16">
        <f>COUNTIFS(Scenario3[winner1],ScenarioStat3[[#This Row],[hero-1]],Scenario3[loser1],ScenarioStat3[[#This Row],[hero-2]],Scenario3[loser2],ScenarioStat3[[#This Row],[hero-3]])</f>
        <v>0</v>
      </c>
      <c r="C16" t="s">
        <v>33</v>
      </c>
      <c r="D16">
        <f>COUNTIFS(Scenario3[winner1],ScenarioStat3[[#This Row],[hero-2]],Scenario3[loser1],ScenarioStat3[[#This Row],[hero-1]],Scenario3[loser2],ScenarioStat3[[#This Row],[hero-3]])</f>
        <v>1</v>
      </c>
      <c r="E16" t="s">
        <v>43</v>
      </c>
      <c r="F16">
        <f>COUNTIFS(Scenario3[winner1],ScenarioStat3[[#This Row],[hero-3]],Scenario3[loser1],ScenarioStat3[[#This Row],[hero-1]],Scenario3[loser2],ScenarioStat3[[#This Row],[hero-2]])</f>
        <v>0</v>
      </c>
      <c r="G16">
        <f>ScenarioStat3[[#This Row],[team-1-win]]+ScenarioStat3[[#This Row],[team-2-win]]+ScenarioStat3[[#This Row],[team-3-win]]</f>
        <v>1</v>
      </c>
    </row>
    <row r="17" spans="1:7" x14ac:dyDescent="0.25">
      <c r="A17" t="s">
        <v>53</v>
      </c>
      <c r="B17">
        <f>COUNTIFS(Scenario3[winner1],ScenarioStat3[[#This Row],[hero-1]],Scenario3[loser1],ScenarioStat3[[#This Row],[hero-2]],Scenario3[loser2],ScenarioStat3[[#This Row],[hero-3]])</f>
        <v>0</v>
      </c>
      <c r="C17" t="s">
        <v>33</v>
      </c>
      <c r="D17">
        <f>COUNTIFS(Scenario3[winner1],ScenarioStat3[[#This Row],[hero-2]],Scenario3[loser1],ScenarioStat3[[#This Row],[hero-1]],Scenario3[loser2],ScenarioStat3[[#This Row],[hero-3]])</f>
        <v>1</v>
      </c>
      <c r="E17" t="s">
        <v>45</v>
      </c>
      <c r="F17">
        <f>COUNTIFS(Scenario3[winner1],ScenarioStat3[[#This Row],[hero-3]],Scenario3[loser1],ScenarioStat3[[#This Row],[hero-1]],Scenario3[loser2],ScenarioStat3[[#This Row],[hero-2]])</f>
        <v>0</v>
      </c>
      <c r="G17">
        <f>ScenarioStat3[[#This Row],[team-1-win]]+ScenarioStat3[[#This Row],[team-2-win]]+ScenarioStat3[[#This Row],[team-3-win]]</f>
        <v>1</v>
      </c>
    </row>
    <row r="18" spans="1:7" x14ac:dyDescent="0.25">
      <c r="A18" t="s">
        <v>53</v>
      </c>
      <c r="B18">
        <f>COUNTIFS(Scenario3[winner1],ScenarioStat3[[#This Row],[hero-1]],Scenario3[loser1],ScenarioStat3[[#This Row],[hero-2]],Scenario3[loser2],ScenarioStat3[[#This Row],[hero-3]])</f>
        <v>0</v>
      </c>
      <c r="C18" t="s">
        <v>33</v>
      </c>
      <c r="D18">
        <f>COUNTIFS(Scenario3[winner1],ScenarioStat3[[#This Row],[hero-2]],Scenario3[loser1],ScenarioStat3[[#This Row],[hero-1]],Scenario3[loser2],ScenarioStat3[[#This Row],[hero-3]])</f>
        <v>1</v>
      </c>
      <c r="E18" t="s">
        <v>63</v>
      </c>
      <c r="F18">
        <f>COUNTIFS(Scenario3[winner1],ScenarioStat3[[#This Row],[hero-3]],Scenario3[loser1],ScenarioStat3[[#This Row],[hero-1]],Scenario3[loser2],ScenarioStat3[[#This Row],[hero-2]])</f>
        <v>0</v>
      </c>
      <c r="G18">
        <f>ScenarioStat3[[#This Row],[team-1-win]]+ScenarioStat3[[#This Row],[team-2-win]]+ScenarioStat3[[#This Row],[team-3-win]]</f>
        <v>1</v>
      </c>
    </row>
    <row r="19" spans="1:7" x14ac:dyDescent="0.25">
      <c r="A19" t="s">
        <v>53</v>
      </c>
      <c r="B19">
        <f>COUNTIFS(Scenario3[winner1],ScenarioStat3[[#This Row],[hero-1]],Scenario3[loser1],ScenarioStat3[[#This Row],[hero-2]],Scenario3[loser2],ScenarioStat3[[#This Row],[hero-3]])</f>
        <v>0</v>
      </c>
      <c r="C19" t="s">
        <v>33</v>
      </c>
      <c r="D19">
        <f>COUNTIFS(Scenario3[winner1],ScenarioStat3[[#This Row],[hero-2]],Scenario3[loser1],ScenarioStat3[[#This Row],[hero-1]],Scenario3[loser2],ScenarioStat3[[#This Row],[hero-3]])</f>
        <v>1</v>
      </c>
      <c r="E19" t="s">
        <v>38</v>
      </c>
      <c r="F19">
        <f>COUNTIFS(Scenario3[winner1],ScenarioStat3[[#This Row],[hero-3]],Scenario3[loser1],ScenarioStat3[[#This Row],[hero-1]],Scenario3[loser2],ScenarioStat3[[#This Row],[hero-2]])</f>
        <v>0</v>
      </c>
      <c r="G19">
        <f>ScenarioStat3[[#This Row],[team-1-win]]+ScenarioStat3[[#This Row],[team-2-win]]+ScenarioStat3[[#This Row],[team-3-win]]</f>
        <v>1</v>
      </c>
    </row>
    <row r="20" spans="1:7" x14ac:dyDescent="0.25">
      <c r="A20" t="s">
        <v>53</v>
      </c>
      <c r="B20">
        <f>COUNTIFS(Scenario3[winner1],ScenarioStat3[[#This Row],[hero-1]],Scenario3[loser1],ScenarioStat3[[#This Row],[hero-2]],Scenario3[loser2],ScenarioStat3[[#This Row],[hero-3]])</f>
        <v>0</v>
      </c>
      <c r="C20" t="s">
        <v>33</v>
      </c>
      <c r="D20">
        <f>COUNTIFS(Scenario3[winner1],ScenarioStat3[[#This Row],[hero-2]],Scenario3[loser1],ScenarioStat3[[#This Row],[hero-1]],Scenario3[loser2],ScenarioStat3[[#This Row],[hero-3]])</f>
        <v>1</v>
      </c>
      <c r="E20" t="s">
        <v>227</v>
      </c>
      <c r="F20">
        <f>COUNTIFS(Scenario3[winner1],ScenarioStat3[[#This Row],[hero-3]],Scenario3[loser1],ScenarioStat3[[#This Row],[hero-1]],Scenario3[loser2],ScenarioStat3[[#This Row],[hero-2]])</f>
        <v>0</v>
      </c>
      <c r="G20">
        <f>ScenarioStat3[[#This Row],[team-1-win]]+ScenarioStat3[[#This Row],[team-2-win]]+ScenarioStat3[[#This Row],[team-3-win]]</f>
        <v>1</v>
      </c>
    </row>
    <row r="21" spans="1:7" x14ac:dyDescent="0.25">
      <c r="A21" t="s">
        <v>53</v>
      </c>
      <c r="B21">
        <f>COUNTIFS(Scenario3[winner1],ScenarioStat3[[#This Row],[hero-1]],Scenario3[loser1],ScenarioStat3[[#This Row],[hero-2]],Scenario3[loser2],ScenarioStat3[[#This Row],[hero-3]])</f>
        <v>1</v>
      </c>
      <c r="C21" t="s">
        <v>43</v>
      </c>
      <c r="D21">
        <f>COUNTIFS(Scenario3[winner1],ScenarioStat3[[#This Row],[hero-2]],Scenario3[loser1],ScenarioStat3[[#This Row],[hero-1]],Scenario3[loser2],ScenarioStat3[[#This Row],[hero-3]])</f>
        <v>0</v>
      </c>
      <c r="E21" t="s">
        <v>45</v>
      </c>
      <c r="F21">
        <f>COUNTIFS(Scenario3[winner1],ScenarioStat3[[#This Row],[hero-3]],Scenario3[loser1],ScenarioStat3[[#This Row],[hero-1]],Scenario3[loser2],ScenarioStat3[[#This Row],[hero-2]])</f>
        <v>0</v>
      </c>
      <c r="G21">
        <f>ScenarioStat3[[#This Row],[team-1-win]]+ScenarioStat3[[#This Row],[team-2-win]]+ScenarioStat3[[#This Row],[team-3-win]]</f>
        <v>1</v>
      </c>
    </row>
    <row r="22" spans="1:7" x14ac:dyDescent="0.25">
      <c r="A22" t="s">
        <v>53</v>
      </c>
      <c r="B22">
        <f>COUNTIFS(Scenario3[winner1],ScenarioStat3[[#This Row],[hero-1]],Scenario3[loser1],ScenarioStat3[[#This Row],[hero-2]],Scenario3[loser2],ScenarioStat3[[#This Row],[hero-3]])</f>
        <v>0</v>
      </c>
      <c r="C22" t="s">
        <v>43</v>
      </c>
      <c r="D22">
        <f>COUNTIFS(Scenario3[winner1],ScenarioStat3[[#This Row],[hero-2]],Scenario3[loser1],ScenarioStat3[[#This Row],[hero-1]],Scenario3[loser2],ScenarioStat3[[#This Row],[hero-3]])</f>
        <v>1</v>
      </c>
      <c r="E22" t="s">
        <v>63</v>
      </c>
      <c r="F22">
        <f>COUNTIFS(Scenario3[winner1],ScenarioStat3[[#This Row],[hero-3]],Scenario3[loser1],ScenarioStat3[[#This Row],[hero-1]],Scenario3[loser2],ScenarioStat3[[#This Row],[hero-2]])</f>
        <v>0</v>
      </c>
      <c r="G22">
        <f>ScenarioStat3[[#This Row],[team-1-win]]+ScenarioStat3[[#This Row],[team-2-win]]+ScenarioStat3[[#This Row],[team-3-win]]</f>
        <v>1</v>
      </c>
    </row>
    <row r="23" spans="1:7" x14ac:dyDescent="0.25">
      <c r="A23" t="s">
        <v>53</v>
      </c>
      <c r="B23">
        <f>COUNTIFS(Scenario3[winner1],ScenarioStat3[[#This Row],[hero-1]],Scenario3[loser1],ScenarioStat3[[#This Row],[hero-2]],Scenario3[loser2],ScenarioStat3[[#This Row],[hero-3]])</f>
        <v>1</v>
      </c>
      <c r="C23" t="s">
        <v>43</v>
      </c>
      <c r="D23">
        <f>COUNTIFS(Scenario3[winner1],ScenarioStat3[[#This Row],[hero-2]],Scenario3[loser1],ScenarioStat3[[#This Row],[hero-1]],Scenario3[loser2],ScenarioStat3[[#This Row],[hero-3]])</f>
        <v>0</v>
      </c>
      <c r="E23" t="s">
        <v>38</v>
      </c>
      <c r="F23">
        <f>COUNTIFS(Scenario3[winner1],ScenarioStat3[[#This Row],[hero-3]],Scenario3[loser1],ScenarioStat3[[#This Row],[hero-1]],Scenario3[loser2],ScenarioStat3[[#This Row],[hero-2]])</f>
        <v>0</v>
      </c>
      <c r="G23">
        <f>ScenarioStat3[[#This Row],[team-1-win]]+ScenarioStat3[[#This Row],[team-2-win]]+ScenarioStat3[[#This Row],[team-3-win]]</f>
        <v>1</v>
      </c>
    </row>
    <row r="24" spans="1:7" x14ac:dyDescent="0.25">
      <c r="A24" t="s">
        <v>53</v>
      </c>
      <c r="B24">
        <f>COUNTIFS(Scenario3[winner1],ScenarioStat3[[#This Row],[hero-1]],Scenario3[loser1],ScenarioStat3[[#This Row],[hero-2]],Scenario3[loser2],ScenarioStat3[[#This Row],[hero-3]])</f>
        <v>1</v>
      </c>
      <c r="C24" t="s">
        <v>43</v>
      </c>
      <c r="D24">
        <f>COUNTIFS(Scenario3[winner1],ScenarioStat3[[#This Row],[hero-2]],Scenario3[loser1],ScenarioStat3[[#This Row],[hero-1]],Scenario3[loser2],ScenarioStat3[[#This Row],[hero-3]])</f>
        <v>0</v>
      </c>
      <c r="E24" t="s">
        <v>227</v>
      </c>
      <c r="F24">
        <f>COUNTIFS(Scenario3[winner1],ScenarioStat3[[#This Row],[hero-3]],Scenario3[loser1],ScenarioStat3[[#This Row],[hero-1]],Scenario3[loser2],ScenarioStat3[[#This Row],[hero-2]])</f>
        <v>0</v>
      </c>
      <c r="G24">
        <f>ScenarioStat3[[#This Row],[team-1-win]]+ScenarioStat3[[#This Row],[team-2-win]]+ScenarioStat3[[#This Row],[team-3-win]]</f>
        <v>1</v>
      </c>
    </row>
    <row r="25" spans="1:7" x14ac:dyDescent="0.25">
      <c r="A25" t="s">
        <v>53</v>
      </c>
      <c r="B25">
        <f>COUNTIFS(Scenario3[winner1],ScenarioStat3[[#This Row],[hero-1]],Scenario3[loser1],ScenarioStat3[[#This Row],[hero-2]],Scenario3[loser2],ScenarioStat3[[#This Row],[hero-3]])</f>
        <v>1</v>
      </c>
      <c r="C25" t="s">
        <v>45</v>
      </c>
      <c r="D25">
        <f>COUNTIFS(Scenario3[winner1],ScenarioStat3[[#This Row],[hero-2]],Scenario3[loser1],ScenarioStat3[[#This Row],[hero-1]],Scenario3[loser2],ScenarioStat3[[#This Row],[hero-3]])</f>
        <v>0</v>
      </c>
      <c r="E25" t="s">
        <v>63</v>
      </c>
      <c r="F25">
        <f>COUNTIFS(Scenario3[winner1],ScenarioStat3[[#This Row],[hero-3]],Scenario3[loser1],ScenarioStat3[[#This Row],[hero-1]],Scenario3[loser2],ScenarioStat3[[#This Row],[hero-2]])</f>
        <v>0</v>
      </c>
      <c r="G25">
        <f>ScenarioStat3[[#This Row],[team-1-win]]+ScenarioStat3[[#This Row],[team-2-win]]+ScenarioStat3[[#This Row],[team-3-win]]</f>
        <v>1</v>
      </c>
    </row>
    <row r="26" spans="1:7" x14ac:dyDescent="0.25">
      <c r="A26" t="s">
        <v>53</v>
      </c>
      <c r="B26">
        <f>COUNTIFS(Scenario3[winner1],ScenarioStat3[[#This Row],[hero-1]],Scenario3[loser1],ScenarioStat3[[#This Row],[hero-2]],Scenario3[loser2],ScenarioStat3[[#This Row],[hero-3]])</f>
        <v>1</v>
      </c>
      <c r="C26" t="s">
        <v>45</v>
      </c>
      <c r="D26">
        <f>COUNTIFS(Scenario3[winner1],ScenarioStat3[[#This Row],[hero-2]],Scenario3[loser1],ScenarioStat3[[#This Row],[hero-1]],Scenario3[loser2],ScenarioStat3[[#This Row],[hero-3]])</f>
        <v>0</v>
      </c>
      <c r="E26" t="s">
        <v>38</v>
      </c>
      <c r="F26">
        <f>COUNTIFS(Scenario3[winner1],ScenarioStat3[[#This Row],[hero-3]],Scenario3[loser1],ScenarioStat3[[#This Row],[hero-1]],Scenario3[loser2],ScenarioStat3[[#This Row],[hero-2]])</f>
        <v>0</v>
      </c>
      <c r="G26">
        <f>ScenarioStat3[[#This Row],[team-1-win]]+ScenarioStat3[[#This Row],[team-2-win]]+ScenarioStat3[[#This Row],[team-3-win]]</f>
        <v>1</v>
      </c>
    </row>
    <row r="27" spans="1:7" x14ac:dyDescent="0.25">
      <c r="A27" t="s">
        <v>53</v>
      </c>
      <c r="B27">
        <f>COUNTIFS(Scenario3[winner1],ScenarioStat3[[#This Row],[hero-1]],Scenario3[loser1],ScenarioStat3[[#This Row],[hero-2]],Scenario3[loser2],ScenarioStat3[[#This Row],[hero-3]])</f>
        <v>0</v>
      </c>
      <c r="C27" t="s">
        <v>45</v>
      </c>
      <c r="D27">
        <f>COUNTIFS(Scenario3[winner1],ScenarioStat3[[#This Row],[hero-2]],Scenario3[loser1],ScenarioStat3[[#This Row],[hero-1]],Scenario3[loser2],ScenarioStat3[[#This Row],[hero-3]])</f>
        <v>1</v>
      </c>
      <c r="E27" t="s">
        <v>227</v>
      </c>
      <c r="F27">
        <f>COUNTIFS(Scenario3[winner1],ScenarioStat3[[#This Row],[hero-3]],Scenario3[loser1],ScenarioStat3[[#This Row],[hero-1]],Scenario3[loser2],ScenarioStat3[[#This Row],[hero-2]])</f>
        <v>0</v>
      </c>
      <c r="G27">
        <f>ScenarioStat3[[#This Row],[team-1-win]]+ScenarioStat3[[#This Row],[team-2-win]]+ScenarioStat3[[#This Row],[team-3-win]]</f>
        <v>1</v>
      </c>
    </row>
    <row r="28" spans="1:7" x14ac:dyDescent="0.25">
      <c r="A28" t="s">
        <v>53</v>
      </c>
      <c r="B28">
        <f>COUNTIFS(Scenario3[winner1],ScenarioStat3[[#This Row],[hero-1]],Scenario3[loser1],ScenarioStat3[[#This Row],[hero-2]],Scenario3[loser2],ScenarioStat3[[#This Row],[hero-3]])</f>
        <v>1</v>
      </c>
      <c r="C28" t="s">
        <v>63</v>
      </c>
      <c r="D28">
        <f>COUNTIFS(Scenario3[winner1],ScenarioStat3[[#This Row],[hero-2]],Scenario3[loser1],ScenarioStat3[[#This Row],[hero-1]],Scenario3[loser2],ScenarioStat3[[#This Row],[hero-3]])</f>
        <v>0</v>
      </c>
      <c r="E28" t="s">
        <v>38</v>
      </c>
      <c r="F28">
        <f>COUNTIFS(Scenario3[winner1],ScenarioStat3[[#This Row],[hero-3]],Scenario3[loser1],ScenarioStat3[[#This Row],[hero-1]],Scenario3[loser2],ScenarioStat3[[#This Row],[hero-2]])</f>
        <v>0</v>
      </c>
      <c r="G28">
        <f>ScenarioStat3[[#This Row],[team-1-win]]+ScenarioStat3[[#This Row],[team-2-win]]+ScenarioStat3[[#This Row],[team-3-win]]</f>
        <v>1</v>
      </c>
    </row>
    <row r="29" spans="1:7" x14ac:dyDescent="0.25">
      <c r="A29" t="s">
        <v>53</v>
      </c>
      <c r="B29">
        <f>COUNTIFS(Scenario3[winner1],ScenarioStat3[[#This Row],[hero-1]],Scenario3[loser1],ScenarioStat3[[#This Row],[hero-2]],Scenario3[loser2],ScenarioStat3[[#This Row],[hero-3]])</f>
        <v>0</v>
      </c>
      <c r="C29" t="s">
        <v>63</v>
      </c>
      <c r="D29">
        <f>COUNTIFS(Scenario3[winner1],ScenarioStat3[[#This Row],[hero-2]],Scenario3[loser1],ScenarioStat3[[#This Row],[hero-1]],Scenario3[loser2],ScenarioStat3[[#This Row],[hero-3]])</f>
        <v>0</v>
      </c>
      <c r="E29" t="s">
        <v>227</v>
      </c>
      <c r="F29">
        <f>COUNTIFS(Scenario3[winner1],ScenarioStat3[[#This Row],[hero-3]],Scenario3[loser1],ScenarioStat3[[#This Row],[hero-1]],Scenario3[loser2],ScenarioStat3[[#This Row],[hero-2]])</f>
        <v>1</v>
      </c>
      <c r="G29">
        <f>ScenarioStat3[[#This Row],[team-1-win]]+ScenarioStat3[[#This Row],[team-2-win]]+ScenarioStat3[[#This Row],[team-3-win]]</f>
        <v>1</v>
      </c>
    </row>
    <row r="30" spans="1:7" x14ac:dyDescent="0.25">
      <c r="A30" t="s">
        <v>53</v>
      </c>
      <c r="B30">
        <f>COUNTIFS(Scenario3[winner1],ScenarioStat3[[#This Row],[hero-1]],Scenario3[loser1],ScenarioStat3[[#This Row],[hero-2]],Scenario3[loser2],ScenarioStat3[[#This Row],[hero-3]])</f>
        <v>1</v>
      </c>
      <c r="C30" t="s">
        <v>38</v>
      </c>
      <c r="D30">
        <f>COUNTIFS(Scenario3[winner1],ScenarioStat3[[#This Row],[hero-2]],Scenario3[loser1],ScenarioStat3[[#This Row],[hero-1]],Scenario3[loser2],ScenarioStat3[[#This Row],[hero-3]])</f>
        <v>0</v>
      </c>
      <c r="E30" t="s">
        <v>227</v>
      </c>
      <c r="F30">
        <f>COUNTIFS(Scenario3[winner1],ScenarioStat3[[#This Row],[hero-3]],Scenario3[loser1],ScenarioStat3[[#This Row],[hero-1]],Scenario3[loser2],ScenarioStat3[[#This Row],[hero-2]])</f>
        <v>0</v>
      </c>
      <c r="G30">
        <f>ScenarioStat3[[#This Row],[team-1-win]]+ScenarioStat3[[#This Row],[team-2-win]]+ScenarioStat3[[#This Row],[team-3-win]]</f>
        <v>1</v>
      </c>
    </row>
    <row r="31" spans="1:7" x14ac:dyDescent="0.25">
      <c r="A31" t="s">
        <v>56</v>
      </c>
      <c r="B31">
        <f>COUNTIFS(Scenario3[winner1],ScenarioStat3[[#This Row],[hero-1]],Scenario3[loser1],ScenarioStat3[[#This Row],[hero-2]],Scenario3[loser2],ScenarioStat3[[#This Row],[hero-3]])</f>
        <v>1</v>
      </c>
      <c r="C31" t="s">
        <v>48</v>
      </c>
      <c r="D31">
        <f>COUNTIFS(Scenario3[winner1],ScenarioStat3[[#This Row],[hero-2]],Scenario3[loser1],ScenarioStat3[[#This Row],[hero-1]],Scenario3[loser2],ScenarioStat3[[#This Row],[hero-3]])</f>
        <v>0</v>
      </c>
      <c r="E31" t="s">
        <v>33</v>
      </c>
      <c r="F31">
        <f>COUNTIFS(Scenario3[winner1],ScenarioStat3[[#This Row],[hero-3]],Scenario3[loser1],ScenarioStat3[[#This Row],[hero-1]],Scenario3[loser2],ScenarioStat3[[#This Row],[hero-2]])</f>
        <v>0</v>
      </c>
      <c r="G31">
        <f>ScenarioStat3[[#This Row],[team-1-win]]+ScenarioStat3[[#This Row],[team-2-win]]+ScenarioStat3[[#This Row],[team-3-win]]</f>
        <v>1</v>
      </c>
    </row>
    <row r="32" spans="1:7" x14ac:dyDescent="0.25">
      <c r="A32" t="s">
        <v>56</v>
      </c>
      <c r="B32">
        <f>COUNTIFS(Scenario3[winner1],ScenarioStat3[[#This Row],[hero-1]],Scenario3[loser1],ScenarioStat3[[#This Row],[hero-2]],Scenario3[loser2],ScenarioStat3[[#This Row],[hero-3]])</f>
        <v>0</v>
      </c>
      <c r="C32" t="s">
        <v>48</v>
      </c>
      <c r="D32">
        <f>COUNTIFS(Scenario3[winner1],ScenarioStat3[[#This Row],[hero-2]],Scenario3[loser1],ScenarioStat3[[#This Row],[hero-1]],Scenario3[loser2],ScenarioStat3[[#This Row],[hero-3]])</f>
        <v>1</v>
      </c>
      <c r="E32" t="s">
        <v>43</v>
      </c>
      <c r="F32">
        <f>COUNTIFS(Scenario3[winner1],ScenarioStat3[[#This Row],[hero-3]],Scenario3[loser1],ScenarioStat3[[#This Row],[hero-1]],Scenario3[loser2],ScenarioStat3[[#This Row],[hero-2]])</f>
        <v>0</v>
      </c>
      <c r="G32">
        <f>ScenarioStat3[[#This Row],[team-1-win]]+ScenarioStat3[[#This Row],[team-2-win]]+ScenarioStat3[[#This Row],[team-3-win]]</f>
        <v>1</v>
      </c>
    </row>
    <row r="33" spans="1:7" x14ac:dyDescent="0.25">
      <c r="A33" t="s">
        <v>56</v>
      </c>
      <c r="B33">
        <f>COUNTIFS(Scenario3[winner1],ScenarioStat3[[#This Row],[hero-1]],Scenario3[loser1],ScenarioStat3[[#This Row],[hero-2]],Scenario3[loser2],ScenarioStat3[[#This Row],[hero-3]])</f>
        <v>1</v>
      </c>
      <c r="C33" t="s">
        <v>48</v>
      </c>
      <c r="D33">
        <f>COUNTIFS(Scenario3[winner1],ScenarioStat3[[#This Row],[hero-2]],Scenario3[loser1],ScenarioStat3[[#This Row],[hero-1]],Scenario3[loser2],ScenarioStat3[[#This Row],[hero-3]])</f>
        <v>0</v>
      </c>
      <c r="E33" t="s">
        <v>45</v>
      </c>
      <c r="F33">
        <f>COUNTIFS(Scenario3[winner1],ScenarioStat3[[#This Row],[hero-3]],Scenario3[loser1],ScenarioStat3[[#This Row],[hero-1]],Scenario3[loser2],ScenarioStat3[[#This Row],[hero-2]])</f>
        <v>0</v>
      </c>
      <c r="G33">
        <f>ScenarioStat3[[#This Row],[team-1-win]]+ScenarioStat3[[#This Row],[team-2-win]]+ScenarioStat3[[#This Row],[team-3-win]]</f>
        <v>1</v>
      </c>
    </row>
    <row r="34" spans="1:7" x14ac:dyDescent="0.25">
      <c r="A34" t="s">
        <v>56</v>
      </c>
      <c r="B34">
        <f>COUNTIFS(Scenario3[winner1],ScenarioStat3[[#This Row],[hero-1]],Scenario3[loser1],ScenarioStat3[[#This Row],[hero-2]],Scenario3[loser2],ScenarioStat3[[#This Row],[hero-3]])</f>
        <v>1</v>
      </c>
      <c r="C34" t="s">
        <v>48</v>
      </c>
      <c r="D34">
        <f>COUNTIFS(Scenario3[winner1],ScenarioStat3[[#This Row],[hero-2]],Scenario3[loser1],ScenarioStat3[[#This Row],[hero-1]],Scenario3[loser2],ScenarioStat3[[#This Row],[hero-3]])</f>
        <v>0</v>
      </c>
      <c r="E34" t="s">
        <v>63</v>
      </c>
      <c r="F34">
        <f>COUNTIFS(Scenario3[winner1],ScenarioStat3[[#This Row],[hero-3]],Scenario3[loser1],ScenarioStat3[[#This Row],[hero-1]],Scenario3[loser2],ScenarioStat3[[#This Row],[hero-2]])</f>
        <v>0</v>
      </c>
      <c r="G34">
        <f>ScenarioStat3[[#This Row],[team-1-win]]+ScenarioStat3[[#This Row],[team-2-win]]+ScenarioStat3[[#This Row],[team-3-win]]</f>
        <v>1</v>
      </c>
    </row>
    <row r="35" spans="1:7" x14ac:dyDescent="0.25">
      <c r="A35" t="s">
        <v>56</v>
      </c>
      <c r="B35">
        <f>COUNTIFS(Scenario3[winner1],ScenarioStat3[[#This Row],[hero-1]],Scenario3[loser1],ScenarioStat3[[#This Row],[hero-2]],Scenario3[loser2],ScenarioStat3[[#This Row],[hero-3]])</f>
        <v>0</v>
      </c>
      <c r="C35" t="s">
        <v>48</v>
      </c>
      <c r="D35">
        <f>COUNTIFS(Scenario3[winner1],ScenarioStat3[[#This Row],[hero-2]],Scenario3[loser1],ScenarioStat3[[#This Row],[hero-1]],Scenario3[loser2],ScenarioStat3[[#This Row],[hero-3]])</f>
        <v>0</v>
      </c>
      <c r="E35" t="s">
        <v>38</v>
      </c>
      <c r="F35">
        <f>COUNTIFS(Scenario3[winner1],ScenarioStat3[[#This Row],[hero-3]],Scenario3[loser1],ScenarioStat3[[#This Row],[hero-1]],Scenario3[loser2],ScenarioStat3[[#This Row],[hero-2]])</f>
        <v>1</v>
      </c>
      <c r="G35">
        <f>ScenarioStat3[[#This Row],[team-1-win]]+ScenarioStat3[[#This Row],[team-2-win]]+ScenarioStat3[[#This Row],[team-3-win]]</f>
        <v>1</v>
      </c>
    </row>
    <row r="36" spans="1:7" x14ac:dyDescent="0.25">
      <c r="A36" t="s">
        <v>56</v>
      </c>
      <c r="B36">
        <f>COUNTIFS(Scenario3[winner1],ScenarioStat3[[#This Row],[hero-1]],Scenario3[loser1],ScenarioStat3[[#This Row],[hero-2]],Scenario3[loser2],ScenarioStat3[[#This Row],[hero-3]])</f>
        <v>0</v>
      </c>
      <c r="C36" t="s">
        <v>48</v>
      </c>
      <c r="D36">
        <f>COUNTIFS(Scenario3[winner1],ScenarioStat3[[#This Row],[hero-2]],Scenario3[loser1],ScenarioStat3[[#This Row],[hero-1]],Scenario3[loser2],ScenarioStat3[[#This Row],[hero-3]])</f>
        <v>1</v>
      </c>
      <c r="E36" t="s">
        <v>227</v>
      </c>
      <c r="F36">
        <f>COUNTIFS(Scenario3[winner1],ScenarioStat3[[#This Row],[hero-3]],Scenario3[loser1],ScenarioStat3[[#This Row],[hero-1]],Scenario3[loser2],ScenarioStat3[[#This Row],[hero-2]])</f>
        <v>0</v>
      </c>
      <c r="G36">
        <f>ScenarioStat3[[#This Row],[team-1-win]]+ScenarioStat3[[#This Row],[team-2-win]]+ScenarioStat3[[#This Row],[team-3-win]]</f>
        <v>1</v>
      </c>
    </row>
    <row r="37" spans="1:7" x14ac:dyDescent="0.25">
      <c r="A37" t="s">
        <v>56</v>
      </c>
      <c r="B37">
        <f>COUNTIFS(Scenario3[winner1],ScenarioStat3[[#This Row],[hero-1]],Scenario3[loser1],ScenarioStat3[[#This Row],[hero-2]],Scenario3[loser2],ScenarioStat3[[#This Row],[hero-3]])</f>
        <v>0</v>
      </c>
      <c r="C37" t="s">
        <v>33</v>
      </c>
      <c r="D37">
        <f>COUNTIFS(Scenario3[winner1],ScenarioStat3[[#This Row],[hero-2]],Scenario3[loser1],ScenarioStat3[[#This Row],[hero-1]],Scenario3[loser2],ScenarioStat3[[#This Row],[hero-3]])</f>
        <v>0</v>
      </c>
      <c r="E37" t="s">
        <v>43</v>
      </c>
      <c r="F37">
        <f>COUNTIFS(Scenario3[winner1],ScenarioStat3[[#This Row],[hero-3]],Scenario3[loser1],ScenarioStat3[[#This Row],[hero-1]],Scenario3[loser2],ScenarioStat3[[#This Row],[hero-2]])</f>
        <v>1</v>
      </c>
      <c r="G37">
        <f>ScenarioStat3[[#This Row],[team-1-win]]+ScenarioStat3[[#This Row],[team-2-win]]+ScenarioStat3[[#This Row],[team-3-win]]</f>
        <v>1</v>
      </c>
    </row>
    <row r="38" spans="1:7" x14ac:dyDescent="0.25">
      <c r="A38" t="s">
        <v>56</v>
      </c>
      <c r="B38">
        <f>COUNTIFS(Scenario3[winner1],ScenarioStat3[[#This Row],[hero-1]],Scenario3[loser1],ScenarioStat3[[#This Row],[hero-2]],Scenario3[loser2],ScenarioStat3[[#This Row],[hero-3]])</f>
        <v>0</v>
      </c>
      <c r="C38" t="s">
        <v>33</v>
      </c>
      <c r="D38">
        <f>COUNTIFS(Scenario3[winner1],ScenarioStat3[[#This Row],[hero-2]],Scenario3[loser1],ScenarioStat3[[#This Row],[hero-1]],Scenario3[loser2],ScenarioStat3[[#This Row],[hero-3]])</f>
        <v>1</v>
      </c>
      <c r="E38" t="s">
        <v>45</v>
      </c>
      <c r="F38">
        <f>COUNTIFS(Scenario3[winner1],ScenarioStat3[[#This Row],[hero-3]],Scenario3[loser1],ScenarioStat3[[#This Row],[hero-1]],Scenario3[loser2],ScenarioStat3[[#This Row],[hero-2]])</f>
        <v>0</v>
      </c>
      <c r="G38">
        <f>ScenarioStat3[[#This Row],[team-1-win]]+ScenarioStat3[[#This Row],[team-2-win]]+ScenarioStat3[[#This Row],[team-3-win]]</f>
        <v>1</v>
      </c>
    </row>
    <row r="39" spans="1:7" x14ac:dyDescent="0.25">
      <c r="A39" t="s">
        <v>56</v>
      </c>
      <c r="B39">
        <f>COUNTIFS(Scenario3[winner1],ScenarioStat3[[#This Row],[hero-1]],Scenario3[loser1],ScenarioStat3[[#This Row],[hero-2]],Scenario3[loser2],ScenarioStat3[[#This Row],[hero-3]])</f>
        <v>1</v>
      </c>
      <c r="C39" t="s">
        <v>33</v>
      </c>
      <c r="D39">
        <f>COUNTIFS(Scenario3[winner1],ScenarioStat3[[#This Row],[hero-2]],Scenario3[loser1],ScenarioStat3[[#This Row],[hero-1]],Scenario3[loser2],ScenarioStat3[[#This Row],[hero-3]])</f>
        <v>0</v>
      </c>
      <c r="E39" t="s">
        <v>63</v>
      </c>
      <c r="F39">
        <f>COUNTIFS(Scenario3[winner1],ScenarioStat3[[#This Row],[hero-3]],Scenario3[loser1],ScenarioStat3[[#This Row],[hero-1]],Scenario3[loser2],ScenarioStat3[[#This Row],[hero-2]])</f>
        <v>0</v>
      </c>
      <c r="G39">
        <f>ScenarioStat3[[#This Row],[team-1-win]]+ScenarioStat3[[#This Row],[team-2-win]]+ScenarioStat3[[#This Row],[team-3-win]]</f>
        <v>1</v>
      </c>
    </row>
    <row r="40" spans="1:7" x14ac:dyDescent="0.25">
      <c r="A40" t="s">
        <v>56</v>
      </c>
      <c r="B40">
        <f>COUNTIFS(Scenario3[winner1],ScenarioStat3[[#This Row],[hero-1]],Scenario3[loser1],ScenarioStat3[[#This Row],[hero-2]],Scenario3[loser2],ScenarioStat3[[#This Row],[hero-3]])</f>
        <v>1</v>
      </c>
      <c r="C40" t="s">
        <v>33</v>
      </c>
      <c r="D40">
        <f>COUNTIFS(Scenario3[winner1],ScenarioStat3[[#This Row],[hero-2]],Scenario3[loser1],ScenarioStat3[[#This Row],[hero-1]],Scenario3[loser2],ScenarioStat3[[#This Row],[hero-3]])</f>
        <v>0</v>
      </c>
      <c r="E40" t="s">
        <v>38</v>
      </c>
      <c r="F40">
        <f>COUNTIFS(Scenario3[winner1],ScenarioStat3[[#This Row],[hero-3]],Scenario3[loser1],ScenarioStat3[[#This Row],[hero-1]],Scenario3[loser2],ScenarioStat3[[#This Row],[hero-2]])</f>
        <v>0</v>
      </c>
      <c r="G40">
        <f>ScenarioStat3[[#This Row],[team-1-win]]+ScenarioStat3[[#This Row],[team-2-win]]+ScenarioStat3[[#This Row],[team-3-win]]</f>
        <v>1</v>
      </c>
    </row>
    <row r="41" spans="1:7" x14ac:dyDescent="0.25">
      <c r="A41" t="s">
        <v>56</v>
      </c>
      <c r="B41">
        <f>COUNTIFS(Scenario3[winner1],ScenarioStat3[[#This Row],[hero-1]],Scenario3[loser1],ScenarioStat3[[#This Row],[hero-2]],Scenario3[loser2],ScenarioStat3[[#This Row],[hero-3]])</f>
        <v>1</v>
      </c>
      <c r="C41" t="s">
        <v>33</v>
      </c>
      <c r="D41">
        <f>COUNTIFS(Scenario3[winner1],ScenarioStat3[[#This Row],[hero-2]],Scenario3[loser1],ScenarioStat3[[#This Row],[hero-1]],Scenario3[loser2],ScenarioStat3[[#This Row],[hero-3]])</f>
        <v>0</v>
      </c>
      <c r="E41" t="s">
        <v>227</v>
      </c>
      <c r="F41">
        <f>COUNTIFS(Scenario3[winner1],ScenarioStat3[[#This Row],[hero-3]],Scenario3[loser1],ScenarioStat3[[#This Row],[hero-1]],Scenario3[loser2],ScenarioStat3[[#This Row],[hero-2]])</f>
        <v>0</v>
      </c>
      <c r="G41">
        <f>ScenarioStat3[[#This Row],[team-1-win]]+ScenarioStat3[[#This Row],[team-2-win]]+ScenarioStat3[[#This Row],[team-3-win]]</f>
        <v>1</v>
      </c>
    </row>
    <row r="42" spans="1:7" x14ac:dyDescent="0.25">
      <c r="A42" t="s">
        <v>56</v>
      </c>
      <c r="B42">
        <f>COUNTIFS(Scenario3[winner1],ScenarioStat3[[#This Row],[hero-1]],Scenario3[loser1],ScenarioStat3[[#This Row],[hero-2]],Scenario3[loser2],ScenarioStat3[[#This Row],[hero-3]])</f>
        <v>1</v>
      </c>
      <c r="C42" t="s">
        <v>43</v>
      </c>
      <c r="D42">
        <f>COUNTIFS(Scenario3[winner1],ScenarioStat3[[#This Row],[hero-2]],Scenario3[loser1],ScenarioStat3[[#This Row],[hero-1]],Scenario3[loser2],ScenarioStat3[[#This Row],[hero-3]])</f>
        <v>0</v>
      </c>
      <c r="E42" t="s">
        <v>45</v>
      </c>
      <c r="F42">
        <f>COUNTIFS(Scenario3[winner1],ScenarioStat3[[#This Row],[hero-3]],Scenario3[loser1],ScenarioStat3[[#This Row],[hero-1]],Scenario3[loser2],ScenarioStat3[[#This Row],[hero-2]])</f>
        <v>0</v>
      </c>
      <c r="G42">
        <f>ScenarioStat3[[#This Row],[team-1-win]]+ScenarioStat3[[#This Row],[team-2-win]]+ScenarioStat3[[#This Row],[team-3-win]]</f>
        <v>1</v>
      </c>
    </row>
    <row r="43" spans="1:7" x14ac:dyDescent="0.25">
      <c r="A43" t="s">
        <v>56</v>
      </c>
      <c r="B43">
        <f>COUNTIFS(Scenario3[winner1],ScenarioStat3[[#This Row],[hero-1]],Scenario3[loser1],ScenarioStat3[[#This Row],[hero-2]],Scenario3[loser2],ScenarioStat3[[#This Row],[hero-3]])</f>
        <v>1</v>
      </c>
      <c r="C43" t="s">
        <v>43</v>
      </c>
      <c r="D43">
        <f>COUNTIFS(Scenario3[winner1],ScenarioStat3[[#This Row],[hero-2]],Scenario3[loser1],ScenarioStat3[[#This Row],[hero-1]],Scenario3[loser2],ScenarioStat3[[#This Row],[hero-3]])</f>
        <v>0</v>
      </c>
      <c r="E43" t="s">
        <v>63</v>
      </c>
      <c r="F43">
        <f>COUNTIFS(Scenario3[winner1],ScenarioStat3[[#This Row],[hero-3]],Scenario3[loser1],ScenarioStat3[[#This Row],[hero-1]],Scenario3[loser2],ScenarioStat3[[#This Row],[hero-2]])</f>
        <v>0</v>
      </c>
      <c r="G43">
        <f>ScenarioStat3[[#This Row],[team-1-win]]+ScenarioStat3[[#This Row],[team-2-win]]+ScenarioStat3[[#This Row],[team-3-win]]</f>
        <v>1</v>
      </c>
    </row>
    <row r="44" spans="1:7" x14ac:dyDescent="0.25">
      <c r="A44" t="s">
        <v>56</v>
      </c>
      <c r="B44">
        <f>COUNTIFS(Scenario3[winner1],ScenarioStat3[[#This Row],[hero-1]],Scenario3[loser1],ScenarioStat3[[#This Row],[hero-2]],Scenario3[loser2],ScenarioStat3[[#This Row],[hero-3]])</f>
        <v>1</v>
      </c>
      <c r="C44" t="s">
        <v>43</v>
      </c>
      <c r="D44">
        <f>COUNTIFS(Scenario3[winner1],ScenarioStat3[[#This Row],[hero-2]],Scenario3[loser1],ScenarioStat3[[#This Row],[hero-1]],Scenario3[loser2],ScenarioStat3[[#This Row],[hero-3]])</f>
        <v>0</v>
      </c>
      <c r="E44" t="s">
        <v>38</v>
      </c>
      <c r="F44">
        <f>COUNTIFS(Scenario3[winner1],ScenarioStat3[[#This Row],[hero-3]],Scenario3[loser1],ScenarioStat3[[#This Row],[hero-1]],Scenario3[loser2],ScenarioStat3[[#This Row],[hero-2]])</f>
        <v>0</v>
      </c>
      <c r="G44">
        <f>ScenarioStat3[[#This Row],[team-1-win]]+ScenarioStat3[[#This Row],[team-2-win]]+ScenarioStat3[[#This Row],[team-3-win]]</f>
        <v>1</v>
      </c>
    </row>
    <row r="45" spans="1:7" x14ac:dyDescent="0.25">
      <c r="A45" t="s">
        <v>56</v>
      </c>
      <c r="B45">
        <f>COUNTIFS(Scenario3[winner1],ScenarioStat3[[#This Row],[hero-1]],Scenario3[loser1],ScenarioStat3[[#This Row],[hero-2]],Scenario3[loser2],ScenarioStat3[[#This Row],[hero-3]])</f>
        <v>1</v>
      </c>
      <c r="C45" t="s">
        <v>43</v>
      </c>
      <c r="D45">
        <f>COUNTIFS(Scenario3[winner1],ScenarioStat3[[#This Row],[hero-2]],Scenario3[loser1],ScenarioStat3[[#This Row],[hero-1]],Scenario3[loser2],ScenarioStat3[[#This Row],[hero-3]])</f>
        <v>0</v>
      </c>
      <c r="E45" t="s">
        <v>227</v>
      </c>
      <c r="F45">
        <f>COUNTIFS(Scenario3[winner1],ScenarioStat3[[#This Row],[hero-3]],Scenario3[loser1],ScenarioStat3[[#This Row],[hero-1]],Scenario3[loser2],ScenarioStat3[[#This Row],[hero-2]])</f>
        <v>0</v>
      </c>
      <c r="G45">
        <f>ScenarioStat3[[#This Row],[team-1-win]]+ScenarioStat3[[#This Row],[team-2-win]]+ScenarioStat3[[#This Row],[team-3-win]]</f>
        <v>1</v>
      </c>
    </row>
    <row r="46" spans="1:7" x14ac:dyDescent="0.25">
      <c r="A46" t="s">
        <v>56</v>
      </c>
      <c r="B46">
        <f>COUNTIFS(Scenario3[winner1],ScenarioStat3[[#This Row],[hero-1]],Scenario3[loser1],ScenarioStat3[[#This Row],[hero-2]],Scenario3[loser2],ScenarioStat3[[#This Row],[hero-3]])</f>
        <v>1</v>
      </c>
      <c r="C46" t="s">
        <v>45</v>
      </c>
      <c r="D46">
        <f>COUNTIFS(Scenario3[winner1],ScenarioStat3[[#This Row],[hero-2]],Scenario3[loser1],ScenarioStat3[[#This Row],[hero-1]],Scenario3[loser2],ScenarioStat3[[#This Row],[hero-3]])</f>
        <v>0</v>
      </c>
      <c r="E46" t="s">
        <v>63</v>
      </c>
      <c r="F46">
        <f>COUNTIFS(Scenario3[winner1],ScenarioStat3[[#This Row],[hero-3]],Scenario3[loser1],ScenarioStat3[[#This Row],[hero-1]],Scenario3[loser2],ScenarioStat3[[#This Row],[hero-2]])</f>
        <v>0</v>
      </c>
      <c r="G46">
        <f>ScenarioStat3[[#This Row],[team-1-win]]+ScenarioStat3[[#This Row],[team-2-win]]+ScenarioStat3[[#This Row],[team-3-win]]</f>
        <v>1</v>
      </c>
    </row>
    <row r="47" spans="1:7" x14ac:dyDescent="0.25">
      <c r="A47" t="s">
        <v>56</v>
      </c>
      <c r="B47">
        <f>COUNTIFS(Scenario3[winner1],ScenarioStat3[[#This Row],[hero-1]],Scenario3[loser1],ScenarioStat3[[#This Row],[hero-2]],Scenario3[loser2],ScenarioStat3[[#This Row],[hero-3]])</f>
        <v>0</v>
      </c>
      <c r="C47" t="s">
        <v>45</v>
      </c>
      <c r="D47">
        <f>COUNTIFS(Scenario3[winner1],ScenarioStat3[[#This Row],[hero-2]],Scenario3[loser1],ScenarioStat3[[#This Row],[hero-1]],Scenario3[loser2],ScenarioStat3[[#This Row],[hero-3]])</f>
        <v>0</v>
      </c>
      <c r="E47" t="s">
        <v>38</v>
      </c>
      <c r="F47">
        <f>COUNTIFS(Scenario3[winner1],ScenarioStat3[[#This Row],[hero-3]],Scenario3[loser1],ScenarioStat3[[#This Row],[hero-1]],Scenario3[loser2],ScenarioStat3[[#This Row],[hero-2]])</f>
        <v>1</v>
      </c>
      <c r="G47">
        <f>ScenarioStat3[[#This Row],[team-1-win]]+ScenarioStat3[[#This Row],[team-2-win]]+ScenarioStat3[[#This Row],[team-3-win]]</f>
        <v>1</v>
      </c>
    </row>
    <row r="48" spans="1:7" x14ac:dyDescent="0.25">
      <c r="A48" t="s">
        <v>56</v>
      </c>
      <c r="B48">
        <f>COUNTIFS(Scenario3[winner1],ScenarioStat3[[#This Row],[hero-1]],Scenario3[loser1],ScenarioStat3[[#This Row],[hero-2]],Scenario3[loser2],ScenarioStat3[[#This Row],[hero-3]])</f>
        <v>0</v>
      </c>
      <c r="C48" t="s">
        <v>45</v>
      </c>
      <c r="D48">
        <f>COUNTIFS(Scenario3[winner1],ScenarioStat3[[#This Row],[hero-2]],Scenario3[loser1],ScenarioStat3[[#This Row],[hero-1]],Scenario3[loser2],ScenarioStat3[[#This Row],[hero-3]])</f>
        <v>0</v>
      </c>
      <c r="E48" t="s">
        <v>227</v>
      </c>
      <c r="F48">
        <f>COUNTIFS(Scenario3[winner1],ScenarioStat3[[#This Row],[hero-3]],Scenario3[loser1],ScenarioStat3[[#This Row],[hero-1]],Scenario3[loser2],ScenarioStat3[[#This Row],[hero-2]])</f>
        <v>1</v>
      </c>
      <c r="G48">
        <f>ScenarioStat3[[#This Row],[team-1-win]]+ScenarioStat3[[#This Row],[team-2-win]]+ScenarioStat3[[#This Row],[team-3-win]]</f>
        <v>1</v>
      </c>
    </row>
    <row r="49" spans="1:7" x14ac:dyDescent="0.25">
      <c r="A49" t="s">
        <v>56</v>
      </c>
      <c r="B49">
        <f>COUNTIFS(Scenario3[winner1],ScenarioStat3[[#This Row],[hero-1]],Scenario3[loser1],ScenarioStat3[[#This Row],[hero-2]],Scenario3[loser2],ScenarioStat3[[#This Row],[hero-3]])</f>
        <v>1</v>
      </c>
      <c r="C49" t="s">
        <v>63</v>
      </c>
      <c r="D49">
        <f>COUNTIFS(Scenario3[winner1],ScenarioStat3[[#This Row],[hero-2]],Scenario3[loser1],ScenarioStat3[[#This Row],[hero-1]],Scenario3[loser2],ScenarioStat3[[#This Row],[hero-3]])</f>
        <v>0</v>
      </c>
      <c r="E49" t="s">
        <v>38</v>
      </c>
      <c r="F49">
        <f>COUNTIFS(Scenario3[winner1],ScenarioStat3[[#This Row],[hero-3]],Scenario3[loser1],ScenarioStat3[[#This Row],[hero-1]],Scenario3[loser2],ScenarioStat3[[#This Row],[hero-2]])</f>
        <v>0</v>
      </c>
      <c r="G49">
        <f>ScenarioStat3[[#This Row],[team-1-win]]+ScenarioStat3[[#This Row],[team-2-win]]+ScenarioStat3[[#This Row],[team-3-win]]</f>
        <v>1</v>
      </c>
    </row>
    <row r="50" spans="1:7" x14ac:dyDescent="0.25">
      <c r="A50" t="s">
        <v>56</v>
      </c>
      <c r="B50">
        <f>COUNTIFS(Scenario3[winner1],ScenarioStat3[[#This Row],[hero-1]],Scenario3[loser1],ScenarioStat3[[#This Row],[hero-2]],Scenario3[loser2],ScenarioStat3[[#This Row],[hero-3]])</f>
        <v>1</v>
      </c>
      <c r="C50" t="s">
        <v>63</v>
      </c>
      <c r="D50">
        <f>COUNTIFS(Scenario3[winner1],ScenarioStat3[[#This Row],[hero-2]],Scenario3[loser1],ScenarioStat3[[#This Row],[hero-1]],Scenario3[loser2],ScenarioStat3[[#This Row],[hero-3]])</f>
        <v>0</v>
      </c>
      <c r="E50" t="s">
        <v>227</v>
      </c>
      <c r="F50">
        <f>COUNTIFS(Scenario3[winner1],ScenarioStat3[[#This Row],[hero-3]],Scenario3[loser1],ScenarioStat3[[#This Row],[hero-1]],Scenario3[loser2],ScenarioStat3[[#This Row],[hero-2]])</f>
        <v>0</v>
      </c>
      <c r="G50">
        <f>ScenarioStat3[[#This Row],[team-1-win]]+ScenarioStat3[[#This Row],[team-2-win]]+ScenarioStat3[[#This Row],[team-3-win]]</f>
        <v>1</v>
      </c>
    </row>
    <row r="51" spans="1:7" x14ac:dyDescent="0.25">
      <c r="A51" t="s">
        <v>56</v>
      </c>
      <c r="B51">
        <f>COUNTIFS(Scenario3[winner1],ScenarioStat3[[#This Row],[hero-1]],Scenario3[loser1],ScenarioStat3[[#This Row],[hero-2]],Scenario3[loser2],ScenarioStat3[[#This Row],[hero-3]])</f>
        <v>0</v>
      </c>
      <c r="C51" t="s">
        <v>38</v>
      </c>
      <c r="D51">
        <f>COUNTIFS(Scenario3[winner1],ScenarioStat3[[#This Row],[hero-2]],Scenario3[loser1],ScenarioStat3[[#This Row],[hero-1]],Scenario3[loser2],ScenarioStat3[[#This Row],[hero-3]])</f>
        <v>0</v>
      </c>
      <c r="E51" t="s">
        <v>227</v>
      </c>
      <c r="F51">
        <f>COUNTIFS(Scenario3[winner1],ScenarioStat3[[#This Row],[hero-3]],Scenario3[loser1],ScenarioStat3[[#This Row],[hero-1]],Scenario3[loser2],ScenarioStat3[[#This Row],[hero-2]])</f>
        <v>1</v>
      </c>
      <c r="G51">
        <f>ScenarioStat3[[#This Row],[team-1-win]]+ScenarioStat3[[#This Row],[team-2-win]]+ScenarioStat3[[#This Row],[team-3-win]]</f>
        <v>1</v>
      </c>
    </row>
    <row r="52" spans="1:7" x14ac:dyDescent="0.25">
      <c r="A52" t="s">
        <v>48</v>
      </c>
      <c r="B52">
        <f>COUNTIFS(Scenario3[winner1],ScenarioStat3[[#This Row],[hero-1]],Scenario3[loser1],ScenarioStat3[[#This Row],[hero-2]],Scenario3[loser2],ScenarioStat3[[#This Row],[hero-3]])</f>
        <v>0</v>
      </c>
      <c r="C52" t="s">
        <v>33</v>
      </c>
      <c r="D52">
        <f>COUNTIFS(Scenario3[winner1],ScenarioStat3[[#This Row],[hero-2]],Scenario3[loser1],ScenarioStat3[[#This Row],[hero-1]],Scenario3[loser2],ScenarioStat3[[#This Row],[hero-3]])</f>
        <v>1</v>
      </c>
      <c r="E52" t="s">
        <v>43</v>
      </c>
      <c r="F52">
        <f>COUNTIFS(Scenario3[winner1],ScenarioStat3[[#This Row],[hero-3]],Scenario3[loser1],ScenarioStat3[[#This Row],[hero-1]],Scenario3[loser2],ScenarioStat3[[#This Row],[hero-2]])</f>
        <v>0</v>
      </c>
      <c r="G52">
        <f>ScenarioStat3[[#This Row],[team-1-win]]+ScenarioStat3[[#This Row],[team-2-win]]+ScenarioStat3[[#This Row],[team-3-win]]</f>
        <v>1</v>
      </c>
    </row>
    <row r="53" spans="1:7" x14ac:dyDescent="0.25">
      <c r="A53" t="s">
        <v>48</v>
      </c>
      <c r="B53">
        <f>COUNTIFS(Scenario3[winner1],ScenarioStat3[[#This Row],[hero-1]],Scenario3[loser1],ScenarioStat3[[#This Row],[hero-2]],Scenario3[loser2],ScenarioStat3[[#This Row],[hero-3]])</f>
        <v>0</v>
      </c>
      <c r="C53" t="s">
        <v>33</v>
      </c>
      <c r="D53">
        <f>COUNTIFS(Scenario3[winner1],ScenarioStat3[[#This Row],[hero-2]],Scenario3[loser1],ScenarioStat3[[#This Row],[hero-1]],Scenario3[loser2],ScenarioStat3[[#This Row],[hero-3]])</f>
        <v>0</v>
      </c>
      <c r="E53" t="s">
        <v>45</v>
      </c>
      <c r="F53">
        <f>COUNTIFS(Scenario3[winner1],ScenarioStat3[[#This Row],[hero-3]],Scenario3[loser1],ScenarioStat3[[#This Row],[hero-1]],Scenario3[loser2],ScenarioStat3[[#This Row],[hero-2]])</f>
        <v>1</v>
      </c>
      <c r="G53">
        <f>ScenarioStat3[[#This Row],[team-1-win]]+ScenarioStat3[[#This Row],[team-2-win]]+ScenarioStat3[[#This Row],[team-3-win]]</f>
        <v>1</v>
      </c>
    </row>
    <row r="54" spans="1:7" x14ac:dyDescent="0.25">
      <c r="A54" t="s">
        <v>48</v>
      </c>
      <c r="B54">
        <f>COUNTIFS(Scenario3[winner1],ScenarioStat3[[#This Row],[hero-1]],Scenario3[loser1],ScenarioStat3[[#This Row],[hero-2]],Scenario3[loser2],ScenarioStat3[[#This Row],[hero-3]])</f>
        <v>0</v>
      </c>
      <c r="C54" t="s">
        <v>33</v>
      </c>
      <c r="D54">
        <f>COUNTIFS(Scenario3[winner1],ScenarioStat3[[#This Row],[hero-2]],Scenario3[loser1],ScenarioStat3[[#This Row],[hero-1]],Scenario3[loser2],ScenarioStat3[[#This Row],[hero-3]])</f>
        <v>0</v>
      </c>
      <c r="E54" t="s">
        <v>63</v>
      </c>
      <c r="F54">
        <f>COUNTIFS(Scenario3[winner1],ScenarioStat3[[#This Row],[hero-3]],Scenario3[loser1],ScenarioStat3[[#This Row],[hero-1]],Scenario3[loser2],ScenarioStat3[[#This Row],[hero-2]])</f>
        <v>1</v>
      </c>
      <c r="G54">
        <f>ScenarioStat3[[#This Row],[team-1-win]]+ScenarioStat3[[#This Row],[team-2-win]]+ScenarioStat3[[#This Row],[team-3-win]]</f>
        <v>1</v>
      </c>
    </row>
    <row r="55" spans="1:7" x14ac:dyDescent="0.25">
      <c r="A55" t="s">
        <v>48</v>
      </c>
      <c r="B55">
        <f>COUNTIFS(Scenario3[winner1],ScenarioStat3[[#This Row],[hero-1]],Scenario3[loser1],ScenarioStat3[[#This Row],[hero-2]],Scenario3[loser2],ScenarioStat3[[#This Row],[hero-3]])</f>
        <v>0</v>
      </c>
      <c r="C55" t="s">
        <v>33</v>
      </c>
      <c r="D55">
        <f>COUNTIFS(Scenario3[winner1],ScenarioStat3[[#This Row],[hero-2]],Scenario3[loser1],ScenarioStat3[[#This Row],[hero-1]],Scenario3[loser2],ScenarioStat3[[#This Row],[hero-3]])</f>
        <v>0</v>
      </c>
      <c r="E55" t="s">
        <v>38</v>
      </c>
      <c r="F55">
        <f>COUNTIFS(Scenario3[winner1],ScenarioStat3[[#This Row],[hero-3]],Scenario3[loser1],ScenarioStat3[[#This Row],[hero-1]],Scenario3[loser2],ScenarioStat3[[#This Row],[hero-2]])</f>
        <v>1</v>
      </c>
      <c r="G55">
        <f>ScenarioStat3[[#This Row],[team-1-win]]+ScenarioStat3[[#This Row],[team-2-win]]+ScenarioStat3[[#This Row],[team-3-win]]</f>
        <v>1</v>
      </c>
    </row>
    <row r="56" spans="1:7" x14ac:dyDescent="0.25">
      <c r="A56" t="s">
        <v>48</v>
      </c>
      <c r="B56">
        <f>COUNTIFS(Scenario3[winner1],ScenarioStat3[[#This Row],[hero-1]],Scenario3[loser1],ScenarioStat3[[#This Row],[hero-2]],Scenario3[loser2],ScenarioStat3[[#This Row],[hero-3]])</f>
        <v>0</v>
      </c>
      <c r="C56" t="s">
        <v>33</v>
      </c>
      <c r="D56">
        <f>COUNTIFS(Scenario3[winner1],ScenarioStat3[[#This Row],[hero-2]],Scenario3[loser1],ScenarioStat3[[#This Row],[hero-1]],Scenario3[loser2],ScenarioStat3[[#This Row],[hero-3]])</f>
        <v>0</v>
      </c>
      <c r="E56" t="s">
        <v>227</v>
      </c>
      <c r="F56">
        <f>COUNTIFS(Scenario3[winner1],ScenarioStat3[[#This Row],[hero-3]],Scenario3[loser1],ScenarioStat3[[#This Row],[hero-1]],Scenario3[loser2],ScenarioStat3[[#This Row],[hero-2]])</f>
        <v>1</v>
      </c>
      <c r="G56">
        <f>ScenarioStat3[[#This Row],[team-1-win]]+ScenarioStat3[[#This Row],[team-2-win]]+ScenarioStat3[[#This Row],[team-3-win]]</f>
        <v>1</v>
      </c>
    </row>
    <row r="57" spans="1:7" x14ac:dyDescent="0.25">
      <c r="A57" t="s">
        <v>48</v>
      </c>
      <c r="B57">
        <f>COUNTIFS(Scenario3[winner1],ScenarioStat3[[#This Row],[hero-1]],Scenario3[loser1],ScenarioStat3[[#This Row],[hero-2]],Scenario3[loser2],ScenarioStat3[[#This Row],[hero-3]])</f>
        <v>0</v>
      </c>
      <c r="C57" t="s">
        <v>43</v>
      </c>
      <c r="D57">
        <f>COUNTIFS(Scenario3[winner1],ScenarioStat3[[#This Row],[hero-2]],Scenario3[loser1],ScenarioStat3[[#This Row],[hero-1]],Scenario3[loser2],ScenarioStat3[[#This Row],[hero-3]])</f>
        <v>0</v>
      </c>
      <c r="E57" t="s">
        <v>45</v>
      </c>
      <c r="F57">
        <f>COUNTIFS(Scenario3[winner1],ScenarioStat3[[#This Row],[hero-3]],Scenario3[loser1],ScenarioStat3[[#This Row],[hero-1]],Scenario3[loser2],ScenarioStat3[[#This Row],[hero-2]])</f>
        <v>1</v>
      </c>
      <c r="G57">
        <f>ScenarioStat3[[#This Row],[team-1-win]]+ScenarioStat3[[#This Row],[team-2-win]]+ScenarioStat3[[#This Row],[team-3-win]]</f>
        <v>1</v>
      </c>
    </row>
    <row r="58" spans="1:7" x14ac:dyDescent="0.25">
      <c r="A58" t="s">
        <v>48</v>
      </c>
      <c r="B58">
        <f>COUNTIFS(Scenario3[winner1],ScenarioStat3[[#This Row],[hero-1]],Scenario3[loser1],ScenarioStat3[[#This Row],[hero-2]],Scenario3[loser2],ScenarioStat3[[#This Row],[hero-3]])</f>
        <v>0</v>
      </c>
      <c r="C58" t="s">
        <v>43</v>
      </c>
      <c r="D58">
        <f>COUNTIFS(Scenario3[winner1],ScenarioStat3[[#This Row],[hero-2]],Scenario3[loser1],ScenarioStat3[[#This Row],[hero-1]],Scenario3[loser2],ScenarioStat3[[#This Row],[hero-3]])</f>
        <v>0</v>
      </c>
      <c r="E58" t="s">
        <v>63</v>
      </c>
      <c r="F58">
        <f>COUNTIFS(Scenario3[winner1],ScenarioStat3[[#This Row],[hero-3]],Scenario3[loser1],ScenarioStat3[[#This Row],[hero-1]],Scenario3[loser2],ScenarioStat3[[#This Row],[hero-2]])</f>
        <v>1</v>
      </c>
      <c r="G58">
        <f>ScenarioStat3[[#This Row],[team-1-win]]+ScenarioStat3[[#This Row],[team-2-win]]+ScenarioStat3[[#This Row],[team-3-win]]</f>
        <v>1</v>
      </c>
    </row>
    <row r="59" spans="1:7" x14ac:dyDescent="0.25">
      <c r="A59" t="s">
        <v>48</v>
      </c>
      <c r="B59">
        <f>COUNTIFS(Scenario3[winner1],ScenarioStat3[[#This Row],[hero-1]],Scenario3[loser1],ScenarioStat3[[#This Row],[hero-2]],Scenario3[loser2],ScenarioStat3[[#This Row],[hero-3]])</f>
        <v>1</v>
      </c>
      <c r="C59" t="s">
        <v>43</v>
      </c>
      <c r="D59">
        <f>COUNTIFS(Scenario3[winner1],ScenarioStat3[[#This Row],[hero-2]],Scenario3[loser1],ScenarioStat3[[#This Row],[hero-1]],Scenario3[loser2],ScenarioStat3[[#This Row],[hero-3]])</f>
        <v>0</v>
      </c>
      <c r="E59" t="s">
        <v>38</v>
      </c>
      <c r="F59">
        <f>COUNTIFS(Scenario3[winner1],ScenarioStat3[[#This Row],[hero-3]],Scenario3[loser1],ScenarioStat3[[#This Row],[hero-1]],Scenario3[loser2],ScenarioStat3[[#This Row],[hero-2]])</f>
        <v>0</v>
      </c>
      <c r="G59">
        <f>ScenarioStat3[[#This Row],[team-1-win]]+ScenarioStat3[[#This Row],[team-2-win]]+ScenarioStat3[[#This Row],[team-3-win]]</f>
        <v>1</v>
      </c>
    </row>
    <row r="60" spans="1:7" x14ac:dyDescent="0.25">
      <c r="A60" t="s">
        <v>48</v>
      </c>
      <c r="B60">
        <f>COUNTIFS(Scenario3[winner1],ScenarioStat3[[#This Row],[hero-1]],Scenario3[loser1],ScenarioStat3[[#This Row],[hero-2]],Scenario3[loser2],ScenarioStat3[[#This Row],[hero-3]])</f>
        <v>1</v>
      </c>
      <c r="C60" t="s">
        <v>43</v>
      </c>
      <c r="D60">
        <f>COUNTIFS(Scenario3[winner1],ScenarioStat3[[#This Row],[hero-2]],Scenario3[loser1],ScenarioStat3[[#This Row],[hero-1]],Scenario3[loser2],ScenarioStat3[[#This Row],[hero-3]])</f>
        <v>0</v>
      </c>
      <c r="E60" t="s">
        <v>227</v>
      </c>
      <c r="F60">
        <f>COUNTIFS(Scenario3[winner1],ScenarioStat3[[#This Row],[hero-3]],Scenario3[loser1],ScenarioStat3[[#This Row],[hero-1]],Scenario3[loser2],ScenarioStat3[[#This Row],[hero-2]])</f>
        <v>0</v>
      </c>
      <c r="G60">
        <f>ScenarioStat3[[#This Row],[team-1-win]]+ScenarioStat3[[#This Row],[team-2-win]]+ScenarioStat3[[#This Row],[team-3-win]]</f>
        <v>1</v>
      </c>
    </row>
    <row r="61" spans="1:7" x14ac:dyDescent="0.25">
      <c r="A61" t="s">
        <v>48</v>
      </c>
      <c r="B61">
        <f>COUNTIFS(Scenario3[winner1],ScenarioStat3[[#This Row],[hero-1]],Scenario3[loser1],ScenarioStat3[[#This Row],[hero-2]],Scenario3[loser2],ScenarioStat3[[#This Row],[hero-3]])</f>
        <v>1</v>
      </c>
      <c r="C61" t="s">
        <v>45</v>
      </c>
      <c r="D61">
        <f>COUNTIFS(Scenario3[winner1],ScenarioStat3[[#This Row],[hero-2]],Scenario3[loser1],ScenarioStat3[[#This Row],[hero-1]],Scenario3[loser2],ScenarioStat3[[#This Row],[hero-3]])</f>
        <v>0</v>
      </c>
      <c r="E61" t="s">
        <v>63</v>
      </c>
      <c r="F61">
        <f>COUNTIFS(Scenario3[winner1],ScenarioStat3[[#This Row],[hero-3]],Scenario3[loser1],ScenarioStat3[[#This Row],[hero-1]],Scenario3[loser2],ScenarioStat3[[#This Row],[hero-2]])</f>
        <v>0</v>
      </c>
      <c r="G61">
        <f>ScenarioStat3[[#This Row],[team-1-win]]+ScenarioStat3[[#This Row],[team-2-win]]+ScenarioStat3[[#This Row],[team-3-win]]</f>
        <v>1</v>
      </c>
    </row>
    <row r="62" spans="1:7" x14ac:dyDescent="0.25">
      <c r="A62" t="s">
        <v>48</v>
      </c>
      <c r="B62">
        <f>COUNTIFS(Scenario3[winner1],ScenarioStat3[[#This Row],[hero-1]],Scenario3[loser1],ScenarioStat3[[#This Row],[hero-2]],Scenario3[loser2],ScenarioStat3[[#This Row],[hero-3]])</f>
        <v>1</v>
      </c>
      <c r="C62" t="s">
        <v>45</v>
      </c>
      <c r="D62">
        <f>COUNTIFS(Scenario3[winner1],ScenarioStat3[[#This Row],[hero-2]],Scenario3[loser1],ScenarioStat3[[#This Row],[hero-1]],Scenario3[loser2],ScenarioStat3[[#This Row],[hero-3]])</f>
        <v>0</v>
      </c>
      <c r="E62" t="s">
        <v>38</v>
      </c>
      <c r="F62">
        <f>COUNTIFS(Scenario3[winner1],ScenarioStat3[[#This Row],[hero-3]],Scenario3[loser1],ScenarioStat3[[#This Row],[hero-1]],Scenario3[loser2],ScenarioStat3[[#This Row],[hero-2]])</f>
        <v>0</v>
      </c>
      <c r="G62">
        <f>ScenarioStat3[[#This Row],[team-1-win]]+ScenarioStat3[[#This Row],[team-2-win]]+ScenarioStat3[[#This Row],[team-3-win]]</f>
        <v>1</v>
      </c>
    </row>
    <row r="63" spans="1:7" x14ac:dyDescent="0.25">
      <c r="A63" t="s">
        <v>48</v>
      </c>
      <c r="B63">
        <f>COUNTIFS(Scenario3[winner1],ScenarioStat3[[#This Row],[hero-1]],Scenario3[loser1],ScenarioStat3[[#This Row],[hero-2]],Scenario3[loser2],ScenarioStat3[[#This Row],[hero-3]])</f>
        <v>1</v>
      </c>
      <c r="C63" t="s">
        <v>45</v>
      </c>
      <c r="D63">
        <f>COUNTIFS(Scenario3[winner1],ScenarioStat3[[#This Row],[hero-2]],Scenario3[loser1],ScenarioStat3[[#This Row],[hero-1]],Scenario3[loser2],ScenarioStat3[[#This Row],[hero-3]])</f>
        <v>0</v>
      </c>
      <c r="E63" t="s">
        <v>227</v>
      </c>
      <c r="F63">
        <f>COUNTIFS(Scenario3[winner1],ScenarioStat3[[#This Row],[hero-3]],Scenario3[loser1],ScenarioStat3[[#This Row],[hero-1]],Scenario3[loser2],ScenarioStat3[[#This Row],[hero-2]])</f>
        <v>0</v>
      </c>
      <c r="G63">
        <f>ScenarioStat3[[#This Row],[team-1-win]]+ScenarioStat3[[#This Row],[team-2-win]]+ScenarioStat3[[#This Row],[team-3-win]]</f>
        <v>1</v>
      </c>
    </row>
    <row r="64" spans="1:7" x14ac:dyDescent="0.25">
      <c r="A64" t="s">
        <v>48</v>
      </c>
      <c r="B64">
        <f>COUNTIFS(Scenario3[winner1],ScenarioStat3[[#This Row],[hero-1]],Scenario3[loser1],ScenarioStat3[[#This Row],[hero-2]],Scenario3[loser2],ScenarioStat3[[#This Row],[hero-3]])</f>
        <v>0</v>
      </c>
      <c r="C64" t="s">
        <v>63</v>
      </c>
      <c r="D64">
        <f>COUNTIFS(Scenario3[winner1],ScenarioStat3[[#This Row],[hero-2]],Scenario3[loser1],ScenarioStat3[[#This Row],[hero-1]],Scenario3[loser2],ScenarioStat3[[#This Row],[hero-3]])</f>
        <v>0</v>
      </c>
      <c r="E64" t="s">
        <v>38</v>
      </c>
      <c r="F64">
        <f>COUNTIFS(Scenario3[winner1],ScenarioStat3[[#This Row],[hero-3]],Scenario3[loser1],ScenarioStat3[[#This Row],[hero-1]],Scenario3[loser2],ScenarioStat3[[#This Row],[hero-2]])</f>
        <v>1</v>
      </c>
      <c r="G64">
        <f>ScenarioStat3[[#This Row],[team-1-win]]+ScenarioStat3[[#This Row],[team-2-win]]+ScenarioStat3[[#This Row],[team-3-win]]</f>
        <v>1</v>
      </c>
    </row>
    <row r="65" spans="1:7" x14ac:dyDescent="0.25">
      <c r="A65" t="s">
        <v>48</v>
      </c>
      <c r="B65">
        <f>COUNTIFS(Scenario3[winner1],ScenarioStat3[[#This Row],[hero-1]],Scenario3[loser1],ScenarioStat3[[#This Row],[hero-2]],Scenario3[loser2],ScenarioStat3[[#This Row],[hero-3]])</f>
        <v>1</v>
      </c>
      <c r="C65" t="s">
        <v>63</v>
      </c>
      <c r="D65">
        <f>COUNTIFS(Scenario3[winner1],ScenarioStat3[[#This Row],[hero-2]],Scenario3[loser1],ScenarioStat3[[#This Row],[hero-1]],Scenario3[loser2],ScenarioStat3[[#This Row],[hero-3]])</f>
        <v>0</v>
      </c>
      <c r="E65" t="s">
        <v>227</v>
      </c>
      <c r="F65">
        <f>COUNTIFS(Scenario3[winner1],ScenarioStat3[[#This Row],[hero-3]],Scenario3[loser1],ScenarioStat3[[#This Row],[hero-1]],Scenario3[loser2],ScenarioStat3[[#This Row],[hero-2]])</f>
        <v>0</v>
      </c>
      <c r="G65">
        <f>ScenarioStat3[[#This Row],[team-1-win]]+ScenarioStat3[[#This Row],[team-2-win]]+ScenarioStat3[[#This Row],[team-3-win]]</f>
        <v>1</v>
      </c>
    </row>
    <row r="66" spans="1:7" x14ac:dyDescent="0.25">
      <c r="A66" t="s">
        <v>48</v>
      </c>
      <c r="B66">
        <f>COUNTIFS(Scenario3[winner1],ScenarioStat3[[#This Row],[hero-1]],Scenario3[loser1],ScenarioStat3[[#This Row],[hero-2]],Scenario3[loser2],ScenarioStat3[[#This Row],[hero-3]])</f>
        <v>1</v>
      </c>
      <c r="C66" t="s">
        <v>38</v>
      </c>
      <c r="D66">
        <f>COUNTIFS(Scenario3[winner1],ScenarioStat3[[#This Row],[hero-2]],Scenario3[loser1],ScenarioStat3[[#This Row],[hero-1]],Scenario3[loser2],ScenarioStat3[[#This Row],[hero-3]])</f>
        <v>0</v>
      </c>
      <c r="E66" t="s">
        <v>227</v>
      </c>
      <c r="F66">
        <f>COUNTIFS(Scenario3[winner1],ScenarioStat3[[#This Row],[hero-3]],Scenario3[loser1],ScenarioStat3[[#This Row],[hero-1]],Scenario3[loser2],ScenarioStat3[[#This Row],[hero-2]])</f>
        <v>0</v>
      </c>
      <c r="G66">
        <f>ScenarioStat3[[#This Row],[team-1-win]]+ScenarioStat3[[#This Row],[team-2-win]]+ScenarioStat3[[#This Row],[team-3-win]]</f>
        <v>1</v>
      </c>
    </row>
    <row r="67" spans="1:7" x14ac:dyDescent="0.25">
      <c r="A67" t="s">
        <v>33</v>
      </c>
      <c r="B67">
        <f>COUNTIFS(Scenario3[winner1],ScenarioStat3[[#This Row],[hero-1]],Scenario3[loser1],ScenarioStat3[[#This Row],[hero-2]],Scenario3[loser2],ScenarioStat3[[#This Row],[hero-3]])</f>
        <v>0</v>
      </c>
      <c r="C67" t="s">
        <v>43</v>
      </c>
      <c r="D67">
        <f>COUNTIFS(Scenario3[winner1],ScenarioStat3[[#This Row],[hero-2]],Scenario3[loser1],ScenarioStat3[[#This Row],[hero-1]],Scenario3[loser2],ScenarioStat3[[#This Row],[hero-3]])</f>
        <v>0</v>
      </c>
      <c r="E67" t="s">
        <v>45</v>
      </c>
      <c r="F67">
        <f>COUNTIFS(Scenario3[winner1],ScenarioStat3[[#This Row],[hero-3]],Scenario3[loser1],ScenarioStat3[[#This Row],[hero-1]],Scenario3[loser2],ScenarioStat3[[#This Row],[hero-2]])</f>
        <v>1</v>
      </c>
      <c r="G67">
        <f>ScenarioStat3[[#This Row],[team-1-win]]+ScenarioStat3[[#This Row],[team-2-win]]+ScenarioStat3[[#This Row],[team-3-win]]</f>
        <v>1</v>
      </c>
    </row>
    <row r="68" spans="1:7" x14ac:dyDescent="0.25">
      <c r="A68" t="s">
        <v>33</v>
      </c>
      <c r="B68">
        <f>COUNTIFS(Scenario3[winner1],ScenarioStat3[[#This Row],[hero-1]],Scenario3[loser1],ScenarioStat3[[#This Row],[hero-2]],Scenario3[loser2],ScenarioStat3[[#This Row],[hero-3]])</f>
        <v>1</v>
      </c>
      <c r="C68" t="s">
        <v>43</v>
      </c>
      <c r="D68">
        <f>COUNTIFS(Scenario3[winner1],ScenarioStat3[[#This Row],[hero-2]],Scenario3[loser1],ScenarioStat3[[#This Row],[hero-1]],Scenario3[loser2],ScenarioStat3[[#This Row],[hero-3]])</f>
        <v>0</v>
      </c>
      <c r="E68" t="s">
        <v>63</v>
      </c>
      <c r="F68">
        <f>COUNTIFS(Scenario3[winner1],ScenarioStat3[[#This Row],[hero-3]],Scenario3[loser1],ScenarioStat3[[#This Row],[hero-1]],Scenario3[loser2],ScenarioStat3[[#This Row],[hero-2]])</f>
        <v>0</v>
      </c>
      <c r="G68">
        <f>ScenarioStat3[[#This Row],[team-1-win]]+ScenarioStat3[[#This Row],[team-2-win]]+ScenarioStat3[[#This Row],[team-3-win]]</f>
        <v>1</v>
      </c>
    </row>
    <row r="69" spans="1:7" x14ac:dyDescent="0.25">
      <c r="A69" t="s">
        <v>33</v>
      </c>
      <c r="B69">
        <f>COUNTIFS(Scenario3[winner1],ScenarioStat3[[#This Row],[hero-1]],Scenario3[loser1],ScenarioStat3[[#This Row],[hero-2]],Scenario3[loser2],ScenarioStat3[[#This Row],[hero-3]])</f>
        <v>0</v>
      </c>
      <c r="C69" t="s">
        <v>43</v>
      </c>
      <c r="D69">
        <f>COUNTIFS(Scenario3[winner1],ScenarioStat3[[#This Row],[hero-2]],Scenario3[loser1],ScenarioStat3[[#This Row],[hero-1]],Scenario3[loser2],ScenarioStat3[[#This Row],[hero-3]])</f>
        <v>0</v>
      </c>
      <c r="E69" t="s">
        <v>38</v>
      </c>
      <c r="F69">
        <f>COUNTIFS(Scenario3[winner1],ScenarioStat3[[#This Row],[hero-3]],Scenario3[loser1],ScenarioStat3[[#This Row],[hero-1]],Scenario3[loser2],ScenarioStat3[[#This Row],[hero-2]])</f>
        <v>1</v>
      </c>
      <c r="G69">
        <f>ScenarioStat3[[#This Row],[team-1-win]]+ScenarioStat3[[#This Row],[team-2-win]]+ScenarioStat3[[#This Row],[team-3-win]]</f>
        <v>1</v>
      </c>
    </row>
    <row r="70" spans="1:7" x14ac:dyDescent="0.25">
      <c r="A70" t="s">
        <v>33</v>
      </c>
      <c r="B70">
        <f>COUNTIFS(Scenario3[winner1],ScenarioStat3[[#This Row],[hero-1]],Scenario3[loser1],ScenarioStat3[[#This Row],[hero-2]],Scenario3[loser2],ScenarioStat3[[#This Row],[hero-3]])</f>
        <v>0</v>
      </c>
      <c r="C70" t="s">
        <v>43</v>
      </c>
      <c r="D70">
        <f>COUNTIFS(Scenario3[winner1],ScenarioStat3[[#This Row],[hero-2]],Scenario3[loser1],ScenarioStat3[[#This Row],[hero-1]],Scenario3[loser2],ScenarioStat3[[#This Row],[hero-3]])</f>
        <v>0</v>
      </c>
      <c r="E70" t="s">
        <v>227</v>
      </c>
      <c r="F70">
        <f>COUNTIFS(Scenario3[winner1],ScenarioStat3[[#This Row],[hero-3]],Scenario3[loser1],ScenarioStat3[[#This Row],[hero-1]],Scenario3[loser2],ScenarioStat3[[#This Row],[hero-2]])</f>
        <v>1</v>
      </c>
      <c r="G70">
        <f>ScenarioStat3[[#This Row],[team-1-win]]+ScenarioStat3[[#This Row],[team-2-win]]+ScenarioStat3[[#This Row],[team-3-win]]</f>
        <v>1</v>
      </c>
    </row>
    <row r="71" spans="1:7" x14ac:dyDescent="0.25">
      <c r="A71" t="s">
        <v>33</v>
      </c>
      <c r="B71">
        <f>COUNTIFS(Scenario3[winner1],ScenarioStat3[[#This Row],[hero-1]],Scenario3[loser1],ScenarioStat3[[#This Row],[hero-2]],Scenario3[loser2],ScenarioStat3[[#This Row],[hero-3]])</f>
        <v>0</v>
      </c>
      <c r="C71" t="s">
        <v>45</v>
      </c>
      <c r="D71">
        <f>COUNTIFS(Scenario3[winner1],ScenarioStat3[[#This Row],[hero-2]],Scenario3[loser1],ScenarioStat3[[#This Row],[hero-1]],Scenario3[loser2],ScenarioStat3[[#This Row],[hero-3]])</f>
        <v>1</v>
      </c>
      <c r="E71" t="s">
        <v>63</v>
      </c>
      <c r="F71">
        <f>COUNTIFS(Scenario3[winner1],ScenarioStat3[[#This Row],[hero-3]],Scenario3[loser1],ScenarioStat3[[#This Row],[hero-1]],Scenario3[loser2],ScenarioStat3[[#This Row],[hero-2]])</f>
        <v>0</v>
      </c>
      <c r="G71">
        <f>ScenarioStat3[[#This Row],[team-1-win]]+ScenarioStat3[[#This Row],[team-2-win]]+ScenarioStat3[[#This Row],[team-3-win]]</f>
        <v>1</v>
      </c>
    </row>
    <row r="72" spans="1:7" x14ac:dyDescent="0.25">
      <c r="A72" t="s">
        <v>33</v>
      </c>
      <c r="B72">
        <f>COUNTIFS(Scenario3[winner1],ScenarioStat3[[#This Row],[hero-1]],Scenario3[loser1],ScenarioStat3[[#This Row],[hero-2]],Scenario3[loser2],ScenarioStat3[[#This Row],[hero-3]])</f>
        <v>0</v>
      </c>
      <c r="C72" t="s">
        <v>45</v>
      </c>
      <c r="D72">
        <f>COUNTIFS(Scenario3[winner1],ScenarioStat3[[#This Row],[hero-2]],Scenario3[loser1],ScenarioStat3[[#This Row],[hero-1]],Scenario3[loser2],ScenarioStat3[[#This Row],[hero-3]])</f>
        <v>1</v>
      </c>
      <c r="E72" t="s">
        <v>38</v>
      </c>
      <c r="F72">
        <f>COUNTIFS(Scenario3[winner1],ScenarioStat3[[#This Row],[hero-3]],Scenario3[loser1],ScenarioStat3[[#This Row],[hero-1]],Scenario3[loser2],ScenarioStat3[[#This Row],[hero-2]])</f>
        <v>0</v>
      </c>
      <c r="G72">
        <f>ScenarioStat3[[#This Row],[team-1-win]]+ScenarioStat3[[#This Row],[team-2-win]]+ScenarioStat3[[#This Row],[team-3-win]]</f>
        <v>1</v>
      </c>
    </row>
    <row r="73" spans="1:7" x14ac:dyDescent="0.25">
      <c r="A73" t="s">
        <v>33</v>
      </c>
      <c r="B73">
        <f>COUNTIFS(Scenario3[winner1],ScenarioStat3[[#This Row],[hero-1]],Scenario3[loser1],ScenarioStat3[[#This Row],[hero-2]],Scenario3[loser2],ScenarioStat3[[#This Row],[hero-3]])</f>
        <v>0</v>
      </c>
      <c r="C73" t="s">
        <v>45</v>
      </c>
      <c r="D73">
        <f>COUNTIFS(Scenario3[winner1],ScenarioStat3[[#This Row],[hero-2]],Scenario3[loser1],ScenarioStat3[[#This Row],[hero-1]],Scenario3[loser2],ScenarioStat3[[#This Row],[hero-3]])</f>
        <v>0</v>
      </c>
      <c r="E73" t="s">
        <v>227</v>
      </c>
      <c r="F73">
        <f>COUNTIFS(Scenario3[winner1],ScenarioStat3[[#This Row],[hero-3]],Scenario3[loser1],ScenarioStat3[[#This Row],[hero-1]],Scenario3[loser2],ScenarioStat3[[#This Row],[hero-2]])</f>
        <v>1</v>
      </c>
      <c r="G73">
        <f>ScenarioStat3[[#This Row],[team-1-win]]+ScenarioStat3[[#This Row],[team-2-win]]+ScenarioStat3[[#This Row],[team-3-win]]</f>
        <v>1</v>
      </c>
    </row>
    <row r="74" spans="1:7" x14ac:dyDescent="0.25">
      <c r="A74" t="s">
        <v>33</v>
      </c>
      <c r="B74">
        <f>COUNTIFS(Scenario3[winner1],ScenarioStat3[[#This Row],[hero-1]],Scenario3[loser1],ScenarioStat3[[#This Row],[hero-2]],Scenario3[loser2],ScenarioStat3[[#This Row],[hero-3]])</f>
        <v>1</v>
      </c>
      <c r="C74" t="s">
        <v>63</v>
      </c>
      <c r="D74">
        <f>COUNTIFS(Scenario3[winner1],ScenarioStat3[[#This Row],[hero-2]],Scenario3[loser1],ScenarioStat3[[#This Row],[hero-1]],Scenario3[loser2],ScenarioStat3[[#This Row],[hero-3]])</f>
        <v>0</v>
      </c>
      <c r="E74" t="s">
        <v>38</v>
      </c>
      <c r="F74">
        <f>COUNTIFS(Scenario3[winner1],ScenarioStat3[[#This Row],[hero-3]],Scenario3[loser1],ScenarioStat3[[#This Row],[hero-1]],Scenario3[loser2],ScenarioStat3[[#This Row],[hero-2]])</f>
        <v>0</v>
      </c>
      <c r="G74">
        <f>ScenarioStat3[[#This Row],[team-1-win]]+ScenarioStat3[[#This Row],[team-2-win]]+ScenarioStat3[[#This Row],[team-3-win]]</f>
        <v>1</v>
      </c>
    </row>
    <row r="75" spans="1:7" x14ac:dyDescent="0.25">
      <c r="A75" t="s">
        <v>33</v>
      </c>
      <c r="B75">
        <f>COUNTIFS(Scenario3[winner1],ScenarioStat3[[#This Row],[hero-1]],Scenario3[loser1],ScenarioStat3[[#This Row],[hero-2]],Scenario3[loser2],ScenarioStat3[[#This Row],[hero-3]])</f>
        <v>0</v>
      </c>
      <c r="C75" t="s">
        <v>63</v>
      </c>
      <c r="D75">
        <f>COUNTIFS(Scenario3[winner1],ScenarioStat3[[#This Row],[hero-2]],Scenario3[loser1],ScenarioStat3[[#This Row],[hero-1]],Scenario3[loser2],ScenarioStat3[[#This Row],[hero-3]])</f>
        <v>1</v>
      </c>
      <c r="E75" t="s">
        <v>227</v>
      </c>
      <c r="F75">
        <f>COUNTIFS(Scenario3[winner1],ScenarioStat3[[#This Row],[hero-3]],Scenario3[loser1],ScenarioStat3[[#This Row],[hero-1]],Scenario3[loser2],ScenarioStat3[[#This Row],[hero-2]])</f>
        <v>0</v>
      </c>
      <c r="G75">
        <f>ScenarioStat3[[#This Row],[team-1-win]]+ScenarioStat3[[#This Row],[team-2-win]]+ScenarioStat3[[#This Row],[team-3-win]]</f>
        <v>1</v>
      </c>
    </row>
    <row r="76" spans="1:7" x14ac:dyDescent="0.25">
      <c r="A76" t="s">
        <v>33</v>
      </c>
      <c r="B76">
        <f>COUNTIFS(Scenario3[winner1],ScenarioStat3[[#This Row],[hero-1]],Scenario3[loser1],ScenarioStat3[[#This Row],[hero-2]],Scenario3[loser2],ScenarioStat3[[#This Row],[hero-3]])</f>
        <v>0</v>
      </c>
      <c r="C76" t="s">
        <v>38</v>
      </c>
      <c r="D76">
        <f>COUNTIFS(Scenario3[winner1],ScenarioStat3[[#This Row],[hero-2]],Scenario3[loser1],ScenarioStat3[[#This Row],[hero-1]],Scenario3[loser2],ScenarioStat3[[#This Row],[hero-3]])</f>
        <v>1</v>
      </c>
      <c r="E76" t="s">
        <v>227</v>
      </c>
      <c r="F76">
        <f>COUNTIFS(Scenario3[winner1],ScenarioStat3[[#This Row],[hero-3]],Scenario3[loser1],ScenarioStat3[[#This Row],[hero-1]],Scenario3[loser2],ScenarioStat3[[#This Row],[hero-2]])</f>
        <v>0</v>
      </c>
      <c r="G76">
        <f>ScenarioStat3[[#This Row],[team-1-win]]+ScenarioStat3[[#This Row],[team-2-win]]+ScenarioStat3[[#This Row],[team-3-win]]</f>
        <v>1</v>
      </c>
    </row>
    <row r="77" spans="1:7" x14ac:dyDescent="0.25">
      <c r="A77" t="s">
        <v>43</v>
      </c>
      <c r="B77">
        <f>COUNTIFS(Scenario3[winner1],ScenarioStat3[[#This Row],[hero-1]],Scenario3[loser1],ScenarioStat3[[#This Row],[hero-2]],Scenario3[loser2],ScenarioStat3[[#This Row],[hero-3]])</f>
        <v>0</v>
      </c>
      <c r="C77" t="s">
        <v>45</v>
      </c>
      <c r="D77">
        <f>COUNTIFS(Scenario3[winner1],ScenarioStat3[[#This Row],[hero-2]],Scenario3[loser1],ScenarioStat3[[#This Row],[hero-1]],Scenario3[loser2],ScenarioStat3[[#This Row],[hero-3]])</f>
        <v>0</v>
      </c>
      <c r="E77" t="s">
        <v>63</v>
      </c>
      <c r="F77">
        <f>COUNTIFS(Scenario3[winner1],ScenarioStat3[[#This Row],[hero-3]],Scenario3[loser1],ScenarioStat3[[#This Row],[hero-1]],Scenario3[loser2],ScenarioStat3[[#This Row],[hero-2]])</f>
        <v>1</v>
      </c>
      <c r="G77">
        <f>ScenarioStat3[[#This Row],[team-1-win]]+ScenarioStat3[[#This Row],[team-2-win]]+ScenarioStat3[[#This Row],[team-3-win]]</f>
        <v>1</v>
      </c>
    </row>
    <row r="78" spans="1:7" x14ac:dyDescent="0.25">
      <c r="A78" t="s">
        <v>43</v>
      </c>
      <c r="B78">
        <f>COUNTIFS(Scenario3[winner1],ScenarioStat3[[#This Row],[hero-1]],Scenario3[loser1],ScenarioStat3[[#This Row],[hero-2]],Scenario3[loser2],ScenarioStat3[[#This Row],[hero-3]])</f>
        <v>1</v>
      </c>
      <c r="C78" t="s">
        <v>45</v>
      </c>
      <c r="D78">
        <f>COUNTIFS(Scenario3[winner1],ScenarioStat3[[#This Row],[hero-2]],Scenario3[loser1],ScenarioStat3[[#This Row],[hero-1]],Scenario3[loser2],ScenarioStat3[[#This Row],[hero-3]])</f>
        <v>0</v>
      </c>
      <c r="E78" t="s">
        <v>38</v>
      </c>
      <c r="F78">
        <f>COUNTIFS(Scenario3[winner1],ScenarioStat3[[#This Row],[hero-3]],Scenario3[loser1],ScenarioStat3[[#This Row],[hero-1]],Scenario3[loser2],ScenarioStat3[[#This Row],[hero-2]])</f>
        <v>0</v>
      </c>
      <c r="G78">
        <f>ScenarioStat3[[#This Row],[team-1-win]]+ScenarioStat3[[#This Row],[team-2-win]]+ScenarioStat3[[#This Row],[team-3-win]]</f>
        <v>1</v>
      </c>
    </row>
    <row r="79" spans="1:7" x14ac:dyDescent="0.25">
      <c r="A79" t="s">
        <v>43</v>
      </c>
      <c r="B79">
        <f>COUNTIFS(Scenario3[winner1],ScenarioStat3[[#This Row],[hero-1]],Scenario3[loser1],ScenarioStat3[[#This Row],[hero-2]],Scenario3[loser2],ScenarioStat3[[#This Row],[hero-3]])</f>
        <v>1</v>
      </c>
      <c r="C79" t="s">
        <v>45</v>
      </c>
      <c r="D79">
        <f>COUNTIFS(Scenario3[winner1],ScenarioStat3[[#This Row],[hero-2]],Scenario3[loser1],ScenarioStat3[[#This Row],[hero-1]],Scenario3[loser2],ScenarioStat3[[#This Row],[hero-3]])</f>
        <v>0</v>
      </c>
      <c r="E79" t="s">
        <v>227</v>
      </c>
      <c r="F79">
        <f>COUNTIFS(Scenario3[winner1],ScenarioStat3[[#This Row],[hero-3]],Scenario3[loser1],ScenarioStat3[[#This Row],[hero-1]],Scenario3[loser2],ScenarioStat3[[#This Row],[hero-2]])</f>
        <v>0</v>
      </c>
      <c r="G79">
        <f>ScenarioStat3[[#This Row],[team-1-win]]+ScenarioStat3[[#This Row],[team-2-win]]+ScenarioStat3[[#This Row],[team-3-win]]</f>
        <v>1</v>
      </c>
    </row>
    <row r="80" spans="1:7" x14ac:dyDescent="0.25">
      <c r="A80" t="s">
        <v>43</v>
      </c>
      <c r="B80">
        <f>COUNTIFS(Scenario3[winner1],ScenarioStat3[[#This Row],[hero-1]],Scenario3[loser1],ScenarioStat3[[#This Row],[hero-2]],Scenario3[loser2],ScenarioStat3[[#This Row],[hero-3]])</f>
        <v>0</v>
      </c>
      <c r="C80" t="s">
        <v>63</v>
      </c>
      <c r="D80">
        <f>COUNTIFS(Scenario3[winner1],ScenarioStat3[[#This Row],[hero-2]],Scenario3[loser1],ScenarioStat3[[#This Row],[hero-1]],Scenario3[loser2],ScenarioStat3[[#This Row],[hero-3]])</f>
        <v>1</v>
      </c>
      <c r="E80" t="s">
        <v>38</v>
      </c>
      <c r="F80">
        <f>COUNTIFS(Scenario3[winner1],ScenarioStat3[[#This Row],[hero-3]],Scenario3[loser1],ScenarioStat3[[#This Row],[hero-1]],Scenario3[loser2],ScenarioStat3[[#This Row],[hero-2]])</f>
        <v>0</v>
      </c>
      <c r="G80">
        <f>ScenarioStat3[[#This Row],[team-1-win]]+ScenarioStat3[[#This Row],[team-2-win]]+ScenarioStat3[[#This Row],[team-3-win]]</f>
        <v>1</v>
      </c>
    </row>
    <row r="81" spans="1:7" x14ac:dyDescent="0.25">
      <c r="A81" t="s">
        <v>43</v>
      </c>
      <c r="B81">
        <f>COUNTIFS(Scenario3[winner1],ScenarioStat3[[#This Row],[hero-1]],Scenario3[loser1],ScenarioStat3[[#This Row],[hero-2]],Scenario3[loser2],ScenarioStat3[[#This Row],[hero-3]])</f>
        <v>0</v>
      </c>
      <c r="C81" t="s">
        <v>63</v>
      </c>
      <c r="D81">
        <f>COUNTIFS(Scenario3[winner1],ScenarioStat3[[#This Row],[hero-2]],Scenario3[loser1],ScenarioStat3[[#This Row],[hero-1]],Scenario3[loser2],ScenarioStat3[[#This Row],[hero-3]])</f>
        <v>1</v>
      </c>
      <c r="E81" t="s">
        <v>227</v>
      </c>
      <c r="F81">
        <f>COUNTIFS(Scenario3[winner1],ScenarioStat3[[#This Row],[hero-3]],Scenario3[loser1],ScenarioStat3[[#This Row],[hero-1]],Scenario3[loser2],ScenarioStat3[[#This Row],[hero-2]])</f>
        <v>0</v>
      </c>
      <c r="G81">
        <f>ScenarioStat3[[#This Row],[team-1-win]]+ScenarioStat3[[#This Row],[team-2-win]]+ScenarioStat3[[#This Row],[team-3-win]]</f>
        <v>1</v>
      </c>
    </row>
    <row r="82" spans="1:7" x14ac:dyDescent="0.25">
      <c r="A82" t="s">
        <v>43</v>
      </c>
      <c r="B82">
        <f>COUNTIFS(Scenario3[winner1],ScenarioStat3[[#This Row],[hero-1]],Scenario3[loser1],ScenarioStat3[[#This Row],[hero-2]],Scenario3[loser2],ScenarioStat3[[#This Row],[hero-3]])</f>
        <v>0</v>
      </c>
      <c r="C82" t="s">
        <v>38</v>
      </c>
      <c r="D82">
        <f>COUNTIFS(Scenario3[winner1],ScenarioStat3[[#This Row],[hero-2]],Scenario3[loser1],ScenarioStat3[[#This Row],[hero-1]],Scenario3[loser2],ScenarioStat3[[#This Row],[hero-3]])</f>
        <v>1</v>
      </c>
      <c r="E82" t="s">
        <v>227</v>
      </c>
      <c r="F82">
        <f>COUNTIFS(Scenario3[winner1],ScenarioStat3[[#This Row],[hero-3]],Scenario3[loser1],ScenarioStat3[[#This Row],[hero-1]],Scenario3[loser2],ScenarioStat3[[#This Row],[hero-2]])</f>
        <v>0</v>
      </c>
      <c r="G82">
        <f>ScenarioStat3[[#This Row],[team-1-win]]+ScenarioStat3[[#This Row],[team-2-win]]+ScenarioStat3[[#This Row],[team-3-win]]</f>
        <v>1</v>
      </c>
    </row>
    <row r="83" spans="1:7" x14ac:dyDescent="0.25">
      <c r="A83" t="s">
        <v>45</v>
      </c>
      <c r="B83">
        <f>COUNTIFS(Scenario3[winner1],ScenarioStat3[[#This Row],[hero-1]],Scenario3[loser1],ScenarioStat3[[#This Row],[hero-2]],Scenario3[loser2],ScenarioStat3[[#This Row],[hero-3]])</f>
        <v>0</v>
      </c>
      <c r="C83" t="s">
        <v>63</v>
      </c>
      <c r="D83">
        <f>COUNTIFS(Scenario3[winner1],ScenarioStat3[[#This Row],[hero-2]],Scenario3[loser1],ScenarioStat3[[#This Row],[hero-1]],Scenario3[loser2],ScenarioStat3[[#This Row],[hero-3]])</f>
        <v>1</v>
      </c>
      <c r="E83" t="s">
        <v>38</v>
      </c>
      <c r="F83">
        <f>COUNTIFS(Scenario3[winner1],ScenarioStat3[[#This Row],[hero-3]],Scenario3[loser1],ScenarioStat3[[#This Row],[hero-1]],Scenario3[loser2],ScenarioStat3[[#This Row],[hero-2]])</f>
        <v>0</v>
      </c>
      <c r="G83">
        <f>ScenarioStat3[[#This Row],[team-1-win]]+ScenarioStat3[[#This Row],[team-2-win]]+ScenarioStat3[[#This Row],[team-3-win]]</f>
        <v>1</v>
      </c>
    </row>
    <row r="84" spans="1:7" x14ac:dyDescent="0.25">
      <c r="A84" t="s">
        <v>45</v>
      </c>
      <c r="B84">
        <f>COUNTIFS(Scenario3[winner1],ScenarioStat3[[#This Row],[hero-1]],Scenario3[loser1],ScenarioStat3[[#This Row],[hero-2]],Scenario3[loser2],ScenarioStat3[[#This Row],[hero-3]])</f>
        <v>0</v>
      </c>
      <c r="C84" t="s">
        <v>63</v>
      </c>
      <c r="D84">
        <f>COUNTIFS(Scenario3[winner1],ScenarioStat3[[#This Row],[hero-2]],Scenario3[loser1],ScenarioStat3[[#This Row],[hero-1]],Scenario3[loser2],ScenarioStat3[[#This Row],[hero-3]])</f>
        <v>0</v>
      </c>
      <c r="E84" t="s">
        <v>227</v>
      </c>
      <c r="F84">
        <f>COUNTIFS(Scenario3[winner1],ScenarioStat3[[#This Row],[hero-3]],Scenario3[loser1],ScenarioStat3[[#This Row],[hero-1]],Scenario3[loser2],ScenarioStat3[[#This Row],[hero-2]])</f>
        <v>1</v>
      </c>
      <c r="G84">
        <f>ScenarioStat3[[#This Row],[team-1-win]]+ScenarioStat3[[#This Row],[team-2-win]]+ScenarioStat3[[#This Row],[team-3-win]]</f>
        <v>1</v>
      </c>
    </row>
    <row r="85" spans="1:7" x14ac:dyDescent="0.25">
      <c r="A85" t="s">
        <v>45</v>
      </c>
      <c r="B85">
        <f>COUNTIFS(Scenario3[winner1],ScenarioStat3[[#This Row],[hero-1]],Scenario3[loser1],ScenarioStat3[[#This Row],[hero-2]],Scenario3[loser2],ScenarioStat3[[#This Row],[hero-3]])</f>
        <v>0</v>
      </c>
      <c r="C85" t="s">
        <v>38</v>
      </c>
      <c r="D85">
        <f>COUNTIFS(Scenario3[winner1],ScenarioStat3[[#This Row],[hero-2]],Scenario3[loser1],ScenarioStat3[[#This Row],[hero-1]],Scenario3[loser2],ScenarioStat3[[#This Row],[hero-3]])</f>
        <v>0</v>
      </c>
      <c r="E85" t="s">
        <v>227</v>
      </c>
      <c r="F85">
        <f>COUNTIFS(Scenario3[winner1],ScenarioStat3[[#This Row],[hero-3]],Scenario3[loser1],ScenarioStat3[[#This Row],[hero-1]],Scenario3[loser2],ScenarioStat3[[#This Row],[hero-2]])</f>
        <v>1</v>
      </c>
      <c r="G85">
        <f>ScenarioStat3[[#This Row],[team-1-win]]+ScenarioStat3[[#This Row],[team-2-win]]+ScenarioStat3[[#This Row],[team-3-win]]</f>
        <v>1</v>
      </c>
    </row>
    <row r="86" spans="1:7" x14ac:dyDescent="0.25">
      <c r="A86" t="s">
        <v>63</v>
      </c>
      <c r="B86">
        <f>COUNTIFS(Scenario3[winner1],ScenarioStat3[[#This Row],[hero-1]],Scenario3[loser1],ScenarioStat3[[#This Row],[hero-2]],Scenario3[loser2],ScenarioStat3[[#This Row],[hero-3]])</f>
        <v>0</v>
      </c>
      <c r="C86" t="s">
        <v>38</v>
      </c>
      <c r="D86">
        <f>COUNTIFS(Scenario3[winner1],ScenarioStat3[[#This Row],[hero-2]],Scenario3[loser1],ScenarioStat3[[#This Row],[hero-1]],Scenario3[loser2],ScenarioStat3[[#This Row],[hero-3]])</f>
        <v>1</v>
      </c>
      <c r="E86" t="s">
        <v>227</v>
      </c>
      <c r="F86">
        <f>COUNTIFS(Scenario3[winner1],ScenarioStat3[[#This Row],[hero-3]],Scenario3[loser1],ScenarioStat3[[#This Row],[hero-1]],Scenario3[loser2],ScenarioStat3[[#This Row],[hero-2]])</f>
        <v>0</v>
      </c>
      <c r="G86">
        <f>ScenarioStat3[[#This Row],[team-1-win]]+ScenarioStat3[[#This Row],[team-2-win]]+ScenarioStat3[[#This Row],[team-3-win]]</f>
        <v>1</v>
      </c>
    </row>
  </sheetData>
  <mergeCells count="2">
    <mergeCell ref="A1:G1"/>
    <mergeCell ref="I1:L1"/>
  </mergeCells>
  <phoneticPr fontId="3" type="noConversion"/>
  <conditionalFormatting sqref="L3:L1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36A3-8211-470B-8ECC-FE45CD3B28AA}">
  <dimension ref="A1:AJ127"/>
  <sheetViews>
    <sheetView topLeftCell="A95" workbookViewId="0">
      <selection activeCell="A2" sqref="A2:AJ127"/>
    </sheetView>
  </sheetViews>
  <sheetFormatPr defaultRowHeight="15" x14ac:dyDescent="0.25"/>
  <cols>
    <col min="1" max="1" width="38.140625" bestFit="1" customWidth="1"/>
    <col min="2" max="2" width="8.28515625" bestFit="1" customWidth="1"/>
    <col min="3" max="3" width="11.42578125" bestFit="1" customWidth="1"/>
    <col min="4" max="4" width="13" hidden="1" customWidth="1"/>
    <col min="5" max="5" width="12.7109375" hidden="1" customWidth="1"/>
    <col min="6" max="6" width="12.42578125" hidden="1" customWidth="1"/>
    <col min="7" max="7" width="21.140625" hidden="1" customWidth="1"/>
    <col min="8" max="8" width="19.140625" hidden="1" customWidth="1"/>
    <col min="9" max="9" width="18" hidden="1" customWidth="1"/>
    <col min="10" max="10" width="18.42578125" hidden="1" customWidth="1"/>
    <col min="11" max="11" width="10.5703125" bestFit="1" customWidth="1"/>
    <col min="12" max="12" width="12.140625" hidden="1" customWidth="1"/>
    <col min="13" max="13" width="11.85546875" hidden="1" customWidth="1"/>
    <col min="14" max="14" width="11.42578125" hidden="1" customWidth="1"/>
    <col min="15" max="15" width="18.42578125" hidden="1" customWidth="1"/>
    <col min="16" max="16" width="18.7109375" hidden="1" customWidth="1"/>
    <col min="17" max="17" width="20.7109375" hidden="1" customWidth="1"/>
    <col min="18" max="18" width="17.28515625" hidden="1" customWidth="1"/>
    <col min="19" max="19" width="11.42578125" bestFit="1" customWidth="1"/>
    <col min="20" max="26" width="17.28515625" hidden="1" customWidth="1"/>
    <col min="27" max="27" width="11.42578125" bestFit="1" customWidth="1"/>
    <col min="28" max="28" width="11.28515625" hidden="1" customWidth="1"/>
    <col min="29" max="29" width="10.85546875" hidden="1" customWidth="1"/>
    <col min="30" max="30" width="10.5703125" hidden="1" customWidth="1"/>
    <col min="31" max="34" width="14.7109375" hidden="1" customWidth="1"/>
    <col min="35" max="35" width="9.85546875" bestFit="1" customWidth="1"/>
    <col min="36" max="36" width="7.85546875" bestFit="1" customWidth="1"/>
  </cols>
  <sheetData>
    <row r="1" spans="1:36" x14ac:dyDescent="0.25">
      <c r="A1" t="s">
        <v>0</v>
      </c>
      <c r="B1" t="s">
        <v>173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s="32" t="s">
        <v>25</v>
      </c>
      <c r="T1" s="32" t="s">
        <v>26</v>
      </c>
      <c r="U1" s="32" t="s">
        <v>27</v>
      </c>
      <c r="V1" s="32" t="s">
        <v>28</v>
      </c>
      <c r="W1" s="32" t="s">
        <v>29</v>
      </c>
      <c r="X1" s="32" t="s">
        <v>119</v>
      </c>
      <c r="Y1" s="32" t="s">
        <v>30</v>
      </c>
      <c r="Z1" s="32" t="s">
        <v>31</v>
      </c>
      <c r="AA1" s="34" t="s">
        <v>210</v>
      </c>
      <c r="AB1" s="32" t="s">
        <v>215</v>
      </c>
      <c r="AC1" s="32" t="s">
        <v>216</v>
      </c>
      <c r="AD1" s="32" t="s">
        <v>217</v>
      </c>
      <c r="AE1" s="32" t="s">
        <v>211</v>
      </c>
      <c r="AF1" s="32" t="s">
        <v>212</v>
      </c>
      <c r="AG1" s="32" t="s">
        <v>213</v>
      </c>
      <c r="AH1" s="32" t="s">
        <v>214</v>
      </c>
      <c r="AI1" t="s">
        <v>64</v>
      </c>
      <c r="AJ1" t="s">
        <v>32</v>
      </c>
    </row>
    <row r="2" spans="1:36" x14ac:dyDescent="0.25">
      <c r="A2" t="s">
        <v>1158</v>
      </c>
      <c r="B2">
        <v>0</v>
      </c>
      <c r="C2" t="s">
        <v>33</v>
      </c>
      <c r="D2">
        <v>3</v>
      </c>
      <c r="F2">
        <v>3</v>
      </c>
      <c r="G2" t="s">
        <v>34</v>
      </c>
      <c r="H2" t="s">
        <v>130</v>
      </c>
      <c r="I2" t="s">
        <v>36</v>
      </c>
      <c r="J2" t="s">
        <v>37</v>
      </c>
      <c r="K2" t="s">
        <v>53</v>
      </c>
      <c r="L2">
        <v>1</v>
      </c>
      <c r="M2">
        <v>3</v>
      </c>
      <c r="N2">
        <v>3</v>
      </c>
      <c r="O2" t="s">
        <v>112</v>
      </c>
      <c r="P2" t="s">
        <v>83</v>
      </c>
      <c r="S2" t="s">
        <v>56</v>
      </c>
      <c r="T2">
        <v>3</v>
      </c>
      <c r="V2">
        <v>3</v>
      </c>
      <c r="W2" t="s">
        <v>120</v>
      </c>
      <c r="X2" t="s">
        <v>69</v>
      </c>
      <c r="Y2" t="s">
        <v>87</v>
      </c>
      <c r="Z2" t="s">
        <v>88</v>
      </c>
      <c r="AA2" t="s">
        <v>48</v>
      </c>
      <c r="AB2">
        <v>3</v>
      </c>
      <c r="AD2">
        <v>2</v>
      </c>
      <c r="AE2" t="s">
        <v>126</v>
      </c>
      <c r="AF2" t="s">
        <v>84</v>
      </c>
      <c r="AG2" t="s">
        <v>90</v>
      </c>
      <c r="AI2">
        <v>0</v>
      </c>
      <c r="AJ2">
        <v>31</v>
      </c>
    </row>
    <row r="3" spans="1:36" x14ac:dyDescent="0.25">
      <c r="A3" t="s">
        <v>1159</v>
      </c>
      <c r="B3">
        <v>1</v>
      </c>
      <c r="C3" t="s">
        <v>56</v>
      </c>
      <c r="D3">
        <v>3</v>
      </c>
      <c r="F3">
        <v>3</v>
      </c>
      <c r="G3" t="s">
        <v>68</v>
      </c>
      <c r="H3" t="s">
        <v>122</v>
      </c>
      <c r="I3" t="s">
        <v>85</v>
      </c>
      <c r="J3" t="s">
        <v>124</v>
      </c>
      <c r="K3" t="s">
        <v>53</v>
      </c>
      <c r="L3">
        <v>3</v>
      </c>
      <c r="M3">
        <v>3</v>
      </c>
      <c r="N3">
        <v>3</v>
      </c>
      <c r="O3" t="s">
        <v>112</v>
      </c>
      <c r="P3" t="s">
        <v>83</v>
      </c>
      <c r="Q3" t="s">
        <v>97</v>
      </c>
      <c r="R3" t="s">
        <v>115</v>
      </c>
      <c r="S3" t="s">
        <v>48</v>
      </c>
      <c r="T3">
        <v>3</v>
      </c>
      <c r="V3">
        <v>3</v>
      </c>
      <c r="W3" t="s">
        <v>126</v>
      </c>
      <c r="X3" t="s">
        <v>84</v>
      </c>
      <c r="Y3" t="s">
        <v>90</v>
      </c>
      <c r="Z3" t="s">
        <v>128</v>
      </c>
      <c r="AA3" t="s">
        <v>43</v>
      </c>
      <c r="AB3">
        <v>3</v>
      </c>
      <c r="AD3">
        <v>1</v>
      </c>
      <c r="AE3" t="s">
        <v>73</v>
      </c>
      <c r="AF3" t="s">
        <v>74</v>
      </c>
      <c r="AG3" t="s">
        <v>100</v>
      </c>
      <c r="AH3" t="s">
        <v>139</v>
      </c>
      <c r="AI3">
        <v>0</v>
      </c>
      <c r="AJ3">
        <v>56</v>
      </c>
    </row>
    <row r="4" spans="1:36" x14ac:dyDescent="0.25">
      <c r="A4" t="s">
        <v>1160</v>
      </c>
      <c r="B4">
        <v>2</v>
      </c>
      <c r="C4" t="s">
        <v>48</v>
      </c>
      <c r="D4">
        <v>3</v>
      </c>
      <c r="F4">
        <v>3</v>
      </c>
      <c r="G4" t="s">
        <v>126</v>
      </c>
      <c r="H4" t="s">
        <v>84</v>
      </c>
      <c r="I4" t="s">
        <v>90</v>
      </c>
      <c r="J4" t="s">
        <v>128</v>
      </c>
      <c r="K4" t="s">
        <v>53</v>
      </c>
      <c r="L4">
        <v>3</v>
      </c>
      <c r="M4">
        <v>3</v>
      </c>
      <c r="N4">
        <v>3</v>
      </c>
      <c r="O4" t="s">
        <v>112</v>
      </c>
      <c r="P4" t="s">
        <v>55</v>
      </c>
      <c r="Q4" t="s">
        <v>97</v>
      </c>
      <c r="R4" t="s">
        <v>115</v>
      </c>
      <c r="S4" t="s">
        <v>56</v>
      </c>
      <c r="T4">
        <v>3</v>
      </c>
      <c r="V4">
        <v>3</v>
      </c>
      <c r="W4" t="s">
        <v>57</v>
      </c>
      <c r="X4" t="s">
        <v>121</v>
      </c>
      <c r="Y4" t="s">
        <v>85</v>
      </c>
      <c r="Z4" t="s">
        <v>125</v>
      </c>
      <c r="AA4" t="s">
        <v>45</v>
      </c>
      <c r="AB4">
        <v>1</v>
      </c>
      <c r="AD4">
        <v>2</v>
      </c>
      <c r="AE4" t="s">
        <v>86</v>
      </c>
      <c r="AF4" t="s">
        <v>76</v>
      </c>
      <c r="AG4" t="s">
        <v>102</v>
      </c>
      <c r="AI4">
        <v>0</v>
      </c>
      <c r="AJ4">
        <v>51</v>
      </c>
    </row>
    <row r="5" spans="1:36" x14ac:dyDescent="0.25">
      <c r="A5" t="s">
        <v>1229</v>
      </c>
      <c r="B5">
        <v>3</v>
      </c>
      <c r="C5" t="s">
        <v>53</v>
      </c>
      <c r="D5">
        <v>3</v>
      </c>
      <c r="E5">
        <v>3</v>
      </c>
      <c r="F5">
        <v>3</v>
      </c>
      <c r="G5" t="s">
        <v>112</v>
      </c>
      <c r="H5" t="s">
        <v>83</v>
      </c>
      <c r="I5" t="s">
        <v>97</v>
      </c>
      <c r="J5" t="s">
        <v>115</v>
      </c>
      <c r="K5" t="s">
        <v>56</v>
      </c>
      <c r="L5">
        <v>3</v>
      </c>
      <c r="N5">
        <v>3</v>
      </c>
      <c r="O5" t="s">
        <v>120</v>
      </c>
      <c r="P5" t="s">
        <v>69</v>
      </c>
      <c r="Q5" t="s">
        <v>85</v>
      </c>
      <c r="R5" t="s">
        <v>125</v>
      </c>
      <c r="S5" t="s">
        <v>48</v>
      </c>
      <c r="T5">
        <v>3</v>
      </c>
      <c r="V5">
        <v>3</v>
      </c>
      <c r="W5" t="s">
        <v>126</v>
      </c>
      <c r="X5" t="s">
        <v>84</v>
      </c>
      <c r="Y5" t="s">
        <v>90</v>
      </c>
      <c r="Z5" t="s">
        <v>128</v>
      </c>
      <c r="AA5" t="s">
        <v>63</v>
      </c>
      <c r="AB5">
        <v>3</v>
      </c>
      <c r="AD5">
        <v>3</v>
      </c>
      <c r="AE5" t="s">
        <v>145</v>
      </c>
      <c r="AF5" t="s">
        <v>91</v>
      </c>
      <c r="AG5" t="s">
        <v>148</v>
      </c>
      <c r="AH5" t="s">
        <v>151</v>
      </c>
      <c r="AI5">
        <v>0</v>
      </c>
      <c r="AJ5">
        <v>68</v>
      </c>
    </row>
    <row r="6" spans="1:36" x14ac:dyDescent="0.25">
      <c r="A6" t="s">
        <v>1230</v>
      </c>
      <c r="B6">
        <v>4</v>
      </c>
      <c r="C6" t="s">
        <v>56</v>
      </c>
      <c r="D6">
        <v>3</v>
      </c>
      <c r="F6">
        <v>3</v>
      </c>
      <c r="G6" t="s">
        <v>57</v>
      </c>
      <c r="H6" t="s">
        <v>69</v>
      </c>
      <c r="I6" t="s">
        <v>85</v>
      </c>
      <c r="J6" t="s">
        <v>125</v>
      </c>
      <c r="K6" t="s">
        <v>53</v>
      </c>
      <c r="L6">
        <v>3</v>
      </c>
      <c r="M6">
        <v>3</v>
      </c>
      <c r="N6">
        <v>3</v>
      </c>
      <c r="O6" t="s">
        <v>112</v>
      </c>
      <c r="P6" t="s">
        <v>83</v>
      </c>
      <c r="Q6" t="s">
        <v>97</v>
      </c>
      <c r="R6" t="s">
        <v>115</v>
      </c>
      <c r="S6" t="s">
        <v>48</v>
      </c>
      <c r="T6">
        <v>3</v>
      </c>
      <c r="V6">
        <v>3</v>
      </c>
      <c r="W6" t="s">
        <v>126</v>
      </c>
      <c r="X6" t="s">
        <v>84</v>
      </c>
      <c r="Y6" t="s">
        <v>90</v>
      </c>
      <c r="Z6" t="s">
        <v>128</v>
      </c>
      <c r="AA6" t="s">
        <v>38</v>
      </c>
      <c r="AB6">
        <v>3</v>
      </c>
      <c r="AC6">
        <v>3</v>
      </c>
      <c r="AD6">
        <v>3</v>
      </c>
      <c r="AE6" t="s">
        <v>39</v>
      </c>
      <c r="AF6" t="s">
        <v>40</v>
      </c>
      <c r="AG6" t="s">
        <v>153</v>
      </c>
      <c r="AH6" t="s">
        <v>156</v>
      </c>
      <c r="AI6">
        <v>0</v>
      </c>
      <c r="AJ6">
        <v>66</v>
      </c>
    </row>
    <row r="7" spans="1:36" x14ac:dyDescent="0.25">
      <c r="A7" t="s">
        <v>1161</v>
      </c>
      <c r="B7">
        <v>5</v>
      </c>
      <c r="C7" t="s">
        <v>227</v>
      </c>
      <c r="D7">
        <v>3</v>
      </c>
      <c r="E7">
        <v>3</v>
      </c>
      <c r="F7">
        <v>3</v>
      </c>
      <c r="G7" t="s">
        <v>228</v>
      </c>
      <c r="H7" t="s">
        <v>231</v>
      </c>
      <c r="I7" t="s">
        <v>235</v>
      </c>
      <c r="J7" t="s">
        <v>238</v>
      </c>
      <c r="K7" t="s">
        <v>53</v>
      </c>
      <c r="L7">
        <v>3</v>
      </c>
      <c r="M7">
        <v>3</v>
      </c>
      <c r="N7">
        <v>3</v>
      </c>
      <c r="O7" t="s">
        <v>112</v>
      </c>
      <c r="P7" t="s">
        <v>83</v>
      </c>
      <c r="Q7" t="s">
        <v>97</v>
      </c>
      <c r="R7" t="s">
        <v>115</v>
      </c>
      <c r="S7" t="s">
        <v>56</v>
      </c>
      <c r="T7">
        <v>3</v>
      </c>
      <c r="V7">
        <v>3</v>
      </c>
      <c r="W7" t="s">
        <v>120</v>
      </c>
      <c r="X7" t="s">
        <v>121</v>
      </c>
      <c r="Y7" t="s">
        <v>85</v>
      </c>
      <c r="Z7" t="s">
        <v>125</v>
      </c>
      <c r="AA7" t="s">
        <v>48</v>
      </c>
      <c r="AB7">
        <v>3</v>
      </c>
      <c r="AD7">
        <v>3</v>
      </c>
      <c r="AE7" t="s">
        <v>126</v>
      </c>
      <c r="AF7" t="s">
        <v>84</v>
      </c>
      <c r="AG7" t="s">
        <v>90</v>
      </c>
      <c r="AH7" t="s">
        <v>128</v>
      </c>
      <c r="AI7">
        <v>0</v>
      </c>
      <c r="AJ7">
        <v>51</v>
      </c>
    </row>
    <row r="8" spans="1:36" x14ac:dyDescent="0.25">
      <c r="A8" t="s">
        <v>1231</v>
      </c>
      <c r="B8">
        <v>6</v>
      </c>
      <c r="C8" t="s">
        <v>56</v>
      </c>
      <c r="D8">
        <v>3</v>
      </c>
      <c r="F8">
        <v>3</v>
      </c>
      <c r="G8" t="s">
        <v>120</v>
      </c>
      <c r="H8" t="s">
        <v>69</v>
      </c>
      <c r="I8" t="s">
        <v>87</v>
      </c>
      <c r="K8" t="s">
        <v>53</v>
      </c>
      <c r="L8">
        <v>1</v>
      </c>
      <c r="M8">
        <v>3</v>
      </c>
      <c r="N8">
        <v>1</v>
      </c>
      <c r="O8" t="s">
        <v>112</v>
      </c>
      <c r="S8" t="s">
        <v>33</v>
      </c>
      <c r="T8">
        <v>1</v>
      </c>
      <c r="V8">
        <v>3</v>
      </c>
      <c r="W8" t="s">
        <v>34</v>
      </c>
      <c r="X8" t="s">
        <v>130</v>
      </c>
      <c r="Y8" t="s">
        <v>131</v>
      </c>
      <c r="Z8" t="s">
        <v>37</v>
      </c>
      <c r="AA8" t="s">
        <v>43</v>
      </c>
      <c r="AB8">
        <v>3</v>
      </c>
      <c r="AD8">
        <v>3</v>
      </c>
      <c r="AE8" t="s">
        <v>135</v>
      </c>
      <c r="AF8" t="s">
        <v>74</v>
      </c>
      <c r="AG8" t="s">
        <v>75</v>
      </c>
      <c r="AI8">
        <v>0</v>
      </c>
      <c r="AJ8">
        <v>23</v>
      </c>
    </row>
    <row r="9" spans="1:36" x14ac:dyDescent="0.25">
      <c r="A9" t="s">
        <v>1162</v>
      </c>
      <c r="B9">
        <v>7</v>
      </c>
      <c r="C9" t="s">
        <v>45</v>
      </c>
      <c r="D9">
        <v>3</v>
      </c>
      <c r="F9">
        <v>3</v>
      </c>
      <c r="G9" t="s">
        <v>86</v>
      </c>
      <c r="H9" t="s">
        <v>76</v>
      </c>
      <c r="I9" t="s">
        <v>142</v>
      </c>
      <c r="J9" t="s">
        <v>144</v>
      </c>
      <c r="K9" t="s">
        <v>53</v>
      </c>
      <c r="L9">
        <v>1</v>
      </c>
      <c r="M9">
        <v>3</v>
      </c>
      <c r="N9">
        <v>1</v>
      </c>
      <c r="O9" t="s">
        <v>112</v>
      </c>
      <c r="S9" t="s">
        <v>56</v>
      </c>
      <c r="T9">
        <v>3</v>
      </c>
      <c r="V9">
        <v>3</v>
      </c>
      <c r="W9" t="s">
        <v>120</v>
      </c>
      <c r="X9" t="s">
        <v>69</v>
      </c>
      <c r="Y9" t="s">
        <v>87</v>
      </c>
      <c r="Z9" t="s">
        <v>125</v>
      </c>
      <c r="AA9" t="s">
        <v>33</v>
      </c>
      <c r="AB9">
        <v>3</v>
      </c>
      <c r="AD9">
        <v>3</v>
      </c>
      <c r="AE9" t="s">
        <v>34</v>
      </c>
      <c r="AF9" t="s">
        <v>130</v>
      </c>
      <c r="AG9" t="s">
        <v>132</v>
      </c>
      <c r="AH9" t="s">
        <v>37</v>
      </c>
      <c r="AI9">
        <v>0</v>
      </c>
      <c r="AJ9">
        <v>28</v>
      </c>
    </row>
    <row r="10" spans="1:36" x14ac:dyDescent="0.25">
      <c r="A10" t="s">
        <v>1163</v>
      </c>
      <c r="B10">
        <v>8</v>
      </c>
      <c r="C10" t="s">
        <v>33</v>
      </c>
      <c r="D10">
        <v>3</v>
      </c>
      <c r="F10">
        <v>3</v>
      </c>
      <c r="G10" t="s">
        <v>34</v>
      </c>
      <c r="H10" t="s">
        <v>66</v>
      </c>
      <c r="I10" t="s">
        <v>132</v>
      </c>
      <c r="J10" t="s">
        <v>133</v>
      </c>
      <c r="K10" t="s">
        <v>53</v>
      </c>
      <c r="L10">
        <v>1</v>
      </c>
      <c r="M10">
        <v>3</v>
      </c>
      <c r="N10">
        <v>2</v>
      </c>
      <c r="O10" t="s">
        <v>112</v>
      </c>
      <c r="S10" t="s">
        <v>56</v>
      </c>
      <c r="T10">
        <v>3</v>
      </c>
      <c r="V10">
        <v>3</v>
      </c>
      <c r="W10" t="s">
        <v>120</v>
      </c>
      <c r="X10" t="s">
        <v>122</v>
      </c>
      <c r="Y10" t="s">
        <v>87</v>
      </c>
      <c r="Z10" t="s">
        <v>88</v>
      </c>
      <c r="AA10" t="s">
        <v>63</v>
      </c>
      <c r="AB10">
        <v>2</v>
      </c>
      <c r="AD10">
        <v>2</v>
      </c>
      <c r="AE10" t="s">
        <v>145</v>
      </c>
      <c r="AF10" t="s">
        <v>146</v>
      </c>
      <c r="AG10" t="s">
        <v>148</v>
      </c>
      <c r="AH10" t="s">
        <v>150</v>
      </c>
      <c r="AI10">
        <v>0</v>
      </c>
      <c r="AJ10">
        <v>27</v>
      </c>
    </row>
    <row r="11" spans="1:36" x14ac:dyDescent="0.25">
      <c r="A11" t="s">
        <v>1232</v>
      </c>
      <c r="B11">
        <v>9</v>
      </c>
      <c r="C11" t="s">
        <v>56</v>
      </c>
      <c r="D11">
        <v>3</v>
      </c>
      <c r="F11">
        <v>3</v>
      </c>
      <c r="G11" t="s">
        <v>120</v>
      </c>
      <c r="H11" t="s">
        <v>69</v>
      </c>
      <c r="I11" t="s">
        <v>87</v>
      </c>
      <c r="J11" t="s">
        <v>125</v>
      </c>
      <c r="K11" t="s">
        <v>53</v>
      </c>
      <c r="L11">
        <v>1</v>
      </c>
      <c r="M11">
        <v>3</v>
      </c>
      <c r="N11">
        <v>3</v>
      </c>
      <c r="O11" t="s">
        <v>112</v>
      </c>
      <c r="P11" t="s">
        <v>83</v>
      </c>
      <c r="S11" t="s">
        <v>33</v>
      </c>
      <c r="T11">
        <v>3</v>
      </c>
      <c r="V11">
        <v>3</v>
      </c>
      <c r="W11" t="s">
        <v>34</v>
      </c>
      <c r="X11" t="s">
        <v>130</v>
      </c>
      <c r="Y11" t="s">
        <v>131</v>
      </c>
      <c r="Z11" t="s">
        <v>133</v>
      </c>
      <c r="AA11" t="s">
        <v>38</v>
      </c>
      <c r="AB11">
        <v>2</v>
      </c>
      <c r="AC11">
        <v>3</v>
      </c>
      <c r="AD11">
        <v>3</v>
      </c>
      <c r="AE11" t="s">
        <v>39</v>
      </c>
      <c r="AF11" t="s">
        <v>96</v>
      </c>
      <c r="AG11" t="s">
        <v>153</v>
      </c>
      <c r="AH11" t="s">
        <v>156</v>
      </c>
      <c r="AI11">
        <v>0</v>
      </c>
      <c r="AJ11">
        <v>35</v>
      </c>
    </row>
    <row r="12" spans="1:36" x14ac:dyDescent="0.25">
      <c r="A12" t="s">
        <v>1164</v>
      </c>
      <c r="B12">
        <v>10</v>
      </c>
      <c r="C12" t="s">
        <v>33</v>
      </c>
      <c r="D12">
        <v>3</v>
      </c>
      <c r="F12">
        <v>3</v>
      </c>
      <c r="G12" t="s">
        <v>34</v>
      </c>
      <c r="H12" t="s">
        <v>130</v>
      </c>
      <c r="I12" t="s">
        <v>132</v>
      </c>
      <c r="J12" t="s">
        <v>37</v>
      </c>
      <c r="K12" t="s">
        <v>53</v>
      </c>
      <c r="L12">
        <v>2</v>
      </c>
      <c r="M12">
        <v>3</v>
      </c>
      <c r="N12">
        <v>3</v>
      </c>
      <c r="O12" t="s">
        <v>112</v>
      </c>
      <c r="S12" t="s">
        <v>56</v>
      </c>
      <c r="T12">
        <v>3</v>
      </c>
      <c r="V12">
        <v>2</v>
      </c>
      <c r="W12" t="s">
        <v>120</v>
      </c>
      <c r="X12" t="s">
        <v>69</v>
      </c>
      <c r="Y12" t="s">
        <v>87</v>
      </c>
      <c r="Z12" t="s">
        <v>88</v>
      </c>
      <c r="AA12" t="s">
        <v>227</v>
      </c>
      <c r="AB12">
        <v>2</v>
      </c>
      <c r="AC12">
        <v>3</v>
      </c>
      <c r="AD12">
        <v>2</v>
      </c>
      <c r="AE12" t="s">
        <v>228</v>
      </c>
      <c r="AF12" t="s">
        <v>233</v>
      </c>
      <c r="AG12" t="s">
        <v>234</v>
      </c>
      <c r="AH12" t="s">
        <v>238</v>
      </c>
      <c r="AI12">
        <v>0</v>
      </c>
      <c r="AJ12">
        <v>30</v>
      </c>
    </row>
    <row r="13" spans="1:36" x14ac:dyDescent="0.25">
      <c r="A13" t="s">
        <v>1165</v>
      </c>
      <c r="B13">
        <v>11</v>
      </c>
      <c r="C13" t="s">
        <v>53</v>
      </c>
      <c r="D13">
        <v>3</v>
      </c>
      <c r="E13">
        <v>3</v>
      </c>
      <c r="F13">
        <v>3</v>
      </c>
      <c r="G13" t="s">
        <v>112</v>
      </c>
      <c r="H13" t="s">
        <v>83</v>
      </c>
      <c r="I13" t="s">
        <v>105</v>
      </c>
      <c r="J13" t="s">
        <v>115</v>
      </c>
      <c r="K13" t="s">
        <v>56</v>
      </c>
      <c r="L13">
        <v>3</v>
      </c>
      <c r="N13">
        <v>3</v>
      </c>
      <c r="O13" t="s">
        <v>120</v>
      </c>
      <c r="P13" t="s">
        <v>69</v>
      </c>
      <c r="Q13" t="s">
        <v>87</v>
      </c>
      <c r="R13" t="s">
        <v>125</v>
      </c>
      <c r="S13" t="s">
        <v>43</v>
      </c>
      <c r="T13">
        <v>3</v>
      </c>
      <c r="V13">
        <v>3</v>
      </c>
      <c r="W13" t="s">
        <v>73</v>
      </c>
      <c r="X13" t="s">
        <v>74</v>
      </c>
      <c r="Y13" t="s">
        <v>100</v>
      </c>
      <c r="Z13" t="s">
        <v>139</v>
      </c>
      <c r="AA13" t="s">
        <v>45</v>
      </c>
      <c r="AB13">
        <v>3</v>
      </c>
      <c r="AD13">
        <v>3</v>
      </c>
      <c r="AE13" t="s">
        <v>86</v>
      </c>
      <c r="AF13" t="s">
        <v>141</v>
      </c>
      <c r="AG13" t="s">
        <v>142</v>
      </c>
      <c r="AH13" t="s">
        <v>94</v>
      </c>
      <c r="AI13">
        <v>0</v>
      </c>
      <c r="AJ13">
        <v>51</v>
      </c>
    </row>
    <row r="14" spans="1:36" x14ac:dyDescent="0.25">
      <c r="A14" t="s">
        <v>1233</v>
      </c>
      <c r="B14">
        <v>12</v>
      </c>
      <c r="C14" t="s">
        <v>56</v>
      </c>
      <c r="D14">
        <v>3</v>
      </c>
      <c r="F14">
        <v>3</v>
      </c>
      <c r="G14" t="s">
        <v>120</v>
      </c>
      <c r="H14" t="s">
        <v>121</v>
      </c>
      <c r="I14" t="s">
        <v>87</v>
      </c>
      <c r="J14" t="s">
        <v>88</v>
      </c>
      <c r="K14" t="s">
        <v>53</v>
      </c>
      <c r="L14">
        <v>3</v>
      </c>
      <c r="M14">
        <v>3</v>
      </c>
      <c r="N14">
        <v>3</v>
      </c>
      <c r="O14" t="s">
        <v>112</v>
      </c>
      <c r="P14" t="s">
        <v>83</v>
      </c>
      <c r="Q14" t="s">
        <v>97</v>
      </c>
      <c r="R14" t="s">
        <v>115</v>
      </c>
      <c r="S14" t="s">
        <v>43</v>
      </c>
      <c r="T14">
        <v>3</v>
      </c>
      <c r="V14">
        <v>3</v>
      </c>
      <c r="W14" t="s">
        <v>73</v>
      </c>
      <c r="X14" t="s">
        <v>136</v>
      </c>
      <c r="Y14" t="s">
        <v>100</v>
      </c>
      <c r="Z14" t="s">
        <v>101</v>
      </c>
      <c r="AA14" t="s">
        <v>63</v>
      </c>
      <c r="AB14">
        <v>3</v>
      </c>
      <c r="AD14">
        <v>2</v>
      </c>
      <c r="AE14" t="s">
        <v>103</v>
      </c>
      <c r="AF14" t="s">
        <v>91</v>
      </c>
      <c r="AG14" t="s">
        <v>148</v>
      </c>
      <c r="AH14" t="s">
        <v>151</v>
      </c>
      <c r="AI14">
        <v>0</v>
      </c>
      <c r="AJ14">
        <v>37</v>
      </c>
    </row>
    <row r="15" spans="1:36" x14ac:dyDescent="0.25">
      <c r="A15" t="s">
        <v>1234</v>
      </c>
      <c r="B15">
        <v>13</v>
      </c>
      <c r="C15" t="s">
        <v>38</v>
      </c>
      <c r="D15">
        <v>3</v>
      </c>
      <c r="E15">
        <v>3</v>
      </c>
      <c r="F15">
        <v>3</v>
      </c>
      <c r="G15" t="s">
        <v>39</v>
      </c>
      <c r="H15" t="s">
        <v>40</v>
      </c>
      <c r="I15" t="s">
        <v>41</v>
      </c>
      <c r="J15" t="s">
        <v>156</v>
      </c>
      <c r="K15" t="s">
        <v>53</v>
      </c>
      <c r="L15">
        <v>3</v>
      </c>
      <c r="M15">
        <v>3</v>
      </c>
      <c r="N15">
        <v>3</v>
      </c>
      <c r="O15" t="s">
        <v>112</v>
      </c>
      <c r="P15" t="s">
        <v>83</v>
      </c>
      <c r="Q15" t="s">
        <v>97</v>
      </c>
      <c r="R15" t="s">
        <v>115</v>
      </c>
      <c r="S15" t="s">
        <v>56</v>
      </c>
      <c r="T15">
        <v>3</v>
      </c>
      <c r="V15">
        <v>3</v>
      </c>
      <c r="W15" t="s">
        <v>120</v>
      </c>
      <c r="X15" t="s">
        <v>121</v>
      </c>
      <c r="Y15" t="s">
        <v>123</v>
      </c>
      <c r="Z15" t="s">
        <v>124</v>
      </c>
      <c r="AA15" t="s">
        <v>43</v>
      </c>
      <c r="AB15">
        <v>3</v>
      </c>
      <c r="AD15">
        <v>3</v>
      </c>
      <c r="AE15" t="s">
        <v>73</v>
      </c>
      <c r="AF15" t="s">
        <v>74</v>
      </c>
      <c r="AG15" t="s">
        <v>100</v>
      </c>
      <c r="AH15" t="s">
        <v>139</v>
      </c>
      <c r="AI15">
        <v>0</v>
      </c>
      <c r="AJ15">
        <v>49</v>
      </c>
    </row>
    <row r="16" spans="1:36" x14ac:dyDescent="0.25">
      <c r="A16" s="39" t="s">
        <v>1166</v>
      </c>
      <c r="B16">
        <v>14</v>
      </c>
      <c r="C16" t="s">
        <v>227</v>
      </c>
      <c r="D16">
        <v>3</v>
      </c>
      <c r="E16">
        <v>3</v>
      </c>
      <c r="F16">
        <v>3</v>
      </c>
      <c r="G16" t="s">
        <v>228</v>
      </c>
      <c r="H16" t="s">
        <v>232</v>
      </c>
      <c r="I16" t="s">
        <v>235</v>
      </c>
      <c r="J16" t="s">
        <v>238</v>
      </c>
      <c r="K16" t="s">
        <v>53</v>
      </c>
      <c r="L16">
        <v>3</v>
      </c>
      <c r="M16">
        <v>3</v>
      </c>
      <c r="N16">
        <v>3</v>
      </c>
      <c r="O16" t="s">
        <v>112</v>
      </c>
      <c r="P16" t="s">
        <v>83</v>
      </c>
      <c r="Q16" t="s">
        <v>97</v>
      </c>
      <c r="R16" t="s">
        <v>115</v>
      </c>
      <c r="S16" t="s">
        <v>56</v>
      </c>
      <c r="T16">
        <v>3</v>
      </c>
      <c r="V16">
        <v>3</v>
      </c>
      <c r="W16" t="s">
        <v>120</v>
      </c>
      <c r="X16" t="s">
        <v>69</v>
      </c>
      <c r="Y16" t="s">
        <v>87</v>
      </c>
      <c r="Z16" t="s">
        <v>88</v>
      </c>
      <c r="AA16" t="s">
        <v>43</v>
      </c>
      <c r="AB16">
        <v>3</v>
      </c>
      <c r="AD16">
        <v>3</v>
      </c>
      <c r="AE16" t="s">
        <v>73</v>
      </c>
      <c r="AF16" t="s">
        <v>99</v>
      </c>
      <c r="AG16" t="s">
        <v>75</v>
      </c>
      <c r="AH16" t="s">
        <v>101</v>
      </c>
      <c r="AI16">
        <v>0</v>
      </c>
      <c r="AJ16">
        <v>56</v>
      </c>
    </row>
    <row r="17" spans="1:36" x14ac:dyDescent="0.25">
      <c r="A17" t="s">
        <v>1235</v>
      </c>
      <c r="B17">
        <v>15</v>
      </c>
      <c r="C17" t="s">
        <v>53</v>
      </c>
      <c r="D17">
        <v>3</v>
      </c>
      <c r="E17">
        <v>3</v>
      </c>
      <c r="F17">
        <v>3</v>
      </c>
      <c r="G17" t="s">
        <v>112</v>
      </c>
      <c r="H17" t="s">
        <v>83</v>
      </c>
      <c r="I17" t="s">
        <v>97</v>
      </c>
      <c r="J17" t="s">
        <v>98</v>
      </c>
      <c r="K17" t="s">
        <v>56</v>
      </c>
      <c r="L17">
        <v>3</v>
      </c>
      <c r="N17">
        <v>3</v>
      </c>
      <c r="O17" t="s">
        <v>120</v>
      </c>
      <c r="P17" t="s">
        <v>69</v>
      </c>
      <c r="Q17" t="s">
        <v>87</v>
      </c>
      <c r="R17" t="s">
        <v>124</v>
      </c>
      <c r="S17" t="s">
        <v>45</v>
      </c>
      <c r="T17">
        <v>3</v>
      </c>
      <c r="V17">
        <v>3</v>
      </c>
      <c r="W17" t="s">
        <v>86</v>
      </c>
      <c r="X17" t="s">
        <v>141</v>
      </c>
      <c r="Y17" t="s">
        <v>93</v>
      </c>
      <c r="Z17" t="s">
        <v>144</v>
      </c>
      <c r="AA17" t="s">
        <v>63</v>
      </c>
      <c r="AB17">
        <v>3</v>
      </c>
      <c r="AD17">
        <v>3</v>
      </c>
      <c r="AE17" t="s">
        <v>103</v>
      </c>
      <c r="AF17" t="s">
        <v>91</v>
      </c>
      <c r="AG17" t="s">
        <v>148</v>
      </c>
      <c r="AH17" t="s">
        <v>151</v>
      </c>
      <c r="AI17">
        <v>0</v>
      </c>
      <c r="AJ17">
        <v>59</v>
      </c>
    </row>
    <row r="18" spans="1:36" x14ac:dyDescent="0.25">
      <c r="A18" t="s">
        <v>1167</v>
      </c>
      <c r="B18">
        <v>16</v>
      </c>
      <c r="C18" t="s">
        <v>53</v>
      </c>
      <c r="D18">
        <v>3</v>
      </c>
      <c r="E18">
        <v>3</v>
      </c>
      <c r="F18">
        <v>3</v>
      </c>
      <c r="G18" t="s">
        <v>112</v>
      </c>
      <c r="H18" t="s">
        <v>83</v>
      </c>
      <c r="I18" t="s">
        <v>97</v>
      </c>
      <c r="J18" t="s">
        <v>115</v>
      </c>
      <c r="K18" t="s">
        <v>56</v>
      </c>
      <c r="L18">
        <v>3</v>
      </c>
      <c r="N18">
        <v>3</v>
      </c>
      <c r="O18" t="s">
        <v>120</v>
      </c>
      <c r="P18" t="s">
        <v>69</v>
      </c>
      <c r="Q18" t="s">
        <v>87</v>
      </c>
      <c r="R18" t="s">
        <v>124</v>
      </c>
      <c r="S18" t="s">
        <v>45</v>
      </c>
      <c r="T18">
        <v>3</v>
      </c>
      <c r="V18">
        <v>3</v>
      </c>
      <c r="W18" t="s">
        <v>47</v>
      </c>
      <c r="X18" t="s">
        <v>76</v>
      </c>
      <c r="Y18" t="s">
        <v>93</v>
      </c>
      <c r="Z18" t="s">
        <v>94</v>
      </c>
      <c r="AA18" t="s">
        <v>38</v>
      </c>
      <c r="AB18">
        <v>3</v>
      </c>
      <c r="AC18">
        <v>3</v>
      </c>
      <c r="AD18">
        <v>3</v>
      </c>
      <c r="AE18" t="s">
        <v>39</v>
      </c>
      <c r="AF18" t="s">
        <v>40</v>
      </c>
      <c r="AG18" t="s">
        <v>153</v>
      </c>
      <c r="AH18" t="s">
        <v>156</v>
      </c>
      <c r="AI18">
        <v>0</v>
      </c>
      <c r="AJ18">
        <v>55</v>
      </c>
    </row>
    <row r="19" spans="1:36" x14ac:dyDescent="0.25">
      <c r="A19" t="s">
        <v>1236</v>
      </c>
      <c r="B19">
        <v>17</v>
      </c>
      <c r="C19" t="s">
        <v>227</v>
      </c>
      <c r="D19">
        <v>3</v>
      </c>
      <c r="E19">
        <v>3</v>
      </c>
      <c r="F19">
        <v>3</v>
      </c>
      <c r="G19" t="s">
        <v>228</v>
      </c>
      <c r="H19" t="s">
        <v>233</v>
      </c>
      <c r="I19" t="s">
        <v>235</v>
      </c>
      <c r="J19" t="s">
        <v>238</v>
      </c>
      <c r="K19" t="s">
        <v>53</v>
      </c>
      <c r="L19">
        <v>3</v>
      </c>
      <c r="M19">
        <v>3</v>
      </c>
      <c r="N19">
        <v>3</v>
      </c>
      <c r="O19" t="s">
        <v>112</v>
      </c>
      <c r="P19" t="s">
        <v>83</v>
      </c>
      <c r="Q19" t="s">
        <v>97</v>
      </c>
      <c r="R19" t="s">
        <v>98</v>
      </c>
      <c r="S19" t="s">
        <v>56</v>
      </c>
      <c r="T19">
        <v>3</v>
      </c>
      <c r="V19">
        <v>3</v>
      </c>
      <c r="W19" t="s">
        <v>68</v>
      </c>
      <c r="X19" t="s">
        <v>69</v>
      </c>
      <c r="Y19" t="s">
        <v>87</v>
      </c>
      <c r="Z19" t="s">
        <v>88</v>
      </c>
      <c r="AA19" t="s">
        <v>45</v>
      </c>
      <c r="AB19">
        <v>3</v>
      </c>
      <c r="AD19">
        <v>1</v>
      </c>
      <c r="AE19" t="s">
        <v>47</v>
      </c>
      <c r="AF19" t="s">
        <v>141</v>
      </c>
      <c r="AG19" t="s">
        <v>93</v>
      </c>
      <c r="AH19" t="s">
        <v>144</v>
      </c>
      <c r="AI19">
        <v>0</v>
      </c>
      <c r="AJ19">
        <v>50</v>
      </c>
    </row>
    <row r="20" spans="1:36" x14ac:dyDescent="0.25">
      <c r="A20" t="s">
        <v>1168</v>
      </c>
      <c r="B20">
        <v>18</v>
      </c>
      <c r="C20" t="s">
        <v>56</v>
      </c>
      <c r="D20">
        <v>3</v>
      </c>
      <c r="F20">
        <v>3</v>
      </c>
      <c r="G20" t="s">
        <v>120</v>
      </c>
      <c r="H20" t="s">
        <v>121</v>
      </c>
      <c r="I20" t="s">
        <v>123</v>
      </c>
      <c r="J20" t="s">
        <v>88</v>
      </c>
      <c r="K20" t="s">
        <v>53</v>
      </c>
      <c r="L20">
        <v>3</v>
      </c>
      <c r="M20">
        <v>3</v>
      </c>
      <c r="N20">
        <v>3</v>
      </c>
      <c r="O20" t="s">
        <v>112</v>
      </c>
      <c r="P20" t="s">
        <v>83</v>
      </c>
      <c r="Q20" t="s">
        <v>97</v>
      </c>
      <c r="R20" t="s">
        <v>115</v>
      </c>
      <c r="S20" t="s">
        <v>63</v>
      </c>
      <c r="T20">
        <v>3</v>
      </c>
      <c r="V20">
        <v>3</v>
      </c>
      <c r="W20" t="s">
        <v>103</v>
      </c>
      <c r="X20" t="s">
        <v>91</v>
      </c>
      <c r="Y20" t="s">
        <v>148</v>
      </c>
      <c r="Z20" t="s">
        <v>151</v>
      </c>
      <c r="AA20" t="s">
        <v>38</v>
      </c>
      <c r="AB20">
        <v>3</v>
      </c>
      <c r="AC20">
        <v>3</v>
      </c>
      <c r="AD20">
        <v>3</v>
      </c>
      <c r="AE20" t="s">
        <v>39</v>
      </c>
      <c r="AF20" t="s">
        <v>40</v>
      </c>
      <c r="AG20" t="s">
        <v>41</v>
      </c>
      <c r="AH20" t="s">
        <v>156</v>
      </c>
      <c r="AI20">
        <v>0</v>
      </c>
      <c r="AJ20">
        <v>70</v>
      </c>
    </row>
    <row r="21" spans="1:36" x14ac:dyDescent="0.25">
      <c r="A21" t="s">
        <v>1169</v>
      </c>
      <c r="B21">
        <v>19</v>
      </c>
      <c r="C21" t="s">
        <v>53</v>
      </c>
      <c r="D21">
        <v>3</v>
      </c>
      <c r="E21">
        <v>3</v>
      </c>
      <c r="F21">
        <v>3</v>
      </c>
      <c r="G21" t="s">
        <v>112</v>
      </c>
      <c r="H21" t="s">
        <v>83</v>
      </c>
      <c r="I21" t="s">
        <v>97</v>
      </c>
      <c r="J21" t="s">
        <v>115</v>
      </c>
      <c r="K21" t="s">
        <v>56</v>
      </c>
      <c r="L21">
        <v>3</v>
      </c>
      <c r="N21">
        <v>3</v>
      </c>
      <c r="O21" t="s">
        <v>120</v>
      </c>
      <c r="P21" t="s">
        <v>69</v>
      </c>
      <c r="Q21" t="s">
        <v>123</v>
      </c>
      <c r="R21" t="s">
        <v>88</v>
      </c>
      <c r="S21" t="s">
        <v>63</v>
      </c>
      <c r="T21">
        <v>3</v>
      </c>
      <c r="V21">
        <v>3</v>
      </c>
      <c r="W21" t="s">
        <v>103</v>
      </c>
      <c r="X21" t="s">
        <v>91</v>
      </c>
      <c r="Y21" t="s">
        <v>148</v>
      </c>
      <c r="Z21" t="s">
        <v>151</v>
      </c>
      <c r="AA21" t="s">
        <v>227</v>
      </c>
      <c r="AB21">
        <v>3</v>
      </c>
      <c r="AC21">
        <v>3</v>
      </c>
      <c r="AD21">
        <v>3</v>
      </c>
      <c r="AE21" t="s">
        <v>229</v>
      </c>
      <c r="AF21" t="s">
        <v>233</v>
      </c>
      <c r="AG21" t="s">
        <v>235</v>
      </c>
      <c r="AH21" t="s">
        <v>238</v>
      </c>
      <c r="AI21">
        <v>0</v>
      </c>
      <c r="AJ21">
        <v>56</v>
      </c>
    </row>
    <row r="22" spans="1:36" x14ac:dyDescent="0.25">
      <c r="A22" t="s">
        <v>1237</v>
      </c>
      <c r="B22">
        <v>20</v>
      </c>
      <c r="C22" t="s">
        <v>38</v>
      </c>
      <c r="D22">
        <v>3</v>
      </c>
      <c r="E22">
        <v>3</v>
      </c>
      <c r="F22">
        <v>3</v>
      </c>
      <c r="G22" t="s">
        <v>39</v>
      </c>
      <c r="H22" t="s">
        <v>70</v>
      </c>
      <c r="I22" t="s">
        <v>153</v>
      </c>
      <c r="J22" t="s">
        <v>42</v>
      </c>
      <c r="K22" t="s">
        <v>53</v>
      </c>
      <c r="L22">
        <v>1</v>
      </c>
      <c r="M22">
        <v>3</v>
      </c>
      <c r="N22">
        <v>3</v>
      </c>
      <c r="O22" t="s">
        <v>112</v>
      </c>
      <c r="P22" t="s">
        <v>83</v>
      </c>
      <c r="Q22" t="s">
        <v>97</v>
      </c>
      <c r="S22" t="s">
        <v>56</v>
      </c>
      <c r="T22">
        <v>3</v>
      </c>
      <c r="V22">
        <v>3</v>
      </c>
      <c r="W22" t="s">
        <v>120</v>
      </c>
      <c r="X22" t="s">
        <v>69</v>
      </c>
      <c r="Y22" t="s">
        <v>87</v>
      </c>
      <c r="Z22" t="s">
        <v>125</v>
      </c>
      <c r="AA22" t="s">
        <v>227</v>
      </c>
      <c r="AB22">
        <v>3</v>
      </c>
      <c r="AC22">
        <v>3</v>
      </c>
      <c r="AD22">
        <v>3</v>
      </c>
      <c r="AE22" t="s">
        <v>228</v>
      </c>
      <c r="AF22" t="s">
        <v>233</v>
      </c>
      <c r="AG22" t="s">
        <v>235</v>
      </c>
      <c r="AH22" t="s">
        <v>238</v>
      </c>
      <c r="AI22">
        <v>0</v>
      </c>
      <c r="AJ22">
        <v>52</v>
      </c>
    </row>
    <row r="23" spans="1:36" x14ac:dyDescent="0.25">
      <c r="A23" t="s">
        <v>1238</v>
      </c>
      <c r="B23">
        <v>21</v>
      </c>
      <c r="C23" t="s">
        <v>33</v>
      </c>
      <c r="D23">
        <v>3</v>
      </c>
      <c r="F23">
        <v>3</v>
      </c>
      <c r="G23" t="s">
        <v>34</v>
      </c>
      <c r="H23" t="s">
        <v>130</v>
      </c>
      <c r="I23" t="s">
        <v>131</v>
      </c>
      <c r="J23" t="s">
        <v>37</v>
      </c>
      <c r="K23" t="s">
        <v>53</v>
      </c>
      <c r="L23">
        <v>1</v>
      </c>
      <c r="M23">
        <v>3</v>
      </c>
      <c r="N23">
        <v>3</v>
      </c>
      <c r="O23" t="s">
        <v>112</v>
      </c>
      <c r="P23" t="s">
        <v>83</v>
      </c>
      <c r="Q23" t="s">
        <v>97</v>
      </c>
      <c r="S23" t="s">
        <v>48</v>
      </c>
      <c r="T23">
        <v>3</v>
      </c>
      <c r="V23">
        <v>1</v>
      </c>
      <c r="W23" t="s">
        <v>126</v>
      </c>
      <c r="X23" t="s">
        <v>84</v>
      </c>
      <c r="Y23" t="s">
        <v>90</v>
      </c>
      <c r="AA23" t="s">
        <v>43</v>
      </c>
      <c r="AB23">
        <v>3</v>
      </c>
      <c r="AD23">
        <v>3</v>
      </c>
      <c r="AE23" t="s">
        <v>73</v>
      </c>
      <c r="AF23" t="s">
        <v>136</v>
      </c>
      <c r="AG23" t="s">
        <v>100</v>
      </c>
      <c r="AH23" t="s">
        <v>101</v>
      </c>
      <c r="AI23">
        <v>0</v>
      </c>
      <c r="AJ23">
        <v>29</v>
      </c>
    </row>
    <row r="24" spans="1:36" x14ac:dyDescent="0.25">
      <c r="A24" t="s">
        <v>1170</v>
      </c>
      <c r="B24">
        <v>22</v>
      </c>
      <c r="C24" t="s">
        <v>48</v>
      </c>
      <c r="D24">
        <v>3</v>
      </c>
      <c r="F24">
        <v>3</v>
      </c>
      <c r="G24" t="s">
        <v>126</v>
      </c>
      <c r="H24" t="s">
        <v>84</v>
      </c>
      <c r="I24" t="s">
        <v>127</v>
      </c>
      <c r="J24" t="s">
        <v>128</v>
      </c>
      <c r="K24" t="s">
        <v>53</v>
      </c>
      <c r="L24">
        <v>1</v>
      </c>
      <c r="M24">
        <v>3</v>
      </c>
      <c r="N24">
        <v>3</v>
      </c>
      <c r="O24" t="s">
        <v>112</v>
      </c>
      <c r="P24" t="s">
        <v>83</v>
      </c>
      <c r="Q24" t="s">
        <v>97</v>
      </c>
      <c r="S24" t="s">
        <v>33</v>
      </c>
      <c r="T24">
        <v>3</v>
      </c>
      <c r="V24">
        <v>3</v>
      </c>
      <c r="W24" t="s">
        <v>34</v>
      </c>
      <c r="X24" t="s">
        <v>130</v>
      </c>
      <c r="Y24" t="s">
        <v>131</v>
      </c>
      <c r="Z24" t="s">
        <v>133</v>
      </c>
      <c r="AA24" t="s">
        <v>45</v>
      </c>
      <c r="AB24">
        <v>3</v>
      </c>
      <c r="AD24">
        <v>3</v>
      </c>
      <c r="AE24" t="s">
        <v>47</v>
      </c>
      <c r="AF24" t="s">
        <v>76</v>
      </c>
      <c r="AG24" t="s">
        <v>142</v>
      </c>
      <c r="AH24" t="s">
        <v>94</v>
      </c>
      <c r="AI24">
        <v>0</v>
      </c>
      <c r="AJ24">
        <v>35</v>
      </c>
    </row>
    <row r="25" spans="1:36" x14ac:dyDescent="0.25">
      <c r="A25" t="s">
        <v>1239</v>
      </c>
      <c r="B25">
        <v>23</v>
      </c>
      <c r="C25" t="s">
        <v>63</v>
      </c>
      <c r="D25">
        <v>3</v>
      </c>
      <c r="F25">
        <v>3</v>
      </c>
      <c r="G25" t="s">
        <v>145</v>
      </c>
      <c r="H25" t="s">
        <v>91</v>
      </c>
      <c r="I25" t="s">
        <v>148</v>
      </c>
      <c r="J25" t="s">
        <v>151</v>
      </c>
      <c r="K25" t="s">
        <v>53</v>
      </c>
      <c r="L25">
        <v>1</v>
      </c>
      <c r="M25">
        <v>3</v>
      </c>
      <c r="N25">
        <v>3</v>
      </c>
      <c r="O25" t="s">
        <v>112</v>
      </c>
      <c r="P25" t="s">
        <v>83</v>
      </c>
      <c r="Q25" t="s">
        <v>97</v>
      </c>
      <c r="R25" t="s">
        <v>98</v>
      </c>
      <c r="S25" t="s">
        <v>48</v>
      </c>
      <c r="T25">
        <v>2</v>
      </c>
      <c r="V25">
        <v>2</v>
      </c>
      <c r="W25" t="s">
        <v>126</v>
      </c>
      <c r="X25" t="s">
        <v>84</v>
      </c>
      <c r="Y25" t="s">
        <v>127</v>
      </c>
      <c r="AA25" t="s">
        <v>33</v>
      </c>
      <c r="AB25">
        <v>3</v>
      </c>
      <c r="AD25">
        <v>3</v>
      </c>
      <c r="AE25" t="s">
        <v>34</v>
      </c>
      <c r="AF25" t="s">
        <v>130</v>
      </c>
      <c r="AG25" t="s">
        <v>132</v>
      </c>
      <c r="AH25" t="s">
        <v>133</v>
      </c>
      <c r="AI25">
        <v>0</v>
      </c>
      <c r="AJ25">
        <v>33</v>
      </c>
    </row>
    <row r="26" spans="1:36" x14ac:dyDescent="0.25">
      <c r="A26" t="s">
        <v>1171</v>
      </c>
      <c r="B26">
        <v>24</v>
      </c>
      <c r="C26" t="s">
        <v>33</v>
      </c>
      <c r="D26">
        <v>3</v>
      </c>
      <c r="F26">
        <v>3</v>
      </c>
      <c r="G26" t="s">
        <v>34</v>
      </c>
      <c r="H26" t="s">
        <v>130</v>
      </c>
      <c r="I26" t="s">
        <v>132</v>
      </c>
      <c r="J26" t="s">
        <v>133</v>
      </c>
      <c r="K26" t="s">
        <v>53</v>
      </c>
      <c r="L26">
        <v>3</v>
      </c>
      <c r="M26">
        <v>3</v>
      </c>
      <c r="N26">
        <v>3</v>
      </c>
      <c r="O26" t="s">
        <v>112</v>
      </c>
      <c r="P26" t="s">
        <v>83</v>
      </c>
      <c r="Q26" t="s">
        <v>97</v>
      </c>
      <c r="R26" t="s">
        <v>115</v>
      </c>
      <c r="S26" t="s">
        <v>48</v>
      </c>
      <c r="T26">
        <v>3</v>
      </c>
      <c r="V26">
        <v>3</v>
      </c>
      <c r="W26" t="s">
        <v>126</v>
      </c>
      <c r="X26" t="s">
        <v>84</v>
      </c>
      <c r="Y26" t="s">
        <v>90</v>
      </c>
      <c r="Z26" t="s">
        <v>128</v>
      </c>
      <c r="AA26" t="s">
        <v>38</v>
      </c>
      <c r="AB26">
        <v>3</v>
      </c>
      <c r="AC26">
        <v>3</v>
      </c>
      <c r="AD26">
        <v>3</v>
      </c>
      <c r="AE26" t="s">
        <v>39</v>
      </c>
      <c r="AF26" t="s">
        <v>40</v>
      </c>
      <c r="AG26" t="s">
        <v>41</v>
      </c>
      <c r="AH26" t="s">
        <v>156</v>
      </c>
      <c r="AI26">
        <v>0</v>
      </c>
      <c r="AJ26">
        <v>47</v>
      </c>
    </row>
    <row r="27" spans="1:36" x14ac:dyDescent="0.25">
      <c r="A27" t="s">
        <v>1172</v>
      </c>
      <c r="B27">
        <v>25</v>
      </c>
      <c r="C27" t="s">
        <v>33</v>
      </c>
      <c r="D27">
        <v>3</v>
      </c>
      <c r="F27">
        <v>3</v>
      </c>
      <c r="G27" t="s">
        <v>34</v>
      </c>
      <c r="H27" t="s">
        <v>130</v>
      </c>
      <c r="I27" t="s">
        <v>132</v>
      </c>
      <c r="J27" t="s">
        <v>133</v>
      </c>
      <c r="K27" t="s">
        <v>53</v>
      </c>
      <c r="L27">
        <v>2</v>
      </c>
      <c r="M27">
        <v>3</v>
      </c>
      <c r="N27">
        <v>3</v>
      </c>
      <c r="O27" t="s">
        <v>112</v>
      </c>
      <c r="P27" t="s">
        <v>83</v>
      </c>
      <c r="Q27" t="s">
        <v>97</v>
      </c>
      <c r="S27" t="s">
        <v>48</v>
      </c>
      <c r="T27">
        <v>3</v>
      </c>
      <c r="V27">
        <v>1</v>
      </c>
      <c r="W27" t="s">
        <v>126</v>
      </c>
      <c r="X27" t="s">
        <v>84</v>
      </c>
      <c r="Y27" t="s">
        <v>127</v>
      </c>
      <c r="AA27" t="s">
        <v>227</v>
      </c>
      <c r="AB27">
        <v>1</v>
      </c>
      <c r="AC27">
        <v>3</v>
      </c>
      <c r="AD27">
        <v>3</v>
      </c>
      <c r="AE27" t="s">
        <v>228</v>
      </c>
      <c r="AF27" t="s">
        <v>232</v>
      </c>
      <c r="AG27" t="s">
        <v>234</v>
      </c>
      <c r="AI27">
        <v>0</v>
      </c>
      <c r="AJ27">
        <v>30</v>
      </c>
    </row>
    <row r="28" spans="1:36" x14ac:dyDescent="0.25">
      <c r="A28" t="s">
        <v>1240</v>
      </c>
      <c r="B28">
        <v>26</v>
      </c>
      <c r="C28" t="s">
        <v>48</v>
      </c>
      <c r="D28">
        <v>3</v>
      </c>
      <c r="F28">
        <v>3</v>
      </c>
      <c r="G28" t="s">
        <v>126</v>
      </c>
      <c r="H28" t="s">
        <v>84</v>
      </c>
      <c r="I28" t="s">
        <v>90</v>
      </c>
      <c r="J28" t="s">
        <v>52</v>
      </c>
      <c r="K28" t="s">
        <v>53</v>
      </c>
      <c r="L28">
        <v>3</v>
      </c>
      <c r="M28">
        <v>3</v>
      </c>
      <c r="N28">
        <v>3</v>
      </c>
      <c r="O28" t="s">
        <v>112</v>
      </c>
      <c r="P28" t="s">
        <v>55</v>
      </c>
      <c r="Q28" t="s">
        <v>97</v>
      </c>
      <c r="R28" t="s">
        <v>98</v>
      </c>
      <c r="S28" t="s">
        <v>43</v>
      </c>
      <c r="T28">
        <v>1</v>
      </c>
      <c r="V28">
        <v>1</v>
      </c>
      <c r="W28" t="s">
        <v>135</v>
      </c>
      <c r="X28" t="s">
        <v>136</v>
      </c>
      <c r="Y28" t="s">
        <v>137</v>
      </c>
      <c r="Z28" t="s">
        <v>101</v>
      </c>
      <c r="AA28" t="s">
        <v>45</v>
      </c>
      <c r="AB28">
        <v>3</v>
      </c>
      <c r="AD28">
        <v>3</v>
      </c>
      <c r="AE28" t="s">
        <v>86</v>
      </c>
      <c r="AF28" t="s">
        <v>141</v>
      </c>
      <c r="AG28" t="s">
        <v>102</v>
      </c>
      <c r="AH28" t="s">
        <v>143</v>
      </c>
      <c r="AI28">
        <v>0</v>
      </c>
      <c r="AJ28">
        <v>52</v>
      </c>
    </row>
    <row r="29" spans="1:36" x14ac:dyDescent="0.25">
      <c r="A29" t="s">
        <v>1173</v>
      </c>
      <c r="B29">
        <v>27</v>
      </c>
      <c r="C29" t="s">
        <v>63</v>
      </c>
      <c r="D29">
        <v>3</v>
      </c>
      <c r="F29">
        <v>3</v>
      </c>
      <c r="G29" t="s">
        <v>145</v>
      </c>
      <c r="H29" t="s">
        <v>91</v>
      </c>
      <c r="I29" t="s">
        <v>148</v>
      </c>
      <c r="J29" t="s">
        <v>151</v>
      </c>
      <c r="K29" t="s">
        <v>53</v>
      </c>
      <c r="L29">
        <v>3</v>
      </c>
      <c r="M29">
        <v>3</v>
      </c>
      <c r="N29">
        <v>3</v>
      </c>
      <c r="O29" t="s">
        <v>112</v>
      </c>
      <c r="P29" t="s">
        <v>55</v>
      </c>
      <c r="Q29" t="s">
        <v>97</v>
      </c>
      <c r="R29" t="s">
        <v>115</v>
      </c>
      <c r="S29" t="s">
        <v>48</v>
      </c>
      <c r="T29">
        <v>3</v>
      </c>
      <c r="V29">
        <v>3</v>
      </c>
      <c r="W29" t="s">
        <v>126</v>
      </c>
      <c r="X29" t="s">
        <v>84</v>
      </c>
      <c r="Y29" t="s">
        <v>90</v>
      </c>
      <c r="Z29" t="s">
        <v>52</v>
      </c>
      <c r="AA29" t="s">
        <v>43</v>
      </c>
      <c r="AB29">
        <v>3</v>
      </c>
      <c r="AD29">
        <v>3</v>
      </c>
      <c r="AE29" t="s">
        <v>135</v>
      </c>
      <c r="AF29" t="s">
        <v>74</v>
      </c>
      <c r="AG29" t="s">
        <v>100</v>
      </c>
      <c r="AH29" t="s">
        <v>139</v>
      </c>
      <c r="AI29">
        <v>0</v>
      </c>
      <c r="AJ29">
        <v>66</v>
      </c>
    </row>
    <row r="30" spans="1:36" x14ac:dyDescent="0.25">
      <c r="A30" t="s">
        <v>1174</v>
      </c>
      <c r="B30">
        <v>28</v>
      </c>
      <c r="C30" t="s">
        <v>43</v>
      </c>
      <c r="D30">
        <v>3</v>
      </c>
      <c r="F30">
        <v>1</v>
      </c>
      <c r="G30" t="s">
        <v>73</v>
      </c>
      <c r="H30" t="s">
        <v>74</v>
      </c>
      <c r="I30" t="s">
        <v>75</v>
      </c>
      <c r="J30" t="s">
        <v>139</v>
      </c>
      <c r="K30" t="s">
        <v>53</v>
      </c>
      <c r="L30">
        <v>3</v>
      </c>
      <c r="M30">
        <v>3</v>
      </c>
      <c r="N30">
        <v>3</v>
      </c>
      <c r="O30" t="s">
        <v>112</v>
      </c>
      <c r="P30" t="s">
        <v>55</v>
      </c>
      <c r="Q30" t="s">
        <v>97</v>
      </c>
      <c r="R30" t="s">
        <v>98</v>
      </c>
      <c r="S30" t="s">
        <v>48</v>
      </c>
      <c r="T30">
        <v>3</v>
      </c>
      <c r="V30">
        <v>3</v>
      </c>
      <c r="W30" t="s">
        <v>126</v>
      </c>
      <c r="X30" t="s">
        <v>84</v>
      </c>
      <c r="Y30" t="s">
        <v>90</v>
      </c>
      <c r="Z30" t="s">
        <v>128</v>
      </c>
      <c r="AA30" t="s">
        <v>38</v>
      </c>
      <c r="AB30">
        <v>2</v>
      </c>
      <c r="AC30">
        <v>1</v>
      </c>
      <c r="AD30">
        <v>2</v>
      </c>
      <c r="AE30" t="s">
        <v>39</v>
      </c>
      <c r="AF30" t="s">
        <v>40</v>
      </c>
      <c r="AG30" t="s">
        <v>41</v>
      </c>
      <c r="AH30" t="s">
        <v>155</v>
      </c>
      <c r="AI30">
        <v>0</v>
      </c>
      <c r="AJ30">
        <v>52</v>
      </c>
    </row>
    <row r="31" spans="1:36" x14ac:dyDescent="0.25">
      <c r="A31" t="s">
        <v>1175</v>
      </c>
      <c r="B31">
        <v>29</v>
      </c>
      <c r="C31" t="s">
        <v>53</v>
      </c>
      <c r="D31">
        <v>3</v>
      </c>
      <c r="E31">
        <v>3</v>
      </c>
      <c r="F31">
        <v>3</v>
      </c>
      <c r="G31" t="s">
        <v>112</v>
      </c>
      <c r="H31" t="s">
        <v>83</v>
      </c>
      <c r="I31" t="s">
        <v>97</v>
      </c>
      <c r="J31" t="s">
        <v>115</v>
      </c>
      <c r="K31" t="s">
        <v>48</v>
      </c>
      <c r="L31">
        <v>3</v>
      </c>
      <c r="N31">
        <v>3</v>
      </c>
      <c r="O31" t="s">
        <v>126</v>
      </c>
      <c r="P31" t="s">
        <v>84</v>
      </c>
      <c r="Q31" t="s">
        <v>90</v>
      </c>
      <c r="R31" t="s">
        <v>128</v>
      </c>
      <c r="S31" t="s">
        <v>43</v>
      </c>
      <c r="T31">
        <v>3</v>
      </c>
      <c r="V31">
        <v>3</v>
      </c>
      <c r="W31" t="s">
        <v>73</v>
      </c>
      <c r="X31" t="s">
        <v>136</v>
      </c>
      <c r="Y31" t="s">
        <v>100</v>
      </c>
      <c r="Z31" t="s">
        <v>101</v>
      </c>
      <c r="AA31" t="s">
        <v>227</v>
      </c>
      <c r="AB31">
        <v>3</v>
      </c>
      <c r="AC31">
        <v>3</v>
      </c>
      <c r="AD31">
        <v>3</v>
      </c>
      <c r="AE31" t="s">
        <v>229</v>
      </c>
      <c r="AF31" t="s">
        <v>232</v>
      </c>
      <c r="AG31" t="s">
        <v>235</v>
      </c>
      <c r="AH31" t="s">
        <v>239</v>
      </c>
      <c r="AI31">
        <v>0</v>
      </c>
      <c r="AJ31">
        <v>67</v>
      </c>
    </row>
    <row r="32" spans="1:36" x14ac:dyDescent="0.25">
      <c r="A32" t="s">
        <v>1241</v>
      </c>
      <c r="B32">
        <v>30</v>
      </c>
      <c r="C32" t="s">
        <v>63</v>
      </c>
      <c r="D32">
        <v>3</v>
      </c>
      <c r="F32">
        <v>3</v>
      </c>
      <c r="G32" t="s">
        <v>103</v>
      </c>
      <c r="H32" t="s">
        <v>91</v>
      </c>
      <c r="I32" t="s">
        <v>148</v>
      </c>
      <c r="J32" t="s">
        <v>151</v>
      </c>
      <c r="K32" t="s">
        <v>53</v>
      </c>
      <c r="L32">
        <v>3</v>
      </c>
      <c r="M32">
        <v>3</v>
      </c>
      <c r="N32">
        <v>3</v>
      </c>
      <c r="O32" t="s">
        <v>112</v>
      </c>
      <c r="P32" t="s">
        <v>83</v>
      </c>
      <c r="Q32" t="s">
        <v>97</v>
      </c>
      <c r="R32" t="s">
        <v>115</v>
      </c>
      <c r="S32" t="s">
        <v>48</v>
      </c>
      <c r="T32">
        <v>3</v>
      </c>
      <c r="V32">
        <v>3</v>
      </c>
      <c r="W32" t="s">
        <v>126</v>
      </c>
      <c r="X32" t="s">
        <v>84</v>
      </c>
      <c r="Y32" t="s">
        <v>90</v>
      </c>
      <c r="Z32" t="s">
        <v>128</v>
      </c>
      <c r="AA32" t="s">
        <v>45</v>
      </c>
      <c r="AB32">
        <v>3</v>
      </c>
      <c r="AD32">
        <v>3</v>
      </c>
      <c r="AE32" t="s">
        <v>47</v>
      </c>
      <c r="AF32" t="s">
        <v>141</v>
      </c>
      <c r="AG32" t="s">
        <v>93</v>
      </c>
      <c r="AH32" t="s">
        <v>143</v>
      </c>
      <c r="AI32">
        <v>0</v>
      </c>
      <c r="AJ32">
        <v>65</v>
      </c>
    </row>
    <row r="33" spans="1:36" x14ac:dyDescent="0.25">
      <c r="A33" t="s">
        <v>1242</v>
      </c>
      <c r="B33">
        <v>31</v>
      </c>
      <c r="C33" t="s">
        <v>53</v>
      </c>
      <c r="D33">
        <v>3</v>
      </c>
      <c r="E33">
        <v>3</v>
      </c>
      <c r="F33">
        <v>3</v>
      </c>
      <c r="G33" t="s">
        <v>112</v>
      </c>
      <c r="H33" t="s">
        <v>55</v>
      </c>
      <c r="I33" t="s">
        <v>97</v>
      </c>
      <c r="J33" t="s">
        <v>115</v>
      </c>
      <c r="K33" t="s">
        <v>48</v>
      </c>
      <c r="L33">
        <v>3</v>
      </c>
      <c r="N33">
        <v>3</v>
      </c>
      <c r="O33" t="s">
        <v>126</v>
      </c>
      <c r="P33" t="s">
        <v>84</v>
      </c>
      <c r="Q33" t="s">
        <v>90</v>
      </c>
      <c r="R33" t="s">
        <v>128</v>
      </c>
      <c r="S33" t="s">
        <v>45</v>
      </c>
      <c r="T33">
        <v>3</v>
      </c>
      <c r="V33">
        <v>3</v>
      </c>
      <c r="W33" t="s">
        <v>86</v>
      </c>
      <c r="X33" t="s">
        <v>141</v>
      </c>
      <c r="Y33" t="s">
        <v>142</v>
      </c>
      <c r="Z33" t="s">
        <v>144</v>
      </c>
      <c r="AA33" t="s">
        <v>38</v>
      </c>
      <c r="AB33">
        <v>2</v>
      </c>
      <c r="AC33">
        <v>2</v>
      </c>
      <c r="AD33">
        <v>1</v>
      </c>
      <c r="AE33" t="s">
        <v>39</v>
      </c>
      <c r="AF33" t="s">
        <v>40</v>
      </c>
      <c r="AG33" t="s">
        <v>41</v>
      </c>
      <c r="AH33" t="s">
        <v>42</v>
      </c>
      <c r="AI33">
        <v>0</v>
      </c>
      <c r="AJ33">
        <v>57</v>
      </c>
    </row>
    <row r="34" spans="1:36" x14ac:dyDescent="0.25">
      <c r="A34" t="s">
        <v>1176</v>
      </c>
      <c r="B34">
        <v>32</v>
      </c>
      <c r="C34" t="s">
        <v>227</v>
      </c>
      <c r="D34">
        <v>3</v>
      </c>
      <c r="E34">
        <v>3</v>
      </c>
      <c r="F34">
        <v>3</v>
      </c>
      <c r="G34" t="s">
        <v>228</v>
      </c>
      <c r="H34" t="s">
        <v>232</v>
      </c>
      <c r="I34" t="s">
        <v>235</v>
      </c>
      <c r="J34" t="s">
        <v>238</v>
      </c>
      <c r="K34" t="s">
        <v>53</v>
      </c>
      <c r="L34">
        <v>3</v>
      </c>
      <c r="M34">
        <v>3</v>
      </c>
      <c r="N34">
        <v>3</v>
      </c>
      <c r="O34" t="s">
        <v>112</v>
      </c>
      <c r="P34" t="s">
        <v>83</v>
      </c>
      <c r="Q34" t="s">
        <v>97</v>
      </c>
      <c r="R34" t="s">
        <v>115</v>
      </c>
      <c r="S34" t="s">
        <v>48</v>
      </c>
      <c r="T34">
        <v>3</v>
      </c>
      <c r="V34">
        <v>3</v>
      </c>
      <c r="W34" t="s">
        <v>126</v>
      </c>
      <c r="X34" t="s">
        <v>84</v>
      </c>
      <c r="Y34" t="s">
        <v>90</v>
      </c>
      <c r="Z34" t="s">
        <v>128</v>
      </c>
      <c r="AA34" t="s">
        <v>45</v>
      </c>
      <c r="AB34">
        <v>3</v>
      </c>
      <c r="AD34">
        <v>3</v>
      </c>
      <c r="AE34" t="s">
        <v>86</v>
      </c>
      <c r="AF34" t="s">
        <v>76</v>
      </c>
      <c r="AG34" t="s">
        <v>102</v>
      </c>
      <c r="AH34" t="s">
        <v>94</v>
      </c>
      <c r="AI34">
        <v>0</v>
      </c>
      <c r="AJ34">
        <v>65</v>
      </c>
    </row>
    <row r="35" spans="1:36" x14ac:dyDescent="0.25">
      <c r="A35" t="s">
        <v>1177</v>
      </c>
      <c r="B35">
        <v>33</v>
      </c>
      <c r="C35" t="s">
        <v>53</v>
      </c>
      <c r="D35">
        <v>3</v>
      </c>
      <c r="E35">
        <v>3</v>
      </c>
      <c r="F35">
        <v>3</v>
      </c>
      <c r="G35" t="s">
        <v>112</v>
      </c>
      <c r="H35" t="s">
        <v>83</v>
      </c>
      <c r="I35" t="s">
        <v>97</v>
      </c>
      <c r="J35" t="s">
        <v>115</v>
      </c>
      <c r="K35" t="s">
        <v>48</v>
      </c>
      <c r="L35">
        <v>3</v>
      </c>
      <c r="N35">
        <v>3</v>
      </c>
      <c r="O35" t="s">
        <v>126</v>
      </c>
      <c r="P35" t="s">
        <v>84</v>
      </c>
      <c r="Q35" t="s">
        <v>90</v>
      </c>
      <c r="R35" t="s">
        <v>128</v>
      </c>
      <c r="S35" t="s">
        <v>63</v>
      </c>
      <c r="T35">
        <v>3</v>
      </c>
      <c r="V35">
        <v>3</v>
      </c>
      <c r="W35" t="s">
        <v>103</v>
      </c>
      <c r="X35" t="s">
        <v>91</v>
      </c>
      <c r="Y35" t="s">
        <v>148</v>
      </c>
      <c r="Z35" t="s">
        <v>151</v>
      </c>
      <c r="AA35" t="s">
        <v>38</v>
      </c>
      <c r="AB35">
        <v>1</v>
      </c>
      <c r="AC35">
        <v>3</v>
      </c>
      <c r="AD35">
        <v>1</v>
      </c>
      <c r="AE35" t="s">
        <v>39</v>
      </c>
      <c r="AF35" t="s">
        <v>96</v>
      </c>
      <c r="AG35" t="s">
        <v>153</v>
      </c>
      <c r="AH35" t="s">
        <v>42</v>
      </c>
      <c r="AI35">
        <v>0</v>
      </c>
      <c r="AJ35">
        <v>56</v>
      </c>
    </row>
    <row r="36" spans="1:36" x14ac:dyDescent="0.25">
      <c r="A36" t="s">
        <v>1178</v>
      </c>
      <c r="B36">
        <v>34</v>
      </c>
      <c r="C36" t="s">
        <v>53</v>
      </c>
      <c r="D36">
        <v>3</v>
      </c>
      <c r="E36">
        <v>3</v>
      </c>
      <c r="F36">
        <v>3</v>
      </c>
      <c r="G36" t="s">
        <v>112</v>
      </c>
      <c r="H36" t="s">
        <v>83</v>
      </c>
      <c r="I36" t="s">
        <v>97</v>
      </c>
      <c r="J36" t="s">
        <v>115</v>
      </c>
      <c r="K36" t="s">
        <v>48</v>
      </c>
      <c r="L36">
        <v>3</v>
      </c>
      <c r="N36">
        <v>3</v>
      </c>
      <c r="O36" t="s">
        <v>126</v>
      </c>
      <c r="P36" t="s">
        <v>84</v>
      </c>
      <c r="Q36" t="s">
        <v>127</v>
      </c>
      <c r="R36" t="s">
        <v>128</v>
      </c>
      <c r="S36" t="s">
        <v>63</v>
      </c>
      <c r="T36">
        <v>3</v>
      </c>
      <c r="V36">
        <v>3</v>
      </c>
      <c r="W36" t="s">
        <v>145</v>
      </c>
      <c r="X36" t="s">
        <v>91</v>
      </c>
      <c r="Y36" t="s">
        <v>148</v>
      </c>
      <c r="Z36" t="s">
        <v>151</v>
      </c>
      <c r="AA36" t="s">
        <v>227</v>
      </c>
      <c r="AB36">
        <v>3</v>
      </c>
      <c r="AC36">
        <v>3</v>
      </c>
      <c r="AD36">
        <v>3</v>
      </c>
      <c r="AE36" t="s">
        <v>229</v>
      </c>
      <c r="AF36" t="s">
        <v>231</v>
      </c>
      <c r="AG36" t="s">
        <v>235</v>
      </c>
      <c r="AH36" t="s">
        <v>238</v>
      </c>
      <c r="AI36">
        <v>0</v>
      </c>
      <c r="AJ36">
        <v>61</v>
      </c>
    </row>
    <row r="37" spans="1:36" x14ac:dyDescent="0.25">
      <c r="A37" t="s">
        <v>1179</v>
      </c>
      <c r="B37">
        <v>35</v>
      </c>
      <c r="C37" t="s">
        <v>48</v>
      </c>
      <c r="D37">
        <v>3</v>
      </c>
      <c r="F37">
        <v>3</v>
      </c>
      <c r="G37" t="s">
        <v>126</v>
      </c>
      <c r="H37" t="s">
        <v>84</v>
      </c>
      <c r="I37" t="s">
        <v>127</v>
      </c>
      <c r="J37" t="s">
        <v>128</v>
      </c>
      <c r="K37" t="s">
        <v>53</v>
      </c>
      <c r="L37">
        <v>3</v>
      </c>
      <c r="M37">
        <v>3</v>
      </c>
      <c r="N37">
        <v>3</v>
      </c>
      <c r="O37" t="s">
        <v>112</v>
      </c>
      <c r="P37" t="s">
        <v>83</v>
      </c>
      <c r="Q37" t="s">
        <v>97</v>
      </c>
      <c r="R37" t="s">
        <v>98</v>
      </c>
      <c r="S37" t="s">
        <v>38</v>
      </c>
      <c r="T37">
        <v>3</v>
      </c>
      <c r="U37">
        <v>3</v>
      </c>
      <c r="V37">
        <v>3</v>
      </c>
      <c r="W37" t="s">
        <v>39</v>
      </c>
      <c r="X37" t="s">
        <v>96</v>
      </c>
      <c r="Y37" t="s">
        <v>41</v>
      </c>
      <c r="Z37" t="s">
        <v>156</v>
      </c>
      <c r="AA37" t="s">
        <v>227</v>
      </c>
      <c r="AB37">
        <v>3</v>
      </c>
      <c r="AC37">
        <v>3</v>
      </c>
      <c r="AD37">
        <v>3</v>
      </c>
      <c r="AE37" t="s">
        <v>228</v>
      </c>
      <c r="AF37" t="s">
        <v>231</v>
      </c>
      <c r="AG37" t="s">
        <v>235</v>
      </c>
      <c r="AH37" t="s">
        <v>238</v>
      </c>
      <c r="AI37">
        <v>0</v>
      </c>
      <c r="AJ37">
        <v>62</v>
      </c>
    </row>
    <row r="38" spans="1:36" x14ac:dyDescent="0.25">
      <c r="A38" t="s">
        <v>1180</v>
      </c>
      <c r="B38">
        <v>36</v>
      </c>
      <c r="C38" t="s">
        <v>33</v>
      </c>
      <c r="D38">
        <v>3</v>
      </c>
      <c r="F38">
        <v>3</v>
      </c>
      <c r="G38" t="s">
        <v>34</v>
      </c>
      <c r="H38" t="s">
        <v>130</v>
      </c>
      <c r="I38" t="s">
        <v>131</v>
      </c>
      <c r="J38" t="s">
        <v>133</v>
      </c>
      <c r="K38" t="s">
        <v>53</v>
      </c>
      <c r="L38">
        <v>3</v>
      </c>
      <c r="M38">
        <v>3</v>
      </c>
      <c r="N38">
        <v>3</v>
      </c>
      <c r="O38" t="s">
        <v>112</v>
      </c>
      <c r="P38" t="s">
        <v>83</v>
      </c>
      <c r="Q38" t="s">
        <v>97</v>
      </c>
      <c r="R38" t="s">
        <v>98</v>
      </c>
      <c r="S38" t="s">
        <v>43</v>
      </c>
      <c r="T38">
        <v>1</v>
      </c>
      <c r="V38">
        <v>1</v>
      </c>
      <c r="W38" t="s">
        <v>135</v>
      </c>
      <c r="X38" t="s">
        <v>136</v>
      </c>
      <c r="AA38" t="s">
        <v>45</v>
      </c>
      <c r="AB38">
        <v>3</v>
      </c>
      <c r="AD38">
        <v>3</v>
      </c>
      <c r="AE38" t="s">
        <v>47</v>
      </c>
      <c r="AF38" t="s">
        <v>76</v>
      </c>
      <c r="AG38" t="s">
        <v>142</v>
      </c>
      <c r="AH38" t="s">
        <v>144</v>
      </c>
      <c r="AI38">
        <v>0</v>
      </c>
      <c r="AJ38">
        <v>37</v>
      </c>
    </row>
    <row r="39" spans="1:36" x14ac:dyDescent="0.25">
      <c r="A39" t="s">
        <v>1181</v>
      </c>
      <c r="B39">
        <v>37</v>
      </c>
      <c r="C39" t="s">
        <v>33</v>
      </c>
      <c r="D39">
        <v>3</v>
      </c>
      <c r="F39">
        <v>3</v>
      </c>
      <c r="G39" t="s">
        <v>34</v>
      </c>
      <c r="H39" t="s">
        <v>130</v>
      </c>
      <c r="I39" t="s">
        <v>132</v>
      </c>
      <c r="J39" t="s">
        <v>134</v>
      </c>
      <c r="K39" t="s">
        <v>53</v>
      </c>
      <c r="L39">
        <v>1</v>
      </c>
      <c r="M39">
        <v>3</v>
      </c>
      <c r="N39">
        <v>3</v>
      </c>
      <c r="O39" t="s">
        <v>112</v>
      </c>
      <c r="P39" t="s">
        <v>83</v>
      </c>
      <c r="Q39" t="s">
        <v>97</v>
      </c>
      <c r="S39" t="s">
        <v>43</v>
      </c>
      <c r="T39">
        <v>3</v>
      </c>
      <c r="V39">
        <v>3</v>
      </c>
      <c r="W39" t="s">
        <v>135</v>
      </c>
      <c r="X39" t="s">
        <v>74</v>
      </c>
      <c r="AA39" t="s">
        <v>63</v>
      </c>
      <c r="AB39">
        <v>1</v>
      </c>
      <c r="AD39">
        <v>1</v>
      </c>
      <c r="AE39" t="s">
        <v>145</v>
      </c>
      <c r="AF39" t="s">
        <v>91</v>
      </c>
      <c r="AG39" t="s">
        <v>148</v>
      </c>
      <c r="AH39" t="s">
        <v>151</v>
      </c>
      <c r="AI39">
        <v>0</v>
      </c>
      <c r="AJ39">
        <v>25</v>
      </c>
    </row>
    <row r="40" spans="1:36" x14ac:dyDescent="0.25">
      <c r="A40" t="s">
        <v>1243</v>
      </c>
      <c r="B40">
        <v>38</v>
      </c>
      <c r="C40" t="s">
        <v>43</v>
      </c>
      <c r="D40">
        <v>3</v>
      </c>
      <c r="F40">
        <v>3</v>
      </c>
      <c r="G40" t="s">
        <v>135</v>
      </c>
      <c r="H40" t="s">
        <v>136</v>
      </c>
      <c r="I40" t="s">
        <v>137</v>
      </c>
      <c r="K40" t="s">
        <v>53</v>
      </c>
      <c r="L40">
        <v>1</v>
      </c>
      <c r="M40">
        <v>3</v>
      </c>
      <c r="N40">
        <v>3</v>
      </c>
      <c r="O40" t="s">
        <v>112</v>
      </c>
      <c r="P40" t="s">
        <v>55</v>
      </c>
      <c r="S40" t="s">
        <v>33</v>
      </c>
      <c r="T40">
        <v>3</v>
      </c>
      <c r="V40">
        <v>3</v>
      </c>
      <c r="W40" t="s">
        <v>34</v>
      </c>
      <c r="X40" t="s">
        <v>130</v>
      </c>
      <c r="Y40" t="s">
        <v>131</v>
      </c>
      <c r="AA40" t="s">
        <v>38</v>
      </c>
      <c r="AB40">
        <v>1</v>
      </c>
      <c r="AC40">
        <v>1</v>
      </c>
      <c r="AD40">
        <v>3</v>
      </c>
      <c r="AE40" t="s">
        <v>39</v>
      </c>
      <c r="AF40" t="s">
        <v>96</v>
      </c>
      <c r="AG40" t="s">
        <v>41</v>
      </c>
      <c r="AI40">
        <v>0</v>
      </c>
      <c r="AJ40">
        <v>27</v>
      </c>
    </row>
    <row r="41" spans="1:36" x14ac:dyDescent="0.25">
      <c r="A41" t="s">
        <v>1244</v>
      </c>
      <c r="B41">
        <v>39</v>
      </c>
      <c r="C41" t="s">
        <v>43</v>
      </c>
      <c r="D41">
        <v>3</v>
      </c>
      <c r="F41">
        <v>3</v>
      </c>
      <c r="G41" t="s">
        <v>135</v>
      </c>
      <c r="H41" t="s">
        <v>136</v>
      </c>
      <c r="I41" t="s">
        <v>137</v>
      </c>
      <c r="J41" t="s">
        <v>138</v>
      </c>
      <c r="K41" t="s">
        <v>53</v>
      </c>
      <c r="L41">
        <v>1</v>
      </c>
      <c r="M41">
        <v>3</v>
      </c>
      <c r="N41">
        <v>3</v>
      </c>
      <c r="O41" t="s">
        <v>112</v>
      </c>
      <c r="P41" t="s">
        <v>83</v>
      </c>
      <c r="S41" t="s">
        <v>33</v>
      </c>
      <c r="T41">
        <v>3</v>
      </c>
      <c r="V41">
        <v>3</v>
      </c>
      <c r="W41" t="s">
        <v>34</v>
      </c>
      <c r="X41" t="s">
        <v>130</v>
      </c>
      <c r="Y41" t="s">
        <v>36</v>
      </c>
      <c r="Z41" t="s">
        <v>37</v>
      </c>
      <c r="AA41" t="s">
        <v>227</v>
      </c>
      <c r="AB41">
        <v>2</v>
      </c>
      <c r="AC41">
        <v>2</v>
      </c>
      <c r="AD41">
        <v>3</v>
      </c>
      <c r="AE41" t="s">
        <v>228</v>
      </c>
      <c r="AF41" t="s">
        <v>232</v>
      </c>
      <c r="AG41" t="s">
        <v>235</v>
      </c>
      <c r="AH41" t="s">
        <v>237</v>
      </c>
      <c r="AI41">
        <v>0</v>
      </c>
      <c r="AJ41">
        <v>30</v>
      </c>
    </row>
    <row r="42" spans="1:36" x14ac:dyDescent="0.25">
      <c r="A42" t="s">
        <v>1245</v>
      </c>
      <c r="B42">
        <v>40</v>
      </c>
      <c r="C42" t="s">
        <v>45</v>
      </c>
      <c r="D42">
        <v>3</v>
      </c>
      <c r="F42">
        <v>3</v>
      </c>
      <c r="G42" t="s">
        <v>86</v>
      </c>
      <c r="H42" t="s">
        <v>141</v>
      </c>
      <c r="I42" t="s">
        <v>142</v>
      </c>
      <c r="J42" t="s">
        <v>144</v>
      </c>
      <c r="K42" t="s">
        <v>53</v>
      </c>
      <c r="L42">
        <v>1</v>
      </c>
      <c r="M42">
        <v>3</v>
      </c>
      <c r="N42">
        <v>2</v>
      </c>
      <c r="O42" t="s">
        <v>112</v>
      </c>
      <c r="S42" t="s">
        <v>33</v>
      </c>
      <c r="T42">
        <v>3</v>
      </c>
      <c r="V42">
        <v>3</v>
      </c>
      <c r="W42" t="s">
        <v>34</v>
      </c>
      <c r="X42" t="s">
        <v>130</v>
      </c>
      <c r="Y42" t="s">
        <v>131</v>
      </c>
      <c r="Z42" t="s">
        <v>133</v>
      </c>
      <c r="AA42" t="s">
        <v>63</v>
      </c>
      <c r="AB42">
        <v>2</v>
      </c>
      <c r="AD42">
        <v>3</v>
      </c>
      <c r="AE42" t="s">
        <v>145</v>
      </c>
      <c r="AF42" t="s">
        <v>91</v>
      </c>
      <c r="AG42" t="s">
        <v>148</v>
      </c>
      <c r="AH42" t="s">
        <v>151</v>
      </c>
      <c r="AI42">
        <v>0</v>
      </c>
      <c r="AJ42">
        <v>33</v>
      </c>
    </row>
    <row r="43" spans="1:36" x14ac:dyDescent="0.25">
      <c r="A43" t="s">
        <v>1182</v>
      </c>
      <c r="B43">
        <v>41</v>
      </c>
      <c r="C43" t="s">
        <v>33</v>
      </c>
      <c r="D43">
        <v>3</v>
      </c>
      <c r="F43">
        <v>3</v>
      </c>
      <c r="G43" t="s">
        <v>34</v>
      </c>
      <c r="H43" t="s">
        <v>130</v>
      </c>
      <c r="I43" t="s">
        <v>36</v>
      </c>
      <c r="J43" t="s">
        <v>37</v>
      </c>
      <c r="K43" t="s">
        <v>53</v>
      </c>
      <c r="L43">
        <v>2</v>
      </c>
      <c r="M43">
        <v>3</v>
      </c>
      <c r="N43">
        <v>3</v>
      </c>
      <c r="O43" t="s">
        <v>112</v>
      </c>
      <c r="P43" t="s">
        <v>83</v>
      </c>
      <c r="Q43" t="s">
        <v>97</v>
      </c>
      <c r="R43" t="s">
        <v>115</v>
      </c>
      <c r="S43" t="s">
        <v>45</v>
      </c>
      <c r="T43">
        <v>3</v>
      </c>
      <c r="V43">
        <v>1</v>
      </c>
      <c r="W43" t="s">
        <v>86</v>
      </c>
      <c r="X43" t="s">
        <v>141</v>
      </c>
      <c r="AA43" t="s">
        <v>38</v>
      </c>
      <c r="AB43">
        <v>1</v>
      </c>
      <c r="AC43">
        <v>1</v>
      </c>
      <c r="AD43">
        <v>3</v>
      </c>
      <c r="AE43" t="s">
        <v>39</v>
      </c>
      <c r="AI43">
        <v>0</v>
      </c>
      <c r="AJ43">
        <v>26</v>
      </c>
    </row>
    <row r="44" spans="1:36" x14ac:dyDescent="0.25">
      <c r="A44" t="s">
        <v>1246</v>
      </c>
      <c r="B44">
        <v>42</v>
      </c>
      <c r="C44" t="s">
        <v>227</v>
      </c>
      <c r="D44">
        <v>3</v>
      </c>
      <c r="E44">
        <v>3</v>
      </c>
      <c r="F44">
        <v>3</v>
      </c>
      <c r="G44" t="s">
        <v>228</v>
      </c>
      <c r="H44" t="s">
        <v>232</v>
      </c>
      <c r="I44" t="s">
        <v>235</v>
      </c>
      <c r="J44" t="s">
        <v>239</v>
      </c>
      <c r="K44" t="s">
        <v>53</v>
      </c>
      <c r="L44">
        <v>1</v>
      </c>
      <c r="M44">
        <v>3</v>
      </c>
      <c r="N44">
        <v>3</v>
      </c>
      <c r="O44" t="s">
        <v>112</v>
      </c>
      <c r="P44" t="s">
        <v>83</v>
      </c>
      <c r="Q44" t="s">
        <v>97</v>
      </c>
      <c r="R44" t="s">
        <v>115</v>
      </c>
      <c r="S44" t="s">
        <v>33</v>
      </c>
      <c r="T44">
        <v>3</v>
      </c>
      <c r="V44">
        <v>3</v>
      </c>
      <c r="W44" t="s">
        <v>34</v>
      </c>
      <c r="X44" t="s">
        <v>130</v>
      </c>
      <c r="Y44" t="s">
        <v>132</v>
      </c>
      <c r="Z44" t="s">
        <v>37</v>
      </c>
      <c r="AA44" t="s">
        <v>45</v>
      </c>
      <c r="AB44">
        <v>3</v>
      </c>
      <c r="AD44">
        <v>1</v>
      </c>
      <c r="AE44" t="s">
        <v>47</v>
      </c>
      <c r="AF44" t="s">
        <v>76</v>
      </c>
      <c r="AG44" t="s">
        <v>93</v>
      </c>
      <c r="AH44" t="s">
        <v>143</v>
      </c>
      <c r="AI44">
        <v>0</v>
      </c>
      <c r="AJ44">
        <v>40</v>
      </c>
    </row>
    <row r="45" spans="1:36" x14ac:dyDescent="0.25">
      <c r="A45" t="s">
        <v>1247</v>
      </c>
      <c r="B45">
        <v>43</v>
      </c>
      <c r="C45" t="s">
        <v>33</v>
      </c>
      <c r="D45">
        <v>3</v>
      </c>
      <c r="F45">
        <v>3</v>
      </c>
      <c r="G45" t="s">
        <v>34</v>
      </c>
      <c r="H45" t="s">
        <v>66</v>
      </c>
      <c r="I45" t="s">
        <v>132</v>
      </c>
      <c r="J45" t="s">
        <v>133</v>
      </c>
      <c r="K45" t="s">
        <v>53</v>
      </c>
      <c r="L45">
        <v>2</v>
      </c>
      <c r="M45">
        <v>3</v>
      </c>
      <c r="N45">
        <v>3</v>
      </c>
      <c r="O45" t="s">
        <v>112</v>
      </c>
      <c r="P45" t="s">
        <v>83</v>
      </c>
      <c r="Q45" t="s">
        <v>97</v>
      </c>
      <c r="S45" t="s">
        <v>63</v>
      </c>
      <c r="T45">
        <v>2</v>
      </c>
      <c r="V45">
        <v>2</v>
      </c>
      <c r="W45" t="s">
        <v>145</v>
      </c>
      <c r="X45" t="s">
        <v>91</v>
      </c>
      <c r="Y45" t="s">
        <v>148</v>
      </c>
      <c r="Z45" t="s">
        <v>151</v>
      </c>
      <c r="AA45" t="s">
        <v>38</v>
      </c>
      <c r="AB45">
        <v>3</v>
      </c>
      <c r="AC45">
        <v>3</v>
      </c>
      <c r="AD45">
        <v>3</v>
      </c>
      <c r="AE45" t="s">
        <v>39</v>
      </c>
      <c r="AF45" t="s">
        <v>40</v>
      </c>
      <c r="AG45" t="s">
        <v>153</v>
      </c>
      <c r="AH45" t="s">
        <v>156</v>
      </c>
      <c r="AI45">
        <v>0</v>
      </c>
      <c r="AJ45">
        <v>43</v>
      </c>
    </row>
    <row r="46" spans="1:36" x14ac:dyDescent="0.25">
      <c r="A46" t="s">
        <v>1248</v>
      </c>
      <c r="B46">
        <v>44</v>
      </c>
      <c r="C46" t="s">
        <v>227</v>
      </c>
      <c r="D46">
        <v>2</v>
      </c>
      <c r="E46">
        <v>3</v>
      </c>
      <c r="F46">
        <v>3</v>
      </c>
      <c r="G46" t="s">
        <v>228</v>
      </c>
      <c r="H46" t="s">
        <v>231</v>
      </c>
      <c r="I46" t="s">
        <v>235</v>
      </c>
      <c r="K46" t="s">
        <v>53</v>
      </c>
      <c r="L46">
        <v>1</v>
      </c>
      <c r="M46">
        <v>3</v>
      </c>
      <c r="N46">
        <v>3</v>
      </c>
      <c r="O46" t="s">
        <v>112</v>
      </c>
      <c r="P46" t="s">
        <v>83</v>
      </c>
      <c r="S46" t="s">
        <v>33</v>
      </c>
      <c r="T46">
        <v>3</v>
      </c>
      <c r="V46">
        <v>3</v>
      </c>
      <c r="W46" t="s">
        <v>34</v>
      </c>
      <c r="X46" t="s">
        <v>35</v>
      </c>
      <c r="Y46" t="s">
        <v>132</v>
      </c>
      <c r="Z46" t="s">
        <v>133</v>
      </c>
      <c r="AA46" t="s">
        <v>63</v>
      </c>
      <c r="AB46">
        <v>1</v>
      </c>
      <c r="AD46">
        <v>1</v>
      </c>
      <c r="AE46" t="s">
        <v>145</v>
      </c>
      <c r="AF46" t="s">
        <v>91</v>
      </c>
      <c r="AG46" t="s">
        <v>148</v>
      </c>
      <c r="AH46" t="s">
        <v>151</v>
      </c>
      <c r="AI46">
        <v>0</v>
      </c>
      <c r="AJ46">
        <v>26</v>
      </c>
    </row>
    <row r="47" spans="1:36" x14ac:dyDescent="0.25">
      <c r="A47" t="s">
        <v>1249</v>
      </c>
      <c r="B47">
        <v>45</v>
      </c>
      <c r="C47" t="s">
        <v>33</v>
      </c>
      <c r="D47">
        <v>3</v>
      </c>
      <c r="F47">
        <v>3</v>
      </c>
      <c r="G47" t="s">
        <v>34</v>
      </c>
      <c r="H47" t="s">
        <v>130</v>
      </c>
      <c r="I47" t="s">
        <v>36</v>
      </c>
      <c r="J47" t="s">
        <v>133</v>
      </c>
      <c r="K47" t="s">
        <v>53</v>
      </c>
      <c r="L47">
        <v>1</v>
      </c>
      <c r="M47">
        <v>3</v>
      </c>
      <c r="N47">
        <v>3</v>
      </c>
      <c r="O47" t="s">
        <v>112</v>
      </c>
      <c r="P47" t="s">
        <v>83</v>
      </c>
      <c r="S47" t="s">
        <v>38</v>
      </c>
      <c r="T47">
        <v>2</v>
      </c>
      <c r="U47">
        <v>3</v>
      </c>
      <c r="V47">
        <v>3</v>
      </c>
      <c r="W47" t="s">
        <v>39</v>
      </c>
      <c r="X47" t="s">
        <v>40</v>
      </c>
      <c r="Y47" t="s">
        <v>153</v>
      </c>
      <c r="Z47" t="s">
        <v>156</v>
      </c>
      <c r="AA47" t="s">
        <v>227</v>
      </c>
      <c r="AB47">
        <v>3</v>
      </c>
      <c r="AC47">
        <v>3</v>
      </c>
      <c r="AD47">
        <v>3</v>
      </c>
      <c r="AE47" t="s">
        <v>228</v>
      </c>
      <c r="AF47" t="s">
        <v>232</v>
      </c>
      <c r="AG47" t="s">
        <v>235</v>
      </c>
      <c r="AH47" t="s">
        <v>238</v>
      </c>
      <c r="AI47">
        <v>0</v>
      </c>
      <c r="AJ47">
        <v>36</v>
      </c>
    </row>
    <row r="48" spans="1:36" x14ac:dyDescent="0.25">
      <c r="A48" t="s">
        <v>1183</v>
      </c>
      <c r="B48">
        <v>46</v>
      </c>
      <c r="C48" t="s">
        <v>53</v>
      </c>
      <c r="D48">
        <v>3</v>
      </c>
      <c r="E48">
        <v>3</v>
      </c>
      <c r="F48">
        <v>3</v>
      </c>
      <c r="G48" t="s">
        <v>112</v>
      </c>
      <c r="H48" t="s">
        <v>83</v>
      </c>
      <c r="I48" t="s">
        <v>97</v>
      </c>
      <c r="J48" t="s">
        <v>98</v>
      </c>
      <c r="K48" t="s">
        <v>43</v>
      </c>
      <c r="L48">
        <v>3</v>
      </c>
      <c r="N48">
        <v>3</v>
      </c>
      <c r="O48" t="s">
        <v>73</v>
      </c>
      <c r="P48" t="s">
        <v>136</v>
      </c>
      <c r="Q48" t="s">
        <v>100</v>
      </c>
      <c r="R48" t="s">
        <v>139</v>
      </c>
      <c r="S48" t="s">
        <v>45</v>
      </c>
      <c r="T48">
        <v>3</v>
      </c>
      <c r="V48">
        <v>3</v>
      </c>
      <c r="W48" t="s">
        <v>86</v>
      </c>
      <c r="X48" t="s">
        <v>92</v>
      </c>
      <c r="Y48" t="s">
        <v>93</v>
      </c>
      <c r="Z48" t="s">
        <v>143</v>
      </c>
      <c r="AA48" t="s">
        <v>63</v>
      </c>
      <c r="AB48">
        <v>3</v>
      </c>
      <c r="AD48">
        <v>3</v>
      </c>
      <c r="AE48" t="s">
        <v>103</v>
      </c>
      <c r="AF48" t="s">
        <v>91</v>
      </c>
      <c r="AG48" t="s">
        <v>148</v>
      </c>
      <c r="AH48" t="s">
        <v>151</v>
      </c>
      <c r="AI48">
        <v>0</v>
      </c>
      <c r="AJ48">
        <v>51</v>
      </c>
    </row>
    <row r="49" spans="1:36" x14ac:dyDescent="0.25">
      <c r="A49" t="s">
        <v>1184</v>
      </c>
      <c r="B49">
        <v>47</v>
      </c>
      <c r="C49" t="s">
        <v>53</v>
      </c>
      <c r="D49">
        <v>3</v>
      </c>
      <c r="E49">
        <v>3</v>
      </c>
      <c r="F49">
        <v>3</v>
      </c>
      <c r="G49" t="s">
        <v>112</v>
      </c>
      <c r="H49" t="s">
        <v>55</v>
      </c>
      <c r="I49" t="s">
        <v>97</v>
      </c>
      <c r="J49" t="s">
        <v>115</v>
      </c>
      <c r="K49" t="s">
        <v>43</v>
      </c>
      <c r="L49">
        <v>3</v>
      </c>
      <c r="N49">
        <v>2</v>
      </c>
      <c r="O49" t="s">
        <v>73</v>
      </c>
      <c r="P49" t="s">
        <v>74</v>
      </c>
      <c r="Q49" t="s">
        <v>75</v>
      </c>
      <c r="R49" t="s">
        <v>138</v>
      </c>
      <c r="S49" t="s">
        <v>45</v>
      </c>
      <c r="T49">
        <v>3</v>
      </c>
      <c r="V49">
        <v>3</v>
      </c>
      <c r="W49" t="s">
        <v>47</v>
      </c>
      <c r="X49" t="s">
        <v>141</v>
      </c>
      <c r="Y49" t="s">
        <v>142</v>
      </c>
      <c r="Z49" t="s">
        <v>94</v>
      </c>
      <c r="AA49" t="s">
        <v>38</v>
      </c>
      <c r="AB49">
        <v>3</v>
      </c>
      <c r="AC49">
        <v>3</v>
      </c>
      <c r="AD49">
        <v>3</v>
      </c>
      <c r="AE49" t="s">
        <v>39</v>
      </c>
      <c r="AF49" t="s">
        <v>40</v>
      </c>
      <c r="AG49" t="s">
        <v>153</v>
      </c>
      <c r="AH49" t="s">
        <v>155</v>
      </c>
      <c r="AI49">
        <v>0</v>
      </c>
      <c r="AJ49">
        <v>41</v>
      </c>
    </row>
    <row r="50" spans="1:36" x14ac:dyDescent="0.25">
      <c r="A50" t="s">
        <v>1185</v>
      </c>
      <c r="B50">
        <v>48</v>
      </c>
      <c r="C50" t="s">
        <v>43</v>
      </c>
      <c r="D50">
        <v>3</v>
      </c>
      <c r="F50">
        <v>3</v>
      </c>
      <c r="G50" t="s">
        <v>73</v>
      </c>
      <c r="H50" t="s">
        <v>136</v>
      </c>
      <c r="I50" t="s">
        <v>75</v>
      </c>
      <c r="J50" t="s">
        <v>138</v>
      </c>
      <c r="K50" t="s">
        <v>53</v>
      </c>
      <c r="L50">
        <v>3</v>
      </c>
      <c r="M50">
        <v>3</v>
      </c>
      <c r="N50">
        <v>3</v>
      </c>
      <c r="O50" t="s">
        <v>112</v>
      </c>
      <c r="P50" t="s">
        <v>83</v>
      </c>
      <c r="Q50" t="s">
        <v>97</v>
      </c>
      <c r="R50" t="s">
        <v>98</v>
      </c>
      <c r="S50" t="s">
        <v>45</v>
      </c>
      <c r="T50">
        <v>3</v>
      </c>
      <c r="V50">
        <v>1</v>
      </c>
      <c r="W50" t="s">
        <v>86</v>
      </c>
      <c r="X50" t="s">
        <v>141</v>
      </c>
      <c r="Y50" t="s">
        <v>142</v>
      </c>
      <c r="Z50" t="s">
        <v>143</v>
      </c>
      <c r="AA50" t="s">
        <v>227</v>
      </c>
      <c r="AB50">
        <v>3</v>
      </c>
      <c r="AC50">
        <v>3</v>
      </c>
      <c r="AD50">
        <v>3</v>
      </c>
      <c r="AE50" t="s">
        <v>228</v>
      </c>
      <c r="AF50" t="s">
        <v>231</v>
      </c>
      <c r="AG50" t="s">
        <v>235</v>
      </c>
      <c r="AH50" t="s">
        <v>238</v>
      </c>
      <c r="AI50">
        <v>0</v>
      </c>
      <c r="AJ50">
        <v>44</v>
      </c>
    </row>
    <row r="51" spans="1:36" x14ac:dyDescent="0.25">
      <c r="A51" t="s">
        <v>1186</v>
      </c>
      <c r="B51">
        <v>49</v>
      </c>
      <c r="C51" t="s">
        <v>38</v>
      </c>
      <c r="D51">
        <v>3</v>
      </c>
      <c r="E51">
        <v>3</v>
      </c>
      <c r="F51">
        <v>3</v>
      </c>
      <c r="G51" t="s">
        <v>39</v>
      </c>
      <c r="H51" t="s">
        <v>96</v>
      </c>
      <c r="I51" t="s">
        <v>41</v>
      </c>
      <c r="J51" t="s">
        <v>156</v>
      </c>
      <c r="K51" t="s">
        <v>53</v>
      </c>
      <c r="L51">
        <v>3</v>
      </c>
      <c r="M51">
        <v>3</v>
      </c>
      <c r="N51">
        <v>3</v>
      </c>
      <c r="O51" t="s">
        <v>112</v>
      </c>
      <c r="P51" t="s">
        <v>55</v>
      </c>
      <c r="Q51" t="s">
        <v>97</v>
      </c>
      <c r="S51" t="s">
        <v>43</v>
      </c>
      <c r="T51">
        <v>3</v>
      </c>
      <c r="V51">
        <v>3</v>
      </c>
      <c r="W51" t="s">
        <v>135</v>
      </c>
      <c r="X51" t="s">
        <v>74</v>
      </c>
      <c r="Y51" t="s">
        <v>100</v>
      </c>
      <c r="Z51" t="s">
        <v>139</v>
      </c>
      <c r="AA51" t="s">
        <v>63</v>
      </c>
      <c r="AB51">
        <v>3</v>
      </c>
      <c r="AD51">
        <v>3</v>
      </c>
      <c r="AE51" t="s">
        <v>103</v>
      </c>
      <c r="AF51" t="s">
        <v>91</v>
      </c>
      <c r="AG51" t="s">
        <v>148</v>
      </c>
      <c r="AH51" t="s">
        <v>151</v>
      </c>
      <c r="AI51">
        <v>0</v>
      </c>
      <c r="AJ51">
        <v>51</v>
      </c>
    </row>
    <row r="52" spans="1:36" x14ac:dyDescent="0.25">
      <c r="A52" t="s">
        <v>1187</v>
      </c>
      <c r="B52">
        <v>50</v>
      </c>
      <c r="C52" t="s">
        <v>53</v>
      </c>
      <c r="D52">
        <v>3</v>
      </c>
      <c r="E52">
        <v>3</v>
      </c>
      <c r="F52">
        <v>3</v>
      </c>
      <c r="G52" t="s">
        <v>112</v>
      </c>
      <c r="H52" t="s">
        <v>83</v>
      </c>
      <c r="I52" t="s">
        <v>97</v>
      </c>
      <c r="J52" t="s">
        <v>115</v>
      </c>
      <c r="K52" t="s">
        <v>43</v>
      </c>
      <c r="L52">
        <v>3</v>
      </c>
      <c r="N52">
        <v>3</v>
      </c>
      <c r="O52" t="s">
        <v>73</v>
      </c>
      <c r="P52" t="s">
        <v>136</v>
      </c>
      <c r="Q52" t="s">
        <v>100</v>
      </c>
      <c r="R52" t="s">
        <v>138</v>
      </c>
      <c r="S52" t="s">
        <v>63</v>
      </c>
      <c r="T52">
        <v>3</v>
      </c>
      <c r="V52">
        <v>3</v>
      </c>
      <c r="W52" t="s">
        <v>103</v>
      </c>
      <c r="X52" t="s">
        <v>91</v>
      </c>
      <c r="Y52" t="s">
        <v>148</v>
      </c>
      <c r="Z52" t="s">
        <v>151</v>
      </c>
      <c r="AA52" t="s">
        <v>227</v>
      </c>
      <c r="AB52">
        <v>3</v>
      </c>
      <c r="AC52">
        <v>3</v>
      </c>
      <c r="AD52">
        <v>3</v>
      </c>
      <c r="AE52" t="s">
        <v>229</v>
      </c>
      <c r="AF52" t="s">
        <v>233</v>
      </c>
      <c r="AG52" t="s">
        <v>235</v>
      </c>
      <c r="AH52" t="s">
        <v>237</v>
      </c>
      <c r="AI52">
        <v>0</v>
      </c>
      <c r="AJ52">
        <v>55</v>
      </c>
    </row>
    <row r="53" spans="1:36" x14ac:dyDescent="0.25">
      <c r="A53" t="s">
        <v>1250</v>
      </c>
      <c r="B53">
        <v>51</v>
      </c>
      <c r="C53" t="s">
        <v>227</v>
      </c>
      <c r="D53">
        <v>3</v>
      </c>
      <c r="E53">
        <v>3</v>
      </c>
      <c r="F53">
        <v>3</v>
      </c>
      <c r="G53" t="s">
        <v>229</v>
      </c>
      <c r="H53" t="s">
        <v>231</v>
      </c>
      <c r="I53" t="s">
        <v>235</v>
      </c>
      <c r="J53" t="s">
        <v>238</v>
      </c>
      <c r="K53" t="s">
        <v>53</v>
      </c>
      <c r="L53">
        <v>3</v>
      </c>
      <c r="M53">
        <v>3</v>
      </c>
      <c r="N53">
        <v>3</v>
      </c>
      <c r="O53" t="s">
        <v>112</v>
      </c>
      <c r="P53" t="s">
        <v>83</v>
      </c>
      <c r="Q53" t="s">
        <v>97</v>
      </c>
      <c r="R53" t="s">
        <v>115</v>
      </c>
      <c r="S53" t="s">
        <v>43</v>
      </c>
      <c r="T53">
        <v>3</v>
      </c>
      <c r="V53">
        <v>3</v>
      </c>
      <c r="W53" t="s">
        <v>135</v>
      </c>
      <c r="X53" t="s">
        <v>136</v>
      </c>
      <c r="Y53" t="s">
        <v>100</v>
      </c>
      <c r="Z53" t="s">
        <v>138</v>
      </c>
      <c r="AA53" t="s">
        <v>38</v>
      </c>
      <c r="AB53">
        <v>3</v>
      </c>
      <c r="AC53">
        <v>3</v>
      </c>
      <c r="AD53">
        <v>3</v>
      </c>
      <c r="AE53" t="s">
        <v>39</v>
      </c>
      <c r="AF53" t="s">
        <v>40</v>
      </c>
      <c r="AG53" t="s">
        <v>153</v>
      </c>
      <c r="AH53" t="s">
        <v>156</v>
      </c>
      <c r="AI53">
        <v>0</v>
      </c>
      <c r="AJ53">
        <v>59</v>
      </c>
    </row>
    <row r="54" spans="1:36" x14ac:dyDescent="0.25">
      <c r="A54" t="s">
        <v>1188</v>
      </c>
      <c r="B54">
        <v>52</v>
      </c>
      <c r="C54" t="s">
        <v>63</v>
      </c>
      <c r="D54">
        <v>3</v>
      </c>
      <c r="F54">
        <v>3</v>
      </c>
      <c r="G54" t="s">
        <v>103</v>
      </c>
      <c r="H54" t="s">
        <v>91</v>
      </c>
      <c r="I54" t="s">
        <v>148</v>
      </c>
      <c r="J54" t="s">
        <v>151</v>
      </c>
      <c r="K54" t="s">
        <v>53</v>
      </c>
      <c r="L54">
        <v>3</v>
      </c>
      <c r="M54">
        <v>3</v>
      </c>
      <c r="N54">
        <v>3</v>
      </c>
      <c r="O54" t="s">
        <v>112</v>
      </c>
      <c r="P54" t="s">
        <v>83</v>
      </c>
      <c r="Q54" t="s">
        <v>97</v>
      </c>
      <c r="R54" t="s">
        <v>115</v>
      </c>
      <c r="S54" t="s">
        <v>45</v>
      </c>
      <c r="T54">
        <v>3</v>
      </c>
      <c r="V54">
        <v>3</v>
      </c>
      <c r="W54" t="s">
        <v>86</v>
      </c>
      <c r="X54" t="s">
        <v>92</v>
      </c>
      <c r="Y54" t="s">
        <v>93</v>
      </c>
      <c r="Z54" t="s">
        <v>143</v>
      </c>
      <c r="AA54" t="s">
        <v>38</v>
      </c>
      <c r="AB54">
        <v>3</v>
      </c>
      <c r="AC54">
        <v>3</v>
      </c>
      <c r="AD54">
        <v>3</v>
      </c>
      <c r="AE54" t="s">
        <v>39</v>
      </c>
      <c r="AF54" t="s">
        <v>40</v>
      </c>
      <c r="AG54" t="s">
        <v>41</v>
      </c>
      <c r="AH54" t="s">
        <v>156</v>
      </c>
      <c r="AI54">
        <v>0</v>
      </c>
      <c r="AJ54">
        <v>55</v>
      </c>
    </row>
    <row r="55" spans="1:36" x14ac:dyDescent="0.25">
      <c r="A55" t="s">
        <v>1189</v>
      </c>
      <c r="B55">
        <v>53</v>
      </c>
      <c r="C55" t="s">
        <v>53</v>
      </c>
      <c r="D55">
        <v>3</v>
      </c>
      <c r="E55">
        <v>3</v>
      </c>
      <c r="F55">
        <v>3</v>
      </c>
      <c r="G55" t="s">
        <v>112</v>
      </c>
      <c r="H55" t="s">
        <v>83</v>
      </c>
      <c r="I55" t="s">
        <v>97</v>
      </c>
      <c r="J55" t="s">
        <v>115</v>
      </c>
      <c r="K55" t="s">
        <v>45</v>
      </c>
      <c r="L55">
        <v>3</v>
      </c>
      <c r="N55">
        <v>3</v>
      </c>
      <c r="O55" t="s">
        <v>86</v>
      </c>
      <c r="P55" t="s">
        <v>92</v>
      </c>
      <c r="Q55" t="s">
        <v>102</v>
      </c>
      <c r="R55" t="s">
        <v>143</v>
      </c>
      <c r="S55" t="s">
        <v>63</v>
      </c>
      <c r="T55">
        <v>3</v>
      </c>
      <c r="V55">
        <v>3</v>
      </c>
      <c r="W55" t="s">
        <v>145</v>
      </c>
      <c r="X55" t="s">
        <v>91</v>
      </c>
      <c r="Y55" t="s">
        <v>148</v>
      </c>
      <c r="Z55" t="s">
        <v>151</v>
      </c>
      <c r="AA55" t="s">
        <v>227</v>
      </c>
      <c r="AB55">
        <v>3</v>
      </c>
      <c r="AC55">
        <v>3</v>
      </c>
      <c r="AD55">
        <v>3</v>
      </c>
      <c r="AE55" t="s">
        <v>229</v>
      </c>
      <c r="AF55" t="s">
        <v>231</v>
      </c>
      <c r="AG55" t="s">
        <v>235</v>
      </c>
      <c r="AH55" t="s">
        <v>238</v>
      </c>
      <c r="AI55">
        <v>0</v>
      </c>
      <c r="AJ55">
        <v>49</v>
      </c>
    </row>
    <row r="56" spans="1:36" x14ac:dyDescent="0.25">
      <c r="A56" t="s">
        <v>1251</v>
      </c>
      <c r="B56">
        <v>54</v>
      </c>
      <c r="C56" t="s">
        <v>38</v>
      </c>
      <c r="D56">
        <v>3</v>
      </c>
      <c r="E56">
        <v>3</v>
      </c>
      <c r="F56">
        <v>3</v>
      </c>
      <c r="G56" t="s">
        <v>39</v>
      </c>
      <c r="H56" t="s">
        <v>40</v>
      </c>
      <c r="I56" t="s">
        <v>154</v>
      </c>
      <c r="J56" t="s">
        <v>156</v>
      </c>
      <c r="K56" t="s">
        <v>53</v>
      </c>
      <c r="L56">
        <v>3</v>
      </c>
      <c r="M56">
        <v>3</v>
      </c>
      <c r="N56">
        <v>3</v>
      </c>
      <c r="O56" t="s">
        <v>112</v>
      </c>
      <c r="P56" t="s">
        <v>83</v>
      </c>
      <c r="Q56" t="s">
        <v>97</v>
      </c>
      <c r="R56" t="s">
        <v>98</v>
      </c>
      <c r="S56" t="s">
        <v>45</v>
      </c>
      <c r="T56">
        <v>3</v>
      </c>
      <c r="V56">
        <v>3</v>
      </c>
      <c r="W56" t="s">
        <v>86</v>
      </c>
      <c r="X56" t="s">
        <v>76</v>
      </c>
      <c r="Y56" t="s">
        <v>142</v>
      </c>
      <c r="Z56" t="s">
        <v>143</v>
      </c>
      <c r="AA56" t="s">
        <v>227</v>
      </c>
      <c r="AB56">
        <v>3</v>
      </c>
      <c r="AC56">
        <v>3</v>
      </c>
      <c r="AD56">
        <v>3</v>
      </c>
      <c r="AE56" t="s">
        <v>228</v>
      </c>
      <c r="AF56" t="s">
        <v>231</v>
      </c>
      <c r="AG56" t="s">
        <v>235</v>
      </c>
      <c r="AH56" t="s">
        <v>238</v>
      </c>
      <c r="AI56">
        <v>0</v>
      </c>
      <c r="AJ56">
        <v>58</v>
      </c>
    </row>
    <row r="57" spans="1:36" x14ac:dyDescent="0.25">
      <c r="A57" t="s">
        <v>1252</v>
      </c>
      <c r="B57">
        <v>55</v>
      </c>
      <c r="C57" t="s">
        <v>227</v>
      </c>
      <c r="D57">
        <v>3</v>
      </c>
      <c r="E57">
        <v>3</v>
      </c>
      <c r="F57">
        <v>3</v>
      </c>
      <c r="G57" t="s">
        <v>229</v>
      </c>
      <c r="H57" t="s">
        <v>233</v>
      </c>
      <c r="I57" t="s">
        <v>235</v>
      </c>
      <c r="J57" t="s">
        <v>238</v>
      </c>
      <c r="K57" t="s">
        <v>53</v>
      </c>
      <c r="L57">
        <v>3</v>
      </c>
      <c r="M57">
        <v>3</v>
      </c>
      <c r="N57">
        <v>3</v>
      </c>
      <c r="O57" t="s">
        <v>112</v>
      </c>
      <c r="P57" t="s">
        <v>83</v>
      </c>
      <c r="Q57" t="s">
        <v>97</v>
      </c>
      <c r="R57" t="s">
        <v>98</v>
      </c>
      <c r="S57" t="s">
        <v>63</v>
      </c>
      <c r="T57">
        <v>3</v>
      </c>
      <c r="V57">
        <v>3</v>
      </c>
      <c r="W57" t="s">
        <v>103</v>
      </c>
      <c r="X57" t="s">
        <v>91</v>
      </c>
      <c r="Y57" t="s">
        <v>148</v>
      </c>
      <c r="Z57" t="s">
        <v>151</v>
      </c>
      <c r="AA57" t="s">
        <v>38</v>
      </c>
      <c r="AB57">
        <v>3</v>
      </c>
      <c r="AC57">
        <v>3</v>
      </c>
      <c r="AD57">
        <v>3</v>
      </c>
      <c r="AE57" t="s">
        <v>39</v>
      </c>
      <c r="AF57" t="s">
        <v>70</v>
      </c>
      <c r="AG57" t="s">
        <v>41</v>
      </c>
      <c r="AH57" t="s">
        <v>156</v>
      </c>
      <c r="AI57">
        <v>0</v>
      </c>
      <c r="AJ57">
        <v>63</v>
      </c>
    </row>
    <row r="58" spans="1:36" x14ac:dyDescent="0.25">
      <c r="A58" t="s">
        <v>1253</v>
      </c>
      <c r="B58">
        <v>56</v>
      </c>
      <c r="C58" t="s">
        <v>56</v>
      </c>
      <c r="D58">
        <v>3</v>
      </c>
      <c r="F58">
        <v>3</v>
      </c>
      <c r="G58" t="s">
        <v>120</v>
      </c>
      <c r="H58" t="s">
        <v>69</v>
      </c>
      <c r="K58" t="s">
        <v>48</v>
      </c>
      <c r="L58">
        <v>2</v>
      </c>
      <c r="N58">
        <v>1</v>
      </c>
      <c r="O58" t="s">
        <v>126</v>
      </c>
      <c r="P58" t="s">
        <v>84</v>
      </c>
      <c r="Q58" t="s">
        <v>90</v>
      </c>
      <c r="S58" t="s">
        <v>33</v>
      </c>
      <c r="T58">
        <v>1</v>
      </c>
      <c r="V58">
        <v>2</v>
      </c>
      <c r="W58" t="s">
        <v>34</v>
      </c>
      <c r="X58" t="s">
        <v>130</v>
      </c>
      <c r="Y58" t="s">
        <v>131</v>
      </c>
      <c r="Z58" t="s">
        <v>37</v>
      </c>
      <c r="AA58" t="s">
        <v>43</v>
      </c>
      <c r="AB58">
        <v>3</v>
      </c>
      <c r="AD58">
        <v>3</v>
      </c>
      <c r="AE58" t="s">
        <v>73</v>
      </c>
      <c r="AF58" t="s">
        <v>99</v>
      </c>
      <c r="AG58" t="s">
        <v>137</v>
      </c>
      <c r="AI58">
        <v>0</v>
      </c>
      <c r="AJ58">
        <v>23</v>
      </c>
    </row>
    <row r="59" spans="1:36" x14ac:dyDescent="0.25">
      <c r="A59" t="s">
        <v>1190</v>
      </c>
      <c r="B59">
        <v>57</v>
      </c>
      <c r="C59" t="s">
        <v>45</v>
      </c>
      <c r="D59">
        <v>3</v>
      </c>
      <c r="F59">
        <v>3</v>
      </c>
      <c r="G59" t="s">
        <v>86</v>
      </c>
      <c r="H59" t="s">
        <v>141</v>
      </c>
      <c r="I59" t="s">
        <v>142</v>
      </c>
      <c r="J59" t="s">
        <v>144</v>
      </c>
      <c r="K59" t="s">
        <v>56</v>
      </c>
      <c r="L59">
        <v>3</v>
      </c>
      <c r="N59">
        <v>3</v>
      </c>
      <c r="O59" t="s">
        <v>120</v>
      </c>
      <c r="P59" t="s">
        <v>69</v>
      </c>
      <c r="Q59" t="s">
        <v>87</v>
      </c>
      <c r="R59" t="s">
        <v>124</v>
      </c>
      <c r="S59" t="s">
        <v>48</v>
      </c>
      <c r="T59">
        <v>1</v>
      </c>
      <c r="V59">
        <v>2</v>
      </c>
      <c r="W59" t="s">
        <v>126</v>
      </c>
      <c r="X59" t="s">
        <v>84</v>
      </c>
      <c r="Y59" t="s">
        <v>90</v>
      </c>
      <c r="AA59" t="s">
        <v>33</v>
      </c>
      <c r="AB59">
        <v>3</v>
      </c>
      <c r="AD59">
        <v>3</v>
      </c>
      <c r="AE59" t="s">
        <v>34</v>
      </c>
      <c r="AF59" t="s">
        <v>130</v>
      </c>
      <c r="AG59" t="s">
        <v>36</v>
      </c>
      <c r="AH59" t="s">
        <v>37</v>
      </c>
      <c r="AI59">
        <v>0</v>
      </c>
      <c r="AJ59">
        <v>29</v>
      </c>
    </row>
    <row r="60" spans="1:36" x14ac:dyDescent="0.25">
      <c r="A60" t="s">
        <v>1191</v>
      </c>
      <c r="B60">
        <v>58</v>
      </c>
      <c r="C60" t="s">
        <v>33</v>
      </c>
      <c r="D60">
        <v>2</v>
      </c>
      <c r="F60">
        <v>3</v>
      </c>
      <c r="G60" t="s">
        <v>34</v>
      </c>
      <c r="H60" t="s">
        <v>130</v>
      </c>
      <c r="I60" t="s">
        <v>132</v>
      </c>
      <c r="J60" t="s">
        <v>37</v>
      </c>
      <c r="K60" t="s">
        <v>56</v>
      </c>
      <c r="L60">
        <v>3</v>
      </c>
      <c r="N60">
        <v>2</v>
      </c>
      <c r="O60" t="s">
        <v>120</v>
      </c>
      <c r="P60" t="s">
        <v>69</v>
      </c>
      <c r="Q60" t="s">
        <v>87</v>
      </c>
      <c r="R60" t="s">
        <v>125</v>
      </c>
      <c r="S60" t="s">
        <v>48</v>
      </c>
      <c r="T60">
        <v>1</v>
      </c>
      <c r="V60">
        <v>1</v>
      </c>
      <c r="W60" t="s">
        <v>126</v>
      </c>
      <c r="X60" t="s">
        <v>84</v>
      </c>
      <c r="Y60" t="s">
        <v>127</v>
      </c>
      <c r="AA60" t="s">
        <v>63</v>
      </c>
      <c r="AB60">
        <v>1</v>
      </c>
      <c r="AD60">
        <v>3</v>
      </c>
      <c r="AE60" t="s">
        <v>145</v>
      </c>
      <c r="AF60" t="s">
        <v>91</v>
      </c>
      <c r="AG60" t="s">
        <v>148</v>
      </c>
      <c r="AH60" t="s">
        <v>151</v>
      </c>
      <c r="AI60">
        <v>0</v>
      </c>
      <c r="AJ60">
        <v>28</v>
      </c>
    </row>
    <row r="61" spans="1:36" x14ac:dyDescent="0.25">
      <c r="A61" t="s">
        <v>1254</v>
      </c>
      <c r="B61">
        <v>59</v>
      </c>
      <c r="C61" t="s">
        <v>56</v>
      </c>
      <c r="D61">
        <v>3</v>
      </c>
      <c r="F61">
        <v>3</v>
      </c>
      <c r="G61" t="s">
        <v>120</v>
      </c>
      <c r="H61" t="s">
        <v>122</v>
      </c>
      <c r="K61" t="s">
        <v>48</v>
      </c>
      <c r="L61">
        <v>3</v>
      </c>
      <c r="N61">
        <v>1</v>
      </c>
      <c r="O61" t="s">
        <v>126</v>
      </c>
      <c r="P61" t="s">
        <v>71</v>
      </c>
      <c r="Q61" t="s">
        <v>127</v>
      </c>
      <c r="R61" t="s">
        <v>52</v>
      </c>
      <c r="S61" t="s">
        <v>33</v>
      </c>
      <c r="T61">
        <v>2</v>
      </c>
      <c r="V61">
        <v>2</v>
      </c>
      <c r="W61" t="s">
        <v>34</v>
      </c>
      <c r="X61" t="s">
        <v>130</v>
      </c>
      <c r="AA61" t="s">
        <v>38</v>
      </c>
      <c r="AB61">
        <v>1</v>
      </c>
      <c r="AC61">
        <v>1</v>
      </c>
      <c r="AD61">
        <v>3</v>
      </c>
      <c r="AE61" t="s">
        <v>39</v>
      </c>
      <c r="AF61" t="s">
        <v>40</v>
      </c>
      <c r="AG61" t="s">
        <v>154</v>
      </c>
      <c r="AI61">
        <v>0</v>
      </c>
      <c r="AJ61">
        <v>21</v>
      </c>
    </row>
    <row r="62" spans="1:36" x14ac:dyDescent="0.25">
      <c r="A62" t="s">
        <v>1255</v>
      </c>
      <c r="B62">
        <v>60</v>
      </c>
      <c r="C62" t="s">
        <v>227</v>
      </c>
      <c r="D62">
        <v>3</v>
      </c>
      <c r="E62">
        <v>1</v>
      </c>
      <c r="F62">
        <v>3</v>
      </c>
      <c r="G62" t="s">
        <v>228</v>
      </c>
      <c r="H62" t="s">
        <v>232</v>
      </c>
      <c r="I62" t="s">
        <v>236</v>
      </c>
      <c r="K62" t="s">
        <v>56</v>
      </c>
      <c r="L62">
        <v>3</v>
      </c>
      <c r="N62">
        <v>1</v>
      </c>
      <c r="O62" t="s">
        <v>120</v>
      </c>
      <c r="P62" t="s">
        <v>69</v>
      </c>
      <c r="Q62" t="s">
        <v>87</v>
      </c>
      <c r="R62" t="s">
        <v>125</v>
      </c>
      <c r="S62" t="s">
        <v>48</v>
      </c>
      <c r="T62">
        <v>2</v>
      </c>
      <c r="V62">
        <v>1</v>
      </c>
      <c r="W62" t="s">
        <v>126</v>
      </c>
      <c r="X62" t="s">
        <v>84</v>
      </c>
      <c r="Y62" t="s">
        <v>127</v>
      </c>
      <c r="AA62" t="s">
        <v>33</v>
      </c>
      <c r="AB62">
        <v>2</v>
      </c>
      <c r="AD62">
        <v>3</v>
      </c>
      <c r="AE62" t="s">
        <v>34</v>
      </c>
      <c r="AF62" t="s">
        <v>130</v>
      </c>
      <c r="AG62" t="s">
        <v>132</v>
      </c>
      <c r="AI62">
        <v>0</v>
      </c>
      <c r="AJ62">
        <v>23</v>
      </c>
    </row>
    <row r="63" spans="1:36" x14ac:dyDescent="0.25">
      <c r="A63" t="s">
        <v>1256</v>
      </c>
      <c r="B63">
        <v>61</v>
      </c>
      <c r="C63" t="s">
        <v>43</v>
      </c>
      <c r="D63">
        <v>3</v>
      </c>
      <c r="F63">
        <v>3</v>
      </c>
      <c r="G63" t="s">
        <v>73</v>
      </c>
      <c r="H63" t="s">
        <v>74</v>
      </c>
      <c r="I63" t="s">
        <v>100</v>
      </c>
      <c r="J63" t="s">
        <v>138</v>
      </c>
      <c r="K63" t="s">
        <v>56</v>
      </c>
      <c r="L63">
        <v>3</v>
      </c>
      <c r="N63">
        <v>3</v>
      </c>
      <c r="O63" t="s">
        <v>120</v>
      </c>
      <c r="P63" t="s">
        <v>121</v>
      </c>
      <c r="Q63" t="s">
        <v>85</v>
      </c>
      <c r="R63" t="s">
        <v>125</v>
      </c>
      <c r="S63" t="s">
        <v>48</v>
      </c>
      <c r="T63">
        <v>2</v>
      </c>
      <c r="V63">
        <v>1</v>
      </c>
      <c r="W63" t="s">
        <v>126</v>
      </c>
      <c r="X63" t="s">
        <v>84</v>
      </c>
      <c r="Y63" t="s">
        <v>90</v>
      </c>
      <c r="Z63" t="s">
        <v>128</v>
      </c>
      <c r="AA63" t="s">
        <v>45</v>
      </c>
      <c r="AB63">
        <v>3</v>
      </c>
      <c r="AD63">
        <v>3</v>
      </c>
      <c r="AE63" t="s">
        <v>86</v>
      </c>
      <c r="AF63" t="s">
        <v>141</v>
      </c>
      <c r="AG63" t="s">
        <v>102</v>
      </c>
      <c r="AH63" t="s">
        <v>143</v>
      </c>
      <c r="AI63">
        <v>0</v>
      </c>
      <c r="AJ63">
        <v>32</v>
      </c>
    </row>
    <row r="64" spans="1:36" x14ac:dyDescent="0.25">
      <c r="A64" t="s">
        <v>1257</v>
      </c>
      <c r="B64">
        <v>62</v>
      </c>
      <c r="C64" t="s">
        <v>43</v>
      </c>
      <c r="D64">
        <v>3</v>
      </c>
      <c r="F64">
        <v>3</v>
      </c>
      <c r="G64" t="s">
        <v>73</v>
      </c>
      <c r="H64" t="s">
        <v>74</v>
      </c>
      <c r="I64" t="s">
        <v>100</v>
      </c>
      <c r="J64" t="s">
        <v>139</v>
      </c>
      <c r="K64" t="s">
        <v>56</v>
      </c>
      <c r="L64">
        <v>3</v>
      </c>
      <c r="N64">
        <v>3</v>
      </c>
      <c r="O64" t="s">
        <v>120</v>
      </c>
      <c r="P64" t="s">
        <v>69</v>
      </c>
      <c r="Q64" t="s">
        <v>87</v>
      </c>
      <c r="R64" t="s">
        <v>88</v>
      </c>
      <c r="S64" t="s">
        <v>48</v>
      </c>
      <c r="T64">
        <v>2</v>
      </c>
      <c r="V64">
        <v>3</v>
      </c>
      <c r="W64" t="s">
        <v>126</v>
      </c>
      <c r="X64" t="s">
        <v>84</v>
      </c>
      <c r="Y64" t="s">
        <v>90</v>
      </c>
      <c r="Z64" t="s">
        <v>128</v>
      </c>
      <c r="AA64" t="s">
        <v>63</v>
      </c>
      <c r="AB64">
        <v>2</v>
      </c>
      <c r="AD64">
        <v>2</v>
      </c>
      <c r="AE64" t="s">
        <v>145</v>
      </c>
      <c r="AF64" t="s">
        <v>91</v>
      </c>
      <c r="AG64" t="s">
        <v>148</v>
      </c>
      <c r="AH64" t="s">
        <v>151</v>
      </c>
      <c r="AI64">
        <v>0</v>
      </c>
      <c r="AJ64">
        <v>32</v>
      </c>
    </row>
    <row r="65" spans="1:36" x14ac:dyDescent="0.25">
      <c r="A65" t="s">
        <v>1192</v>
      </c>
      <c r="B65">
        <v>63</v>
      </c>
      <c r="C65" t="s">
        <v>48</v>
      </c>
      <c r="D65">
        <v>3</v>
      </c>
      <c r="F65">
        <v>3</v>
      </c>
      <c r="G65" t="s">
        <v>126</v>
      </c>
      <c r="H65" t="s">
        <v>84</v>
      </c>
      <c r="I65" t="s">
        <v>90</v>
      </c>
      <c r="J65" t="s">
        <v>128</v>
      </c>
      <c r="K65" t="s">
        <v>56</v>
      </c>
      <c r="L65">
        <v>3</v>
      </c>
      <c r="N65">
        <v>3</v>
      </c>
      <c r="O65" t="s">
        <v>120</v>
      </c>
      <c r="P65" t="s">
        <v>69</v>
      </c>
      <c r="Q65" t="s">
        <v>87</v>
      </c>
      <c r="R65" t="s">
        <v>124</v>
      </c>
      <c r="S65" t="s">
        <v>43</v>
      </c>
      <c r="T65">
        <v>3</v>
      </c>
      <c r="V65">
        <v>3</v>
      </c>
      <c r="W65" t="s">
        <v>73</v>
      </c>
      <c r="X65" t="s">
        <v>74</v>
      </c>
      <c r="Y65" t="s">
        <v>100</v>
      </c>
      <c r="Z65" t="s">
        <v>139</v>
      </c>
      <c r="AA65" t="s">
        <v>38</v>
      </c>
      <c r="AB65">
        <v>3</v>
      </c>
      <c r="AC65">
        <v>3</v>
      </c>
      <c r="AD65">
        <v>3</v>
      </c>
      <c r="AE65" t="s">
        <v>39</v>
      </c>
      <c r="AF65" t="s">
        <v>40</v>
      </c>
      <c r="AG65" t="s">
        <v>153</v>
      </c>
      <c r="AH65" t="s">
        <v>156</v>
      </c>
      <c r="AI65">
        <v>0</v>
      </c>
      <c r="AJ65">
        <v>48</v>
      </c>
    </row>
    <row r="66" spans="1:36" x14ac:dyDescent="0.25">
      <c r="A66" t="s">
        <v>1193</v>
      </c>
      <c r="B66">
        <v>64</v>
      </c>
      <c r="C66" t="s">
        <v>48</v>
      </c>
      <c r="D66">
        <v>3</v>
      </c>
      <c r="F66">
        <v>3</v>
      </c>
      <c r="G66" t="s">
        <v>126</v>
      </c>
      <c r="H66" t="s">
        <v>84</v>
      </c>
      <c r="I66" t="s">
        <v>90</v>
      </c>
      <c r="J66" t="s">
        <v>128</v>
      </c>
      <c r="K66" t="s">
        <v>56</v>
      </c>
      <c r="L66">
        <v>3</v>
      </c>
      <c r="N66">
        <v>3</v>
      </c>
      <c r="O66" t="s">
        <v>120</v>
      </c>
      <c r="P66" t="s">
        <v>69</v>
      </c>
      <c r="Q66" t="s">
        <v>85</v>
      </c>
      <c r="R66" t="s">
        <v>125</v>
      </c>
      <c r="S66" t="s">
        <v>43</v>
      </c>
      <c r="T66">
        <v>3</v>
      </c>
      <c r="V66">
        <v>3</v>
      </c>
      <c r="W66" t="s">
        <v>73</v>
      </c>
      <c r="X66" t="s">
        <v>136</v>
      </c>
      <c r="Y66" t="s">
        <v>137</v>
      </c>
      <c r="Z66" t="s">
        <v>138</v>
      </c>
      <c r="AA66" t="s">
        <v>227</v>
      </c>
      <c r="AB66">
        <v>3</v>
      </c>
      <c r="AC66">
        <v>3</v>
      </c>
      <c r="AD66">
        <v>3</v>
      </c>
      <c r="AE66" t="s">
        <v>229</v>
      </c>
      <c r="AF66" t="s">
        <v>231</v>
      </c>
      <c r="AG66" t="s">
        <v>235</v>
      </c>
      <c r="AH66" t="s">
        <v>238</v>
      </c>
      <c r="AI66">
        <v>0</v>
      </c>
      <c r="AJ66">
        <v>54</v>
      </c>
    </row>
    <row r="67" spans="1:36" x14ac:dyDescent="0.25">
      <c r="A67" t="s">
        <v>1258</v>
      </c>
      <c r="B67">
        <v>65</v>
      </c>
      <c r="C67" t="s">
        <v>45</v>
      </c>
      <c r="D67">
        <v>3</v>
      </c>
      <c r="F67">
        <v>3</v>
      </c>
      <c r="G67" t="s">
        <v>86</v>
      </c>
      <c r="H67" t="s">
        <v>76</v>
      </c>
      <c r="I67" t="s">
        <v>93</v>
      </c>
      <c r="J67" t="s">
        <v>144</v>
      </c>
      <c r="K67" t="s">
        <v>56</v>
      </c>
      <c r="L67">
        <v>3</v>
      </c>
      <c r="N67">
        <v>3</v>
      </c>
      <c r="O67" t="s">
        <v>120</v>
      </c>
      <c r="P67" t="s">
        <v>69</v>
      </c>
      <c r="Q67" t="s">
        <v>87</v>
      </c>
      <c r="R67" t="s">
        <v>125</v>
      </c>
      <c r="S67" t="s">
        <v>48</v>
      </c>
      <c r="T67">
        <v>3</v>
      </c>
      <c r="V67">
        <v>2</v>
      </c>
      <c r="W67" t="s">
        <v>126</v>
      </c>
      <c r="X67" t="s">
        <v>84</v>
      </c>
      <c r="Y67" t="s">
        <v>127</v>
      </c>
      <c r="Z67" t="s">
        <v>128</v>
      </c>
      <c r="AA67" t="s">
        <v>63</v>
      </c>
      <c r="AB67">
        <v>1</v>
      </c>
      <c r="AD67">
        <v>1</v>
      </c>
      <c r="AE67" t="s">
        <v>145</v>
      </c>
      <c r="AF67" t="s">
        <v>91</v>
      </c>
      <c r="AG67" t="s">
        <v>148</v>
      </c>
      <c r="AH67" t="s">
        <v>151</v>
      </c>
      <c r="AI67">
        <v>0</v>
      </c>
      <c r="AJ67">
        <v>28</v>
      </c>
    </row>
    <row r="68" spans="1:36" x14ac:dyDescent="0.25">
      <c r="A68" t="s">
        <v>1259</v>
      </c>
      <c r="B68">
        <v>66</v>
      </c>
      <c r="C68" t="s">
        <v>48</v>
      </c>
      <c r="D68">
        <v>3</v>
      </c>
      <c r="F68">
        <v>3</v>
      </c>
      <c r="G68" t="s">
        <v>126</v>
      </c>
      <c r="H68" t="s">
        <v>84</v>
      </c>
      <c r="I68" t="s">
        <v>127</v>
      </c>
      <c r="J68" t="s">
        <v>128</v>
      </c>
      <c r="K68" t="s">
        <v>56</v>
      </c>
      <c r="L68">
        <v>3</v>
      </c>
      <c r="N68">
        <v>3</v>
      </c>
      <c r="O68" t="s">
        <v>120</v>
      </c>
      <c r="P68" t="s">
        <v>121</v>
      </c>
      <c r="Q68" t="s">
        <v>87</v>
      </c>
      <c r="R68" t="s">
        <v>88</v>
      </c>
      <c r="S68" t="s">
        <v>45</v>
      </c>
      <c r="T68">
        <v>3</v>
      </c>
      <c r="V68">
        <v>1</v>
      </c>
      <c r="W68" t="s">
        <v>86</v>
      </c>
      <c r="X68" t="s">
        <v>76</v>
      </c>
      <c r="AA68" t="s">
        <v>38</v>
      </c>
      <c r="AB68">
        <v>2</v>
      </c>
      <c r="AC68">
        <v>3</v>
      </c>
      <c r="AD68">
        <v>3</v>
      </c>
      <c r="AE68" t="s">
        <v>39</v>
      </c>
      <c r="AF68" t="s">
        <v>96</v>
      </c>
      <c r="AG68" t="s">
        <v>153</v>
      </c>
      <c r="AH68" t="s">
        <v>156</v>
      </c>
      <c r="AI68">
        <v>0</v>
      </c>
      <c r="AJ68">
        <v>30</v>
      </c>
    </row>
    <row r="69" spans="1:36" x14ac:dyDescent="0.25">
      <c r="A69" t="s">
        <v>1260</v>
      </c>
      <c r="B69">
        <v>67</v>
      </c>
      <c r="C69" t="s">
        <v>48</v>
      </c>
      <c r="D69">
        <v>3</v>
      </c>
      <c r="F69">
        <v>3</v>
      </c>
      <c r="G69" t="s">
        <v>126</v>
      </c>
      <c r="H69" t="s">
        <v>84</v>
      </c>
      <c r="I69" t="s">
        <v>90</v>
      </c>
      <c r="J69" t="s">
        <v>128</v>
      </c>
      <c r="K69" t="s">
        <v>56</v>
      </c>
      <c r="L69">
        <v>3</v>
      </c>
      <c r="N69">
        <v>2</v>
      </c>
      <c r="O69" t="s">
        <v>120</v>
      </c>
      <c r="P69" t="s">
        <v>121</v>
      </c>
      <c r="Q69" t="s">
        <v>123</v>
      </c>
      <c r="R69" t="s">
        <v>88</v>
      </c>
      <c r="S69" t="s">
        <v>45</v>
      </c>
      <c r="T69">
        <v>3</v>
      </c>
      <c r="V69">
        <v>3</v>
      </c>
      <c r="W69" t="s">
        <v>86</v>
      </c>
      <c r="X69" t="s">
        <v>92</v>
      </c>
      <c r="Y69" t="s">
        <v>102</v>
      </c>
      <c r="Z69" t="s">
        <v>143</v>
      </c>
      <c r="AA69" t="s">
        <v>227</v>
      </c>
      <c r="AB69">
        <v>3</v>
      </c>
      <c r="AC69">
        <v>3</v>
      </c>
      <c r="AD69">
        <v>3</v>
      </c>
      <c r="AE69" t="s">
        <v>229</v>
      </c>
      <c r="AF69" t="s">
        <v>231</v>
      </c>
      <c r="AG69" t="s">
        <v>235</v>
      </c>
      <c r="AH69" t="s">
        <v>238</v>
      </c>
      <c r="AI69">
        <v>0</v>
      </c>
      <c r="AJ69">
        <v>48</v>
      </c>
    </row>
    <row r="70" spans="1:36" x14ac:dyDescent="0.25">
      <c r="A70" t="s">
        <v>1261</v>
      </c>
      <c r="B70">
        <v>68</v>
      </c>
      <c r="C70" t="s">
        <v>48</v>
      </c>
      <c r="D70">
        <v>3</v>
      </c>
      <c r="F70">
        <v>3</v>
      </c>
      <c r="G70" t="s">
        <v>126</v>
      </c>
      <c r="H70" t="s">
        <v>84</v>
      </c>
      <c r="I70" t="s">
        <v>127</v>
      </c>
      <c r="J70" t="s">
        <v>52</v>
      </c>
      <c r="K70" t="s">
        <v>56</v>
      </c>
      <c r="L70">
        <v>3</v>
      </c>
      <c r="N70">
        <v>3</v>
      </c>
      <c r="O70" t="s">
        <v>120</v>
      </c>
      <c r="P70" t="s">
        <v>69</v>
      </c>
      <c r="Q70" t="s">
        <v>87</v>
      </c>
      <c r="R70" t="s">
        <v>88</v>
      </c>
      <c r="S70" t="s">
        <v>63</v>
      </c>
      <c r="T70">
        <v>1</v>
      </c>
      <c r="V70">
        <v>1</v>
      </c>
      <c r="W70" t="s">
        <v>145</v>
      </c>
      <c r="X70" t="s">
        <v>91</v>
      </c>
      <c r="Y70" t="s">
        <v>148</v>
      </c>
      <c r="Z70" t="s">
        <v>151</v>
      </c>
      <c r="AA70" t="s">
        <v>38</v>
      </c>
      <c r="AB70">
        <v>1</v>
      </c>
      <c r="AC70">
        <v>2</v>
      </c>
      <c r="AD70">
        <v>3</v>
      </c>
      <c r="AE70" t="s">
        <v>39</v>
      </c>
      <c r="AF70" t="s">
        <v>40</v>
      </c>
      <c r="AG70" t="s">
        <v>153</v>
      </c>
      <c r="AI70">
        <v>0</v>
      </c>
      <c r="AJ70">
        <v>35</v>
      </c>
    </row>
    <row r="71" spans="1:36" x14ac:dyDescent="0.25">
      <c r="A71" t="s">
        <v>1262</v>
      </c>
      <c r="B71">
        <v>69</v>
      </c>
      <c r="C71" t="s">
        <v>56</v>
      </c>
      <c r="D71">
        <v>3</v>
      </c>
      <c r="F71">
        <v>3</v>
      </c>
      <c r="G71" t="s">
        <v>120</v>
      </c>
      <c r="H71" t="s">
        <v>122</v>
      </c>
      <c r="I71" t="s">
        <v>85</v>
      </c>
      <c r="J71" t="s">
        <v>125</v>
      </c>
      <c r="K71" t="s">
        <v>48</v>
      </c>
      <c r="L71">
        <v>3</v>
      </c>
      <c r="N71">
        <v>3</v>
      </c>
      <c r="O71" t="s">
        <v>126</v>
      </c>
      <c r="P71" t="s">
        <v>84</v>
      </c>
      <c r="Q71" t="s">
        <v>127</v>
      </c>
      <c r="R71" t="s">
        <v>52</v>
      </c>
      <c r="S71" t="s">
        <v>63</v>
      </c>
      <c r="T71">
        <v>3</v>
      </c>
      <c r="V71">
        <v>3</v>
      </c>
      <c r="W71" t="s">
        <v>145</v>
      </c>
      <c r="X71" t="s">
        <v>91</v>
      </c>
      <c r="Y71" t="s">
        <v>148</v>
      </c>
      <c r="Z71" t="s">
        <v>151</v>
      </c>
      <c r="AA71" t="s">
        <v>227</v>
      </c>
      <c r="AB71">
        <v>3</v>
      </c>
      <c r="AC71">
        <v>3</v>
      </c>
      <c r="AD71">
        <v>3</v>
      </c>
      <c r="AE71" t="s">
        <v>229</v>
      </c>
      <c r="AF71" t="s">
        <v>231</v>
      </c>
      <c r="AG71" t="s">
        <v>235</v>
      </c>
      <c r="AH71" t="s">
        <v>237</v>
      </c>
      <c r="AI71">
        <v>0</v>
      </c>
      <c r="AJ71">
        <v>40</v>
      </c>
    </row>
    <row r="72" spans="1:36" x14ac:dyDescent="0.25">
      <c r="A72" t="s">
        <v>1263</v>
      </c>
      <c r="B72">
        <v>70</v>
      </c>
      <c r="C72" t="s">
        <v>227</v>
      </c>
      <c r="D72">
        <v>3</v>
      </c>
      <c r="E72">
        <v>3</v>
      </c>
      <c r="F72">
        <v>3</v>
      </c>
      <c r="G72" t="s">
        <v>229</v>
      </c>
      <c r="H72" t="s">
        <v>231</v>
      </c>
      <c r="I72" t="s">
        <v>235</v>
      </c>
      <c r="J72" t="s">
        <v>238</v>
      </c>
      <c r="K72" t="s">
        <v>56</v>
      </c>
      <c r="L72">
        <v>3</v>
      </c>
      <c r="N72">
        <v>1</v>
      </c>
      <c r="O72" t="s">
        <v>120</v>
      </c>
      <c r="P72" t="s">
        <v>69</v>
      </c>
      <c r="Q72" t="s">
        <v>87</v>
      </c>
      <c r="R72" t="s">
        <v>124</v>
      </c>
      <c r="S72" t="s">
        <v>48</v>
      </c>
      <c r="T72">
        <v>3</v>
      </c>
      <c r="V72">
        <v>3</v>
      </c>
      <c r="W72" t="s">
        <v>126</v>
      </c>
      <c r="X72" t="s">
        <v>84</v>
      </c>
      <c r="Y72" t="s">
        <v>127</v>
      </c>
      <c r="Z72" t="s">
        <v>128</v>
      </c>
      <c r="AA72" t="s">
        <v>38</v>
      </c>
      <c r="AB72">
        <v>3</v>
      </c>
      <c r="AC72">
        <v>3</v>
      </c>
      <c r="AD72">
        <v>3</v>
      </c>
      <c r="AE72" t="s">
        <v>39</v>
      </c>
      <c r="AF72" t="s">
        <v>96</v>
      </c>
      <c r="AG72" t="s">
        <v>41</v>
      </c>
      <c r="AH72" t="s">
        <v>156</v>
      </c>
      <c r="AI72">
        <v>0</v>
      </c>
      <c r="AJ72">
        <v>47</v>
      </c>
    </row>
    <row r="73" spans="1:36" x14ac:dyDescent="0.25">
      <c r="A73" t="s">
        <v>1264</v>
      </c>
      <c r="B73">
        <v>71</v>
      </c>
      <c r="C73" t="s">
        <v>56</v>
      </c>
      <c r="D73">
        <v>3</v>
      </c>
      <c r="F73">
        <v>3</v>
      </c>
      <c r="G73" t="s">
        <v>120</v>
      </c>
      <c r="H73" t="s">
        <v>122</v>
      </c>
      <c r="I73" t="s">
        <v>87</v>
      </c>
      <c r="J73" t="s">
        <v>88</v>
      </c>
      <c r="K73" t="s">
        <v>33</v>
      </c>
      <c r="L73">
        <v>2</v>
      </c>
      <c r="N73">
        <v>3</v>
      </c>
      <c r="O73" t="s">
        <v>34</v>
      </c>
      <c r="S73" t="s">
        <v>43</v>
      </c>
      <c r="T73">
        <v>1</v>
      </c>
      <c r="V73">
        <v>2</v>
      </c>
      <c r="W73" t="s">
        <v>135</v>
      </c>
      <c r="X73" t="s">
        <v>136</v>
      </c>
      <c r="Y73" t="s">
        <v>100</v>
      </c>
      <c r="Z73" t="s">
        <v>138</v>
      </c>
      <c r="AA73" t="s">
        <v>45</v>
      </c>
      <c r="AB73">
        <v>3</v>
      </c>
      <c r="AD73">
        <v>3</v>
      </c>
      <c r="AE73" t="s">
        <v>86</v>
      </c>
      <c r="AF73" t="s">
        <v>141</v>
      </c>
      <c r="AG73" t="s">
        <v>142</v>
      </c>
      <c r="AH73" t="s">
        <v>144</v>
      </c>
      <c r="AI73">
        <v>0</v>
      </c>
      <c r="AJ73">
        <v>27</v>
      </c>
    </row>
    <row r="74" spans="1:36" x14ac:dyDescent="0.25">
      <c r="A74" t="s">
        <v>1194</v>
      </c>
      <c r="B74">
        <v>72</v>
      </c>
      <c r="C74" t="s">
        <v>43</v>
      </c>
      <c r="D74">
        <v>3</v>
      </c>
      <c r="F74">
        <v>2</v>
      </c>
      <c r="G74" t="s">
        <v>135</v>
      </c>
      <c r="H74" t="s">
        <v>136</v>
      </c>
      <c r="I74" t="s">
        <v>137</v>
      </c>
      <c r="J74" t="s">
        <v>139</v>
      </c>
      <c r="K74" t="s">
        <v>56</v>
      </c>
      <c r="L74">
        <v>2</v>
      </c>
      <c r="N74">
        <v>3</v>
      </c>
      <c r="O74" t="s">
        <v>120</v>
      </c>
      <c r="P74" t="s">
        <v>69</v>
      </c>
      <c r="Q74" t="s">
        <v>87</v>
      </c>
      <c r="R74" t="s">
        <v>88</v>
      </c>
      <c r="S74" t="s">
        <v>33</v>
      </c>
      <c r="T74">
        <v>3</v>
      </c>
      <c r="V74">
        <v>3</v>
      </c>
      <c r="W74" t="s">
        <v>34</v>
      </c>
      <c r="X74" t="s">
        <v>66</v>
      </c>
      <c r="AA74" t="s">
        <v>63</v>
      </c>
      <c r="AB74">
        <v>1</v>
      </c>
      <c r="AD74">
        <v>1</v>
      </c>
      <c r="AE74" t="s">
        <v>145</v>
      </c>
      <c r="AF74" t="s">
        <v>146</v>
      </c>
      <c r="AG74" t="s">
        <v>148</v>
      </c>
      <c r="AI74">
        <v>0</v>
      </c>
      <c r="AJ74">
        <v>24</v>
      </c>
    </row>
    <row r="75" spans="1:36" x14ac:dyDescent="0.25">
      <c r="A75" t="s">
        <v>1265</v>
      </c>
      <c r="B75">
        <v>73</v>
      </c>
      <c r="C75" t="s">
        <v>43</v>
      </c>
      <c r="D75">
        <v>3</v>
      </c>
      <c r="F75">
        <v>1</v>
      </c>
      <c r="G75" t="s">
        <v>135</v>
      </c>
      <c r="H75" t="s">
        <v>136</v>
      </c>
      <c r="I75" t="s">
        <v>137</v>
      </c>
      <c r="K75" t="s">
        <v>56</v>
      </c>
      <c r="L75">
        <v>2</v>
      </c>
      <c r="N75">
        <v>2</v>
      </c>
      <c r="O75" t="s">
        <v>120</v>
      </c>
      <c r="P75" t="s">
        <v>69</v>
      </c>
      <c r="S75" t="s">
        <v>33</v>
      </c>
      <c r="T75">
        <v>1</v>
      </c>
      <c r="V75">
        <v>3</v>
      </c>
      <c r="W75" t="s">
        <v>34</v>
      </c>
      <c r="AA75" t="s">
        <v>38</v>
      </c>
      <c r="AB75">
        <v>1</v>
      </c>
      <c r="AC75">
        <v>1</v>
      </c>
      <c r="AD75">
        <v>2</v>
      </c>
      <c r="AE75" t="s">
        <v>39</v>
      </c>
      <c r="AF75" t="s">
        <v>96</v>
      </c>
      <c r="AI75">
        <v>0</v>
      </c>
      <c r="AJ75">
        <v>17</v>
      </c>
    </row>
    <row r="76" spans="1:36" x14ac:dyDescent="0.25">
      <c r="A76" t="s">
        <v>1266</v>
      </c>
      <c r="B76">
        <v>74</v>
      </c>
      <c r="C76" t="s">
        <v>33</v>
      </c>
      <c r="D76">
        <v>3</v>
      </c>
      <c r="F76">
        <v>3</v>
      </c>
      <c r="G76" t="s">
        <v>34</v>
      </c>
      <c r="H76" t="s">
        <v>66</v>
      </c>
      <c r="I76" t="s">
        <v>131</v>
      </c>
      <c r="J76" t="s">
        <v>37</v>
      </c>
      <c r="K76" t="s">
        <v>56</v>
      </c>
      <c r="L76">
        <v>2</v>
      </c>
      <c r="N76">
        <v>3</v>
      </c>
      <c r="O76" t="s">
        <v>120</v>
      </c>
      <c r="P76" t="s">
        <v>69</v>
      </c>
      <c r="Q76" t="s">
        <v>87</v>
      </c>
      <c r="S76" t="s">
        <v>43</v>
      </c>
      <c r="T76">
        <v>3</v>
      </c>
      <c r="V76">
        <v>3</v>
      </c>
      <c r="W76" t="s">
        <v>73</v>
      </c>
      <c r="X76" t="s">
        <v>136</v>
      </c>
      <c r="Y76" t="s">
        <v>100</v>
      </c>
      <c r="Z76" t="s">
        <v>101</v>
      </c>
      <c r="AA76" t="s">
        <v>227</v>
      </c>
      <c r="AB76">
        <v>1</v>
      </c>
      <c r="AC76">
        <v>3</v>
      </c>
      <c r="AD76">
        <v>3</v>
      </c>
      <c r="AE76" t="s">
        <v>228</v>
      </c>
      <c r="AF76" t="s">
        <v>232</v>
      </c>
      <c r="AG76" t="s">
        <v>235</v>
      </c>
      <c r="AI76">
        <v>0</v>
      </c>
      <c r="AJ76">
        <v>35</v>
      </c>
    </row>
    <row r="77" spans="1:36" x14ac:dyDescent="0.25">
      <c r="A77" t="s">
        <v>1195</v>
      </c>
      <c r="B77">
        <v>75</v>
      </c>
      <c r="C77" t="s">
        <v>63</v>
      </c>
      <c r="D77">
        <v>3</v>
      </c>
      <c r="F77">
        <v>1</v>
      </c>
      <c r="G77" t="s">
        <v>145</v>
      </c>
      <c r="H77" t="s">
        <v>146</v>
      </c>
      <c r="I77" t="s">
        <v>148</v>
      </c>
      <c r="J77" t="s">
        <v>150</v>
      </c>
      <c r="K77" t="s">
        <v>56</v>
      </c>
      <c r="L77">
        <v>2</v>
      </c>
      <c r="N77">
        <v>1</v>
      </c>
      <c r="O77" t="s">
        <v>120</v>
      </c>
      <c r="P77" t="s">
        <v>69</v>
      </c>
      <c r="Q77" t="s">
        <v>85</v>
      </c>
      <c r="S77" t="s">
        <v>33</v>
      </c>
      <c r="T77">
        <v>3</v>
      </c>
      <c r="V77">
        <v>2</v>
      </c>
      <c r="W77" t="s">
        <v>34</v>
      </c>
      <c r="X77" t="s">
        <v>66</v>
      </c>
      <c r="Y77" t="s">
        <v>131</v>
      </c>
      <c r="Z77" t="s">
        <v>37</v>
      </c>
      <c r="AA77" t="s">
        <v>45</v>
      </c>
      <c r="AB77">
        <v>3</v>
      </c>
      <c r="AD77">
        <v>1</v>
      </c>
      <c r="AE77" t="s">
        <v>86</v>
      </c>
      <c r="AI77">
        <v>0</v>
      </c>
      <c r="AJ77">
        <v>21</v>
      </c>
    </row>
    <row r="78" spans="1:36" x14ac:dyDescent="0.25">
      <c r="A78" t="s">
        <v>1196</v>
      </c>
      <c r="B78">
        <v>76</v>
      </c>
      <c r="C78" t="s">
        <v>33</v>
      </c>
      <c r="D78">
        <v>2</v>
      </c>
      <c r="F78">
        <v>3</v>
      </c>
      <c r="G78" t="s">
        <v>34</v>
      </c>
      <c r="H78" t="s">
        <v>66</v>
      </c>
      <c r="I78" t="s">
        <v>132</v>
      </c>
      <c r="K78" t="s">
        <v>56</v>
      </c>
      <c r="L78">
        <v>3</v>
      </c>
      <c r="N78">
        <v>3</v>
      </c>
      <c r="O78" t="s">
        <v>57</v>
      </c>
      <c r="S78" t="s">
        <v>45</v>
      </c>
      <c r="T78">
        <v>3</v>
      </c>
      <c r="V78">
        <v>1</v>
      </c>
      <c r="W78" t="s">
        <v>86</v>
      </c>
      <c r="AA78" t="s">
        <v>38</v>
      </c>
      <c r="AB78">
        <v>1</v>
      </c>
      <c r="AC78">
        <v>1</v>
      </c>
      <c r="AD78">
        <v>3</v>
      </c>
      <c r="AE78" t="s">
        <v>39</v>
      </c>
      <c r="AF78" t="s">
        <v>96</v>
      </c>
      <c r="AG78" t="s">
        <v>153</v>
      </c>
      <c r="AI78">
        <v>0</v>
      </c>
      <c r="AJ78">
        <v>19</v>
      </c>
    </row>
    <row r="79" spans="1:36" x14ac:dyDescent="0.25">
      <c r="A79" t="s">
        <v>1197</v>
      </c>
      <c r="B79">
        <v>77</v>
      </c>
      <c r="C79" t="s">
        <v>33</v>
      </c>
      <c r="D79">
        <v>2</v>
      </c>
      <c r="F79">
        <v>3</v>
      </c>
      <c r="G79" t="s">
        <v>34</v>
      </c>
      <c r="H79" t="s">
        <v>35</v>
      </c>
      <c r="I79" t="s">
        <v>132</v>
      </c>
      <c r="J79" t="s">
        <v>37</v>
      </c>
      <c r="K79" t="s">
        <v>56</v>
      </c>
      <c r="L79">
        <v>2</v>
      </c>
      <c r="N79">
        <v>3</v>
      </c>
      <c r="O79" t="s">
        <v>120</v>
      </c>
      <c r="P79" t="s">
        <v>69</v>
      </c>
      <c r="Q79" t="s">
        <v>87</v>
      </c>
      <c r="S79" t="s">
        <v>45</v>
      </c>
      <c r="T79">
        <v>3</v>
      </c>
      <c r="V79">
        <v>1</v>
      </c>
      <c r="W79" t="s">
        <v>86</v>
      </c>
      <c r="X79" t="s">
        <v>76</v>
      </c>
      <c r="AA79" t="s">
        <v>227</v>
      </c>
      <c r="AB79">
        <v>1</v>
      </c>
      <c r="AC79">
        <v>1</v>
      </c>
      <c r="AD79">
        <v>2</v>
      </c>
      <c r="AE79" t="s">
        <v>228</v>
      </c>
      <c r="AF79" t="s">
        <v>232</v>
      </c>
      <c r="AI79">
        <v>0</v>
      </c>
      <c r="AJ79">
        <v>21</v>
      </c>
    </row>
    <row r="80" spans="1:36" x14ac:dyDescent="0.25">
      <c r="A80" t="s">
        <v>1198</v>
      </c>
      <c r="B80">
        <v>78</v>
      </c>
      <c r="C80" t="s">
        <v>33</v>
      </c>
      <c r="D80">
        <v>3</v>
      </c>
      <c r="F80">
        <v>3</v>
      </c>
      <c r="G80" t="s">
        <v>34</v>
      </c>
      <c r="H80" t="s">
        <v>66</v>
      </c>
      <c r="I80" t="s">
        <v>131</v>
      </c>
      <c r="J80" t="s">
        <v>133</v>
      </c>
      <c r="K80" t="s">
        <v>56</v>
      </c>
      <c r="L80">
        <v>3</v>
      </c>
      <c r="N80">
        <v>3</v>
      </c>
      <c r="O80" t="s">
        <v>57</v>
      </c>
      <c r="P80" t="s">
        <v>69</v>
      </c>
      <c r="Q80" t="s">
        <v>123</v>
      </c>
      <c r="R80" t="s">
        <v>125</v>
      </c>
      <c r="S80" t="s">
        <v>63</v>
      </c>
      <c r="T80">
        <v>2</v>
      </c>
      <c r="V80">
        <v>3</v>
      </c>
      <c r="W80" t="s">
        <v>145</v>
      </c>
      <c r="X80" t="s">
        <v>146</v>
      </c>
      <c r="Y80" t="s">
        <v>104</v>
      </c>
      <c r="Z80" t="s">
        <v>151</v>
      </c>
      <c r="AA80" t="s">
        <v>38</v>
      </c>
      <c r="AB80">
        <v>2</v>
      </c>
      <c r="AC80">
        <v>3</v>
      </c>
      <c r="AD80">
        <v>3</v>
      </c>
      <c r="AE80" t="s">
        <v>39</v>
      </c>
      <c r="AF80" t="s">
        <v>96</v>
      </c>
      <c r="AG80" t="s">
        <v>153</v>
      </c>
      <c r="AH80" t="s">
        <v>156</v>
      </c>
      <c r="AI80">
        <v>0</v>
      </c>
      <c r="AJ80">
        <v>35</v>
      </c>
    </row>
    <row r="81" spans="1:36" x14ac:dyDescent="0.25">
      <c r="A81" t="s">
        <v>1199</v>
      </c>
      <c r="B81">
        <v>79</v>
      </c>
      <c r="C81" t="s">
        <v>56</v>
      </c>
      <c r="D81">
        <v>3</v>
      </c>
      <c r="F81">
        <v>3</v>
      </c>
      <c r="G81" t="s">
        <v>120</v>
      </c>
      <c r="H81" t="s">
        <v>69</v>
      </c>
      <c r="I81" t="s">
        <v>87</v>
      </c>
      <c r="J81" t="s">
        <v>125</v>
      </c>
      <c r="K81" t="s">
        <v>33</v>
      </c>
      <c r="L81">
        <v>2</v>
      </c>
      <c r="N81">
        <v>2</v>
      </c>
      <c r="O81" t="s">
        <v>34</v>
      </c>
      <c r="P81" t="s">
        <v>66</v>
      </c>
      <c r="Q81" t="s">
        <v>132</v>
      </c>
      <c r="R81" t="s">
        <v>133</v>
      </c>
      <c r="S81" t="s">
        <v>63</v>
      </c>
      <c r="T81">
        <v>1</v>
      </c>
      <c r="V81">
        <v>1</v>
      </c>
      <c r="W81" t="s">
        <v>145</v>
      </c>
      <c r="X81" t="s">
        <v>91</v>
      </c>
      <c r="Y81" t="s">
        <v>148</v>
      </c>
      <c r="Z81" t="s">
        <v>151</v>
      </c>
      <c r="AA81" t="s">
        <v>227</v>
      </c>
      <c r="AB81">
        <v>3</v>
      </c>
      <c r="AC81">
        <v>3</v>
      </c>
      <c r="AD81">
        <v>3</v>
      </c>
      <c r="AE81" t="s">
        <v>228</v>
      </c>
      <c r="AF81" t="s">
        <v>232</v>
      </c>
      <c r="AG81" t="s">
        <v>235</v>
      </c>
      <c r="AH81" t="s">
        <v>238</v>
      </c>
      <c r="AI81">
        <v>0</v>
      </c>
      <c r="AJ81">
        <v>31</v>
      </c>
    </row>
    <row r="82" spans="1:36" x14ac:dyDescent="0.25">
      <c r="A82" t="s">
        <v>1267</v>
      </c>
      <c r="B82">
        <v>80</v>
      </c>
      <c r="C82" t="s">
        <v>227</v>
      </c>
      <c r="D82">
        <v>1</v>
      </c>
      <c r="E82">
        <v>3</v>
      </c>
      <c r="F82">
        <v>3</v>
      </c>
      <c r="G82" t="s">
        <v>228</v>
      </c>
      <c r="H82" t="s">
        <v>232</v>
      </c>
      <c r="I82" t="s">
        <v>234</v>
      </c>
      <c r="J82" t="s">
        <v>238</v>
      </c>
      <c r="K82" t="s">
        <v>56</v>
      </c>
      <c r="L82">
        <v>3</v>
      </c>
      <c r="N82">
        <v>3</v>
      </c>
      <c r="O82" t="s">
        <v>120</v>
      </c>
      <c r="P82" t="s">
        <v>69</v>
      </c>
      <c r="Q82" t="s">
        <v>87</v>
      </c>
      <c r="R82" t="s">
        <v>124</v>
      </c>
      <c r="S82" t="s">
        <v>33</v>
      </c>
      <c r="T82">
        <v>2</v>
      </c>
      <c r="V82">
        <v>3</v>
      </c>
      <c r="W82" t="s">
        <v>34</v>
      </c>
      <c r="X82" t="s">
        <v>66</v>
      </c>
      <c r="Y82" t="s">
        <v>132</v>
      </c>
      <c r="AA82" t="s">
        <v>38</v>
      </c>
      <c r="AB82">
        <v>1</v>
      </c>
      <c r="AC82">
        <v>1</v>
      </c>
      <c r="AD82">
        <v>3</v>
      </c>
      <c r="AE82" t="s">
        <v>39</v>
      </c>
      <c r="AF82" t="s">
        <v>40</v>
      </c>
      <c r="AG82" t="s">
        <v>153</v>
      </c>
      <c r="AI82">
        <v>0</v>
      </c>
      <c r="AJ82">
        <v>28</v>
      </c>
    </row>
    <row r="83" spans="1:36" x14ac:dyDescent="0.25">
      <c r="A83" t="s">
        <v>1200</v>
      </c>
      <c r="B83">
        <v>81</v>
      </c>
      <c r="C83" t="s">
        <v>45</v>
      </c>
      <c r="D83">
        <v>3</v>
      </c>
      <c r="F83">
        <v>3</v>
      </c>
      <c r="G83" t="s">
        <v>86</v>
      </c>
      <c r="H83" t="s">
        <v>76</v>
      </c>
      <c r="I83" t="s">
        <v>102</v>
      </c>
      <c r="J83" t="s">
        <v>143</v>
      </c>
      <c r="K83" t="s">
        <v>56</v>
      </c>
      <c r="L83">
        <v>3</v>
      </c>
      <c r="N83">
        <v>3</v>
      </c>
      <c r="O83" t="s">
        <v>120</v>
      </c>
      <c r="P83" t="s">
        <v>69</v>
      </c>
      <c r="Q83" t="s">
        <v>87</v>
      </c>
      <c r="R83" t="s">
        <v>88</v>
      </c>
      <c r="S83" t="s">
        <v>43</v>
      </c>
      <c r="T83">
        <v>3</v>
      </c>
      <c r="V83">
        <v>3</v>
      </c>
      <c r="W83" t="s">
        <v>73</v>
      </c>
      <c r="X83" t="s">
        <v>136</v>
      </c>
      <c r="Y83" t="s">
        <v>100</v>
      </c>
      <c r="Z83" t="s">
        <v>139</v>
      </c>
      <c r="AA83" t="s">
        <v>63</v>
      </c>
      <c r="AB83">
        <v>3</v>
      </c>
      <c r="AD83">
        <v>3</v>
      </c>
      <c r="AE83" t="s">
        <v>145</v>
      </c>
      <c r="AF83" t="s">
        <v>146</v>
      </c>
      <c r="AG83" t="s">
        <v>148</v>
      </c>
      <c r="AH83" t="s">
        <v>150</v>
      </c>
      <c r="AI83">
        <v>0</v>
      </c>
      <c r="AJ83">
        <v>40</v>
      </c>
    </row>
    <row r="84" spans="1:36" x14ac:dyDescent="0.25">
      <c r="A84" t="s">
        <v>1201</v>
      </c>
      <c r="B84">
        <v>82</v>
      </c>
      <c r="C84" t="s">
        <v>43</v>
      </c>
      <c r="D84">
        <v>3</v>
      </c>
      <c r="F84">
        <v>3</v>
      </c>
      <c r="G84" t="s">
        <v>73</v>
      </c>
      <c r="H84" t="s">
        <v>136</v>
      </c>
      <c r="I84" t="s">
        <v>100</v>
      </c>
      <c r="J84" t="s">
        <v>138</v>
      </c>
      <c r="K84" t="s">
        <v>56</v>
      </c>
      <c r="L84">
        <v>3</v>
      </c>
      <c r="N84">
        <v>3</v>
      </c>
      <c r="O84" t="s">
        <v>120</v>
      </c>
      <c r="P84" t="s">
        <v>69</v>
      </c>
      <c r="Q84" t="s">
        <v>87</v>
      </c>
      <c r="R84" t="s">
        <v>88</v>
      </c>
      <c r="S84" t="s">
        <v>45</v>
      </c>
      <c r="T84">
        <v>3</v>
      </c>
      <c r="V84">
        <v>3</v>
      </c>
      <c r="W84" t="s">
        <v>47</v>
      </c>
      <c r="X84" t="s">
        <v>141</v>
      </c>
      <c r="Y84" t="s">
        <v>102</v>
      </c>
      <c r="Z84" t="s">
        <v>144</v>
      </c>
      <c r="AA84" t="s">
        <v>38</v>
      </c>
      <c r="AB84">
        <v>2</v>
      </c>
      <c r="AC84">
        <v>3</v>
      </c>
      <c r="AD84">
        <v>3</v>
      </c>
      <c r="AE84" t="s">
        <v>39</v>
      </c>
      <c r="AF84" t="s">
        <v>96</v>
      </c>
      <c r="AG84" t="s">
        <v>153</v>
      </c>
      <c r="AH84" t="s">
        <v>156</v>
      </c>
      <c r="AI84">
        <v>0</v>
      </c>
      <c r="AJ84">
        <v>38</v>
      </c>
    </row>
    <row r="85" spans="1:36" x14ac:dyDescent="0.25">
      <c r="A85" t="s">
        <v>1202</v>
      </c>
      <c r="B85">
        <v>83</v>
      </c>
      <c r="C85" t="s">
        <v>56</v>
      </c>
      <c r="D85">
        <v>3</v>
      </c>
      <c r="F85">
        <v>3</v>
      </c>
      <c r="G85" t="s">
        <v>120</v>
      </c>
      <c r="H85" t="s">
        <v>69</v>
      </c>
      <c r="I85" t="s">
        <v>87</v>
      </c>
      <c r="J85" t="s">
        <v>125</v>
      </c>
      <c r="K85" t="s">
        <v>43</v>
      </c>
      <c r="L85">
        <v>3</v>
      </c>
      <c r="N85">
        <v>3</v>
      </c>
      <c r="O85" t="s">
        <v>135</v>
      </c>
      <c r="P85" t="s">
        <v>136</v>
      </c>
      <c r="Q85" t="s">
        <v>100</v>
      </c>
      <c r="R85" t="s">
        <v>138</v>
      </c>
      <c r="S85" t="s">
        <v>45</v>
      </c>
      <c r="T85">
        <v>3</v>
      </c>
      <c r="V85">
        <v>3</v>
      </c>
      <c r="W85" t="s">
        <v>86</v>
      </c>
      <c r="X85" t="s">
        <v>141</v>
      </c>
      <c r="Y85" t="s">
        <v>142</v>
      </c>
      <c r="Z85" t="s">
        <v>144</v>
      </c>
      <c r="AA85" t="s">
        <v>227</v>
      </c>
      <c r="AB85">
        <v>3</v>
      </c>
      <c r="AC85">
        <v>3</v>
      </c>
      <c r="AD85">
        <v>3</v>
      </c>
      <c r="AE85" t="s">
        <v>229</v>
      </c>
      <c r="AF85" t="s">
        <v>232</v>
      </c>
      <c r="AG85" t="s">
        <v>235</v>
      </c>
      <c r="AH85" t="s">
        <v>238</v>
      </c>
      <c r="AI85">
        <v>0</v>
      </c>
      <c r="AJ85">
        <v>55</v>
      </c>
    </row>
    <row r="86" spans="1:36" x14ac:dyDescent="0.25">
      <c r="A86" t="s">
        <v>1203</v>
      </c>
      <c r="B86">
        <v>84</v>
      </c>
      <c r="C86" t="s">
        <v>38</v>
      </c>
      <c r="D86">
        <v>3</v>
      </c>
      <c r="E86">
        <v>3</v>
      </c>
      <c r="F86">
        <v>3</v>
      </c>
      <c r="G86" t="s">
        <v>39</v>
      </c>
      <c r="H86" t="s">
        <v>40</v>
      </c>
      <c r="I86" t="s">
        <v>153</v>
      </c>
      <c r="J86" t="s">
        <v>156</v>
      </c>
      <c r="K86" t="s">
        <v>56</v>
      </c>
      <c r="L86">
        <v>3</v>
      </c>
      <c r="N86">
        <v>3</v>
      </c>
      <c r="O86" t="s">
        <v>120</v>
      </c>
      <c r="P86" t="s">
        <v>122</v>
      </c>
      <c r="Q86" t="s">
        <v>123</v>
      </c>
      <c r="R86" t="s">
        <v>124</v>
      </c>
      <c r="S86" t="s">
        <v>43</v>
      </c>
      <c r="T86">
        <v>3</v>
      </c>
      <c r="V86">
        <v>3</v>
      </c>
      <c r="W86" t="s">
        <v>73</v>
      </c>
      <c r="X86" t="s">
        <v>74</v>
      </c>
      <c r="Y86" t="s">
        <v>100</v>
      </c>
      <c r="Z86" t="s">
        <v>139</v>
      </c>
      <c r="AA86" t="s">
        <v>63</v>
      </c>
      <c r="AB86">
        <v>3</v>
      </c>
      <c r="AD86">
        <v>3</v>
      </c>
      <c r="AE86" t="s">
        <v>145</v>
      </c>
      <c r="AF86" t="s">
        <v>146</v>
      </c>
      <c r="AG86" t="s">
        <v>148</v>
      </c>
      <c r="AH86" t="s">
        <v>151</v>
      </c>
      <c r="AI86">
        <v>0</v>
      </c>
      <c r="AJ86">
        <v>54</v>
      </c>
    </row>
    <row r="87" spans="1:36" x14ac:dyDescent="0.25">
      <c r="A87" t="s">
        <v>1268</v>
      </c>
      <c r="B87">
        <v>85</v>
      </c>
      <c r="C87" t="s">
        <v>63</v>
      </c>
      <c r="D87">
        <v>3</v>
      </c>
      <c r="F87">
        <v>3</v>
      </c>
      <c r="G87" t="s">
        <v>145</v>
      </c>
      <c r="H87" t="s">
        <v>91</v>
      </c>
      <c r="I87" t="s">
        <v>148</v>
      </c>
      <c r="J87" t="s">
        <v>151</v>
      </c>
      <c r="K87" t="s">
        <v>56</v>
      </c>
      <c r="L87">
        <v>3</v>
      </c>
      <c r="N87">
        <v>3</v>
      </c>
      <c r="O87" t="s">
        <v>120</v>
      </c>
      <c r="P87" t="s">
        <v>69</v>
      </c>
      <c r="Q87" t="s">
        <v>87</v>
      </c>
      <c r="R87" t="s">
        <v>125</v>
      </c>
      <c r="S87" t="s">
        <v>43</v>
      </c>
      <c r="T87">
        <v>3</v>
      </c>
      <c r="V87">
        <v>3</v>
      </c>
      <c r="W87" t="s">
        <v>73</v>
      </c>
      <c r="X87" t="s">
        <v>136</v>
      </c>
      <c r="Y87" t="s">
        <v>137</v>
      </c>
      <c r="Z87" t="s">
        <v>139</v>
      </c>
      <c r="AA87" t="s">
        <v>227</v>
      </c>
      <c r="AB87">
        <v>3</v>
      </c>
      <c r="AC87">
        <v>3</v>
      </c>
      <c r="AD87">
        <v>3</v>
      </c>
      <c r="AE87" t="s">
        <v>229</v>
      </c>
      <c r="AF87" t="s">
        <v>231</v>
      </c>
      <c r="AG87" t="s">
        <v>235</v>
      </c>
      <c r="AH87" t="s">
        <v>239</v>
      </c>
      <c r="AI87">
        <v>0</v>
      </c>
      <c r="AJ87">
        <v>47</v>
      </c>
    </row>
    <row r="88" spans="1:36" x14ac:dyDescent="0.25">
      <c r="A88" t="s">
        <v>1204</v>
      </c>
      <c r="B88">
        <v>86</v>
      </c>
      <c r="C88" t="s">
        <v>38</v>
      </c>
      <c r="D88">
        <v>3</v>
      </c>
      <c r="E88">
        <v>3</v>
      </c>
      <c r="F88">
        <v>3</v>
      </c>
      <c r="G88" t="s">
        <v>39</v>
      </c>
      <c r="H88" t="s">
        <v>40</v>
      </c>
      <c r="I88" t="s">
        <v>153</v>
      </c>
      <c r="J88" t="s">
        <v>156</v>
      </c>
      <c r="K88" t="s">
        <v>56</v>
      </c>
      <c r="L88">
        <v>3</v>
      </c>
      <c r="N88">
        <v>3</v>
      </c>
      <c r="O88" t="s">
        <v>120</v>
      </c>
      <c r="P88" t="s">
        <v>69</v>
      </c>
      <c r="Q88" t="s">
        <v>87</v>
      </c>
      <c r="R88" t="s">
        <v>125</v>
      </c>
      <c r="S88" t="s">
        <v>43</v>
      </c>
      <c r="T88">
        <v>3</v>
      </c>
      <c r="V88">
        <v>3</v>
      </c>
      <c r="W88" t="s">
        <v>73</v>
      </c>
      <c r="X88" t="s">
        <v>136</v>
      </c>
      <c r="Y88" t="s">
        <v>100</v>
      </c>
      <c r="Z88" t="s">
        <v>139</v>
      </c>
      <c r="AA88" t="s">
        <v>227</v>
      </c>
      <c r="AB88">
        <v>3</v>
      </c>
      <c r="AC88">
        <v>3</v>
      </c>
      <c r="AD88">
        <v>3</v>
      </c>
      <c r="AE88" t="s">
        <v>229</v>
      </c>
      <c r="AF88" t="s">
        <v>231</v>
      </c>
      <c r="AG88" t="s">
        <v>235</v>
      </c>
      <c r="AH88" t="s">
        <v>238</v>
      </c>
      <c r="AI88">
        <v>0</v>
      </c>
      <c r="AJ88">
        <v>49</v>
      </c>
    </row>
    <row r="89" spans="1:36" x14ac:dyDescent="0.25">
      <c r="A89" t="s">
        <v>1269</v>
      </c>
      <c r="B89">
        <v>87</v>
      </c>
      <c r="C89" t="s">
        <v>45</v>
      </c>
      <c r="D89">
        <v>2</v>
      </c>
      <c r="F89">
        <v>1</v>
      </c>
      <c r="G89" t="s">
        <v>86</v>
      </c>
      <c r="H89" t="s">
        <v>141</v>
      </c>
      <c r="I89" t="s">
        <v>93</v>
      </c>
      <c r="K89" t="s">
        <v>56</v>
      </c>
      <c r="L89">
        <v>3</v>
      </c>
      <c r="N89">
        <v>3</v>
      </c>
      <c r="O89" t="s">
        <v>120</v>
      </c>
      <c r="P89" t="s">
        <v>69</v>
      </c>
      <c r="Q89" t="s">
        <v>123</v>
      </c>
      <c r="R89" t="s">
        <v>125</v>
      </c>
      <c r="S89" t="s">
        <v>63</v>
      </c>
      <c r="T89">
        <v>3</v>
      </c>
      <c r="V89">
        <v>3</v>
      </c>
      <c r="W89" t="s">
        <v>103</v>
      </c>
      <c r="X89" t="s">
        <v>146</v>
      </c>
      <c r="Y89" t="s">
        <v>148</v>
      </c>
      <c r="Z89" t="s">
        <v>151</v>
      </c>
      <c r="AA89" t="s">
        <v>38</v>
      </c>
      <c r="AB89">
        <v>3</v>
      </c>
      <c r="AC89">
        <v>3</v>
      </c>
      <c r="AD89">
        <v>3</v>
      </c>
      <c r="AE89" t="s">
        <v>39</v>
      </c>
      <c r="AF89" t="s">
        <v>40</v>
      </c>
      <c r="AG89" t="s">
        <v>153</v>
      </c>
      <c r="AH89" t="s">
        <v>156</v>
      </c>
      <c r="AI89">
        <v>0</v>
      </c>
      <c r="AJ89">
        <v>46</v>
      </c>
    </row>
    <row r="90" spans="1:36" x14ac:dyDescent="0.25">
      <c r="A90" t="s">
        <v>1270</v>
      </c>
      <c r="B90">
        <v>88</v>
      </c>
      <c r="C90" t="s">
        <v>63</v>
      </c>
      <c r="D90">
        <v>1</v>
      </c>
      <c r="F90">
        <v>1</v>
      </c>
      <c r="G90" t="s">
        <v>145</v>
      </c>
      <c r="H90" t="s">
        <v>91</v>
      </c>
      <c r="I90" t="s">
        <v>148</v>
      </c>
      <c r="J90" t="s">
        <v>151</v>
      </c>
      <c r="K90" t="s">
        <v>56</v>
      </c>
      <c r="L90">
        <v>3</v>
      </c>
      <c r="N90">
        <v>3</v>
      </c>
      <c r="O90" t="s">
        <v>57</v>
      </c>
      <c r="P90" t="s">
        <v>69</v>
      </c>
      <c r="Q90" t="s">
        <v>85</v>
      </c>
      <c r="R90" t="s">
        <v>125</v>
      </c>
      <c r="S90" t="s">
        <v>45</v>
      </c>
      <c r="T90">
        <v>3</v>
      </c>
      <c r="V90">
        <v>3</v>
      </c>
      <c r="W90" t="s">
        <v>86</v>
      </c>
      <c r="X90" t="s">
        <v>141</v>
      </c>
      <c r="Y90" t="s">
        <v>142</v>
      </c>
      <c r="Z90" t="s">
        <v>144</v>
      </c>
      <c r="AA90" t="s">
        <v>227</v>
      </c>
      <c r="AB90">
        <v>3</v>
      </c>
      <c r="AC90">
        <v>3</v>
      </c>
      <c r="AD90">
        <v>3</v>
      </c>
      <c r="AE90" t="s">
        <v>229</v>
      </c>
      <c r="AF90" t="s">
        <v>231</v>
      </c>
      <c r="AG90" t="s">
        <v>234</v>
      </c>
      <c r="AH90" t="s">
        <v>238</v>
      </c>
      <c r="AI90">
        <v>0</v>
      </c>
      <c r="AJ90">
        <v>42</v>
      </c>
    </row>
    <row r="91" spans="1:36" x14ac:dyDescent="0.25">
      <c r="A91" t="s">
        <v>1205</v>
      </c>
      <c r="B91">
        <v>89</v>
      </c>
      <c r="C91" t="s">
        <v>227</v>
      </c>
      <c r="D91">
        <v>3</v>
      </c>
      <c r="E91">
        <v>3</v>
      </c>
      <c r="F91">
        <v>3</v>
      </c>
      <c r="G91" t="s">
        <v>229</v>
      </c>
      <c r="H91" t="s">
        <v>231</v>
      </c>
      <c r="I91" t="s">
        <v>235</v>
      </c>
      <c r="J91" t="s">
        <v>238</v>
      </c>
      <c r="K91" t="s">
        <v>56</v>
      </c>
      <c r="L91">
        <v>3</v>
      </c>
      <c r="N91">
        <v>3</v>
      </c>
      <c r="O91" t="s">
        <v>120</v>
      </c>
      <c r="P91" t="s">
        <v>69</v>
      </c>
      <c r="Q91" t="s">
        <v>87</v>
      </c>
      <c r="R91" t="s">
        <v>88</v>
      </c>
      <c r="S91" t="s">
        <v>45</v>
      </c>
      <c r="T91">
        <v>3</v>
      </c>
      <c r="V91">
        <v>3</v>
      </c>
      <c r="W91" t="s">
        <v>86</v>
      </c>
      <c r="X91" t="s">
        <v>76</v>
      </c>
      <c r="Y91" t="s">
        <v>142</v>
      </c>
      <c r="Z91" t="s">
        <v>144</v>
      </c>
      <c r="AA91" t="s">
        <v>38</v>
      </c>
      <c r="AB91">
        <v>3</v>
      </c>
      <c r="AC91">
        <v>2</v>
      </c>
      <c r="AD91">
        <v>3</v>
      </c>
      <c r="AE91" t="s">
        <v>39</v>
      </c>
      <c r="AF91" t="s">
        <v>96</v>
      </c>
      <c r="AG91" t="s">
        <v>153</v>
      </c>
      <c r="AH91" t="s">
        <v>156</v>
      </c>
      <c r="AI91">
        <v>0</v>
      </c>
      <c r="AJ91">
        <v>43</v>
      </c>
    </row>
    <row r="92" spans="1:36" x14ac:dyDescent="0.25">
      <c r="A92" t="s">
        <v>1206</v>
      </c>
      <c r="B92">
        <v>90</v>
      </c>
      <c r="C92" t="s">
        <v>56</v>
      </c>
      <c r="D92">
        <v>3</v>
      </c>
      <c r="F92">
        <v>3</v>
      </c>
      <c r="G92" t="s">
        <v>57</v>
      </c>
      <c r="H92" t="s">
        <v>69</v>
      </c>
      <c r="I92" t="s">
        <v>85</v>
      </c>
      <c r="J92" t="s">
        <v>125</v>
      </c>
      <c r="K92" t="s">
        <v>63</v>
      </c>
      <c r="L92">
        <v>1</v>
      </c>
      <c r="N92">
        <v>2</v>
      </c>
      <c r="O92" t="s">
        <v>103</v>
      </c>
      <c r="P92" t="s">
        <v>91</v>
      </c>
      <c r="Q92" t="s">
        <v>148</v>
      </c>
      <c r="R92" t="s">
        <v>151</v>
      </c>
      <c r="S92" t="s">
        <v>38</v>
      </c>
      <c r="T92">
        <v>3</v>
      </c>
      <c r="U92">
        <v>3</v>
      </c>
      <c r="V92">
        <v>3</v>
      </c>
      <c r="W92" t="s">
        <v>39</v>
      </c>
      <c r="X92" t="s">
        <v>40</v>
      </c>
      <c r="Y92" t="s">
        <v>153</v>
      </c>
      <c r="Z92" t="s">
        <v>156</v>
      </c>
      <c r="AA92" t="s">
        <v>227</v>
      </c>
      <c r="AB92">
        <v>2</v>
      </c>
      <c r="AC92">
        <v>3</v>
      </c>
      <c r="AD92">
        <v>3</v>
      </c>
      <c r="AE92" t="s">
        <v>229</v>
      </c>
      <c r="AF92" t="s">
        <v>231</v>
      </c>
      <c r="AG92" t="s">
        <v>235</v>
      </c>
      <c r="AH92" t="s">
        <v>238</v>
      </c>
      <c r="AI92">
        <v>0</v>
      </c>
      <c r="AJ92">
        <v>36</v>
      </c>
    </row>
    <row r="93" spans="1:36" x14ac:dyDescent="0.25">
      <c r="A93" t="s">
        <v>1207</v>
      </c>
      <c r="B93">
        <v>91</v>
      </c>
      <c r="C93" t="s">
        <v>45</v>
      </c>
      <c r="D93">
        <v>3</v>
      </c>
      <c r="F93">
        <v>2</v>
      </c>
      <c r="G93" t="s">
        <v>86</v>
      </c>
      <c r="H93" t="s">
        <v>141</v>
      </c>
      <c r="I93" t="s">
        <v>142</v>
      </c>
      <c r="J93" t="s">
        <v>144</v>
      </c>
      <c r="K93" t="s">
        <v>48</v>
      </c>
      <c r="L93">
        <v>1</v>
      </c>
      <c r="N93">
        <v>1</v>
      </c>
      <c r="O93" t="s">
        <v>126</v>
      </c>
      <c r="P93" t="s">
        <v>84</v>
      </c>
      <c r="Q93" t="s">
        <v>90</v>
      </c>
      <c r="S93" t="s">
        <v>33</v>
      </c>
      <c r="T93">
        <v>1</v>
      </c>
      <c r="V93">
        <v>2</v>
      </c>
      <c r="W93" t="s">
        <v>34</v>
      </c>
      <c r="X93" t="s">
        <v>130</v>
      </c>
      <c r="Y93" t="s">
        <v>131</v>
      </c>
      <c r="Z93" t="s">
        <v>37</v>
      </c>
      <c r="AA93" t="s">
        <v>43</v>
      </c>
      <c r="AB93">
        <v>3</v>
      </c>
      <c r="AD93">
        <v>3</v>
      </c>
      <c r="AE93" t="s">
        <v>135</v>
      </c>
      <c r="AF93" t="s">
        <v>136</v>
      </c>
      <c r="AG93" t="s">
        <v>100</v>
      </c>
      <c r="AI93">
        <v>0</v>
      </c>
      <c r="AJ93">
        <v>23</v>
      </c>
    </row>
    <row r="94" spans="1:36" x14ac:dyDescent="0.25">
      <c r="A94" t="s">
        <v>1208</v>
      </c>
      <c r="B94">
        <v>92</v>
      </c>
      <c r="C94" t="s">
        <v>63</v>
      </c>
      <c r="D94">
        <v>3</v>
      </c>
      <c r="F94">
        <v>3</v>
      </c>
      <c r="G94" t="s">
        <v>145</v>
      </c>
      <c r="H94" t="s">
        <v>146</v>
      </c>
      <c r="I94" t="s">
        <v>148</v>
      </c>
      <c r="J94" t="s">
        <v>149</v>
      </c>
      <c r="K94" t="s">
        <v>48</v>
      </c>
      <c r="L94">
        <v>3</v>
      </c>
      <c r="N94">
        <v>3</v>
      </c>
      <c r="O94" t="s">
        <v>126</v>
      </c>
      <c r="P94" t="s">
        <v>84</v>
      </c>
      <c r="Q94" t="s">
        <v>127</v>
      </c>
      <c r="R94" t="s">
        <v>128</v>
      </c>
      <c r="S94" t="s">
        <v>33</v>
      </c>
      <c r="T94">
        <v>3</v>
      </c>
      <c r="V94">
        <v>2</v>
      </c>
      <c r="W94" t="s">
        <v>34</v>
      </c>
      <c r="X94" t="s">
        <v>130</v>
      </c>
      <c r="Y94" t="s">
        <v>131</v>
      </c>
      <c r="Z94" t="s">
        <v>37</v>
      </c>
      <c r="AA94" t="s">
        <v>43</v>
      </c>
      <c r="AB94">
        <v>3</v>
      </c>
      <c r="AD94">
        <v>3</v>
      </c>
      <c r="AE94" t="s">
        <v>135</v>
      </c>
      <c r="AF94" t="s">
        <v>136</v>
      </c>
      <c r="AG94" t="s">
        <v>100</v>
      </c>
      <c r="AH94" t="s">
        <v>139</v>
      </c>
      <c r="AI94">
        <v>0</v>
      </c>
      <c r="AJ94">
        <v>48</v>
      </c>
    </row>
    <row r="95" spans="1:36" x14ac:dyDescent="0.25">
      <c r="A95" t="s">
        <v>1271</v>
      </c>
      <c r="B95">
        <v>93</v>
      </c>
      <c r="C95" t="s">
        <v>38</v>
      </c>
      <c r="D95">
        <v>3</v>
      </c>
      <c r="E95">
        <v>3</v>
      </c>
      <c r="F95">
        <v>3</v>
      </c>
      <c r="G95" t="s">
        <v>39</v>
      </c>
      <c r="H95" t="s">
        <v>40</v>
      </c>
      <c r="I95" t="s">
        <v>153</v>
      </c>
      <c r="J95" t="s">
        <v>156</v>
      </c>
      <c r="K95" t="s">
        <v>48</v>
      </c>
      <c r="L95">
        <v>3</v>
      </c>
      <c r="N95">
        <v>3</v>
      </c>
      <c r="O95" t="s">
        <v>126</v>
      </c>
      <c r="P95" t="s">
        <v>84</v>
      </c>
      <c r="Q95" t="s">
        <v>90</v>
      </c>
      <c r="R95" t="s">
        <v>52</v>
      </c>
      <c r="S95" t="s">
        <v>33</v>
      </c>
      <c r="T95">
        <v>3</v>
      </c>
      <c r="V95">
        <v>3</v>
      </c>
      <c r="W95" t="s">
        <v>34</v>
      </c>
      <c r="X95" t="s">
        <v>130</v>
      </c>
      <c r="Y95" t="s">
        <v>36</v>
      </c>
      <c r="Z95" t="s">
        <v>133</v>
      </c>
      <c r="AA95" t="s">
        <v>43</v>
      </c>
      <c r="AB95">
        <v>2</v>
      </c>
      <c r="AD95">
        <v>2</v>
      </c>
      <c r="AE95" t="s">
        <v>73</v>
      </c>
      <c r="AF95" t="s">
        <v>136</v>
      </c>
      <c r="AG95" t="s">
        <v>100</v>
      </c>
      <c r="AH95" t="s">
        <v>138</v>
      </c>
      <c r="AI95">
        <v>0</v>
      </c>
      <c r="AJ95">
        <v>50</v>
      </c>
    </row>
    <row r="96" spans="1:36" x14ac:dyDescent="0.25">
      <c r="A96" t="s">
        <v>1272</v>
      </c>
      <c r="B96">
        <v>94</v>
      </c>
      <c r="C96" t="s">
        <v>33</v>
      </c>
      <c r="D96">
        <v>3</v>
      </c>
      <c r="F96">
        <v>3</v>
      </c>
      <c r="G96" t="s">
        <v>34</v>
      </c>
      <c r="H96" t="s">
        <v>130</v>
      </c>
      <c r="I96" t="s">
        <v>131</v>
      </c>
      <c r="J96" t="s">
        <v>37</v>
      </c>
      <c r="K96" t="s">
        <v>48</v>
      </c>
      <c r="L96">
        <v>3</v>
      </c>
      <c r="N96">
        <v>3</v>
      </c>
      <c r="O96" t="s">
        <v>126</v>
      </c>
      <c r="P96" t="s">
        <v>84</v>
      </c>
      <c r="Q96" t="s">
        <v>90</v>
      </c>
      <c r="R96" t="s">
        <v>128</v>
      </c>
      <c r="S96" t="s">
        <v>43</v>
      </c>
      <c r="T96">
        <v>3</v>
      </c>
      <c r="V96">
        <v>3</v>
      </c>
      <c r="W96" t="s">
        <v>44</v>
      </c>
      <c r="X96" t="s">
        <v>136</v>
      </c>
      <c r="Y96" t="s">
        <v>100</v>
      </c>
      <c r="Z96" t="s">
        <v>139</v>
      </c>
      <c r="AA96" t="s">
        <v>227</v>
      </c>
      <c r="AB96">
        <v>3</v>
      </c>
      <c r="AC96">
        <v>3</v>
      </c>
      <c r="AD96">
        <v>3</v>
      </c>
      <c r="AE96" t="s">
        <v>229</v>
      </c>
      <c r="AF96" t="s">
        <v>232</v>
      </c>
      <c r="AG96" t="s">
        <v>235</v>
      </c>
      <c r="AH96" t="s">
        <v>238</v>
      </c>
      <c r="AI96">
        <v>0</v>
      </c>
      <c r="AJ96">
        <v>49</v>
      </c>
    </row>
    <row r="97" spans="1:36" x14ac:dyDescent="0.25">
      <c r="A97" t="s">
        <v>1209</v>
      </c>
      <c r="B97">
        <v>95</v>
      </c>
      <c r="C97" t="s">
        <v>45</v>
      </c>
      <c r="D97">
        <v>3</v>
      </c>
      <c r="F97">
        <v>1</v>
      </c>
      <c r="G97" t="s">
        <v>86</v>
      </c>
      <c r="H97" t="s">
        <v>141</v>
      </c>
      <c r="I97" t="s">
        <v>102</v>
      </c>
      <c r="J97" t="s">
        <v>94</v>
      </c>
      <c r="K97" t="s">
        <v>48</v>
      </c>
      <c r="L97">
        <v>2</v>
      </c>
      <c r="N97">
        <v>1</v>
      </c>
      <c r="O97" t="s">
        <v>126</v>
      </c>
      <c r="P97" t="s">
        <v>84</v>
      </c>
      <c r="Q97" t="s">
        <v>127</v>
      </c>
      <c r="R97" t="s">
        <v>52</v>
      </c>
      <c r="S97" t="s">
        <v>33</v>
      </c>
      <c r="T97">
        <v>1</v>
      </c>
      <c r="V97">
        <v>2</v>
      </c>
      <c r="W97" t="s">
        <v>34</v>
      </c>
      <c r="X97" t="s">
        <v>130</v>
      </c>
      <c r="Y97" t="s">
        <v>131</v>
      </c>
      <c r="AA97" t="s">
        <v>63</v>
      </c>
      <c r="AB97">
        <v>1</v>
      </c>
      <c r="AD97">
        <v>1</v>
      </c>
      <c r="AE97" t="s">
        <v>145</v>
      </c>
      <c r="AF97" t="s">
        <v>91</v>
      </c>
      <c r="AG97" t="s">
        <v>148</v>
      </c>
      <c r="AH97" t="s">
        <v>151</v>
      </c>
      <c r="AI97">
        <v>0</v>
      </c>
      <c r="AJ97">
        <v>19</v>
      </c>
    </row>
    <row r="98" spans="1:36" x14ac:dyDescent="0.25">
      <c r="A98" t="s">
        <v>1210</v>
      </c>
      <c r="B98">
        <v>96</v>
      </c>
      <c r="C98" t="s">
        <v>45</v>
      </c>
      <c r="D98">
        <v>3</v>
      </c>
      <c r="F98">
        <v>3</v>
      </c>
      <c r="G98" t="s">
        <v>47</v>
      </c>
      <c r="H98" t="s">
        <v>141</v>
      </c>
      <c r="I98" t="s">
        <v>142</v>
      </c>
      <c r="J98" t="s">
        <v>144</v>
      </c>
      <c r="K98" t="s">
        <v>48</v>
      </c>
      <c r="L98">
        <v>2</v>
      </c>
      <c r="N98">
        <v>3</v>
      </c>
      <c r="O98" t="s">
        <v>126</v>
      </c>
      <c r="P98" t="s">
        <v>84</v>
      </c>
      <c r="Q98" t="s">
        <v>127</v>
      </c>
      <c r="R98" t="s">
        <v>128</v>
      </c>
      <c r="S98" t="s">
        <v>33</v>
      </c>
      <c r="T98">
        <v>1</v>
      </c>
      <c r="V98">
        <v>3</v>
      </c>
      <c r="W98" t="s">
        <v>34</v>
      </c>
      <c r="X98" t="s">
        <v>130</v>
      </c>
      <c r="Y98" t="s">
        <v>132</v>
      </c>
      <c r="Z98" t="s">
        <v>133</v>
      </c>
      <c r="AA98" t="s">
        <v>38</v>
      </c>
      <c r="AB98">
        <v>3</v>
      </c>
      <c r="AC98">
        <v>3</v>
      </c>
      <c r="AD98">
        <v>2</v>
      </c>
      <c r="AE98" t="s">
        <v>39</v>
      </c>
      <c r="AF98" t="s">
        <v>40</v>
      </c>
      <c r="AG98" t="s">
        <v>154</v>
      </c>
      <c r="AH98" t="s">
        <v>156</v>
      </c>
      <c r="AI98">
        <v>0</v>
      </c>
      <c r="AJ98">
        <v>31</v>
      </c>
    </row>
    <row r="99" spans="1:36" x14ac:dyDescent="0.25">
      <c r="A99" t="s">
        <v>1211</v>
      </c>
      <c r="B99">
        <v>97</v>
      </c>
      <c r="C99" t="s">
        <v>227</v>
      </c>
      <c r="D99">
        <v>3</v>
      </c>
      <c r="E99">
        <v>1</v>
      </c>
      <c r="F99">
        <v>3</v>
      </c>
      <c r="G99" t="s">
        <v>228</v>
      </c>
      <c r="H99" t="s">
        <v>231</v>
      </c>
      <c r="I99" t="s">
        <v>235</v>
      </c>
      <c r="J99" t="s">
        <v>238</v>
      </c>
      <c r="K99" t="s">
        <v>48</v>
      </c>
      <c r="L99">
        <v>1</v>
      </c>
      <c r="N99">
        <v>1</v>
      </c>
      <c r="O99" t="s">
        <v>126</v>
      </c>
      <c r="P99" t="s">
        <v>84</v>
      </c>
      <c r="Q99" t="s">
        <v>90</v>
      </c>
      <c r="S99" t="s">
        <v>33</v>
      </c>
      <c r="T99">
        <v>3</v>
      </c>
      <c r="V99">
        <v>3</v>
      </c>
      <c r="W99" t="s">
        <v>34</v>
      </c>
      <c r="X99" t="s">
        <v>130</v>
      </c>
      <c r="Y99" t="s">
        <v>131</v>
      </c>
      <c r="Z99" t="s">
        <v>37</v>
      </c>
      <c r="AA99" t="s">
        <v>45</v>
      </c>
      <c r="AB99">
        <v>3</v>
      </c>
      <c r="AD99">
        <v>3</v>
      </c>
      <c r="AE99" t="s">
        <v>47</v>
      </c>
      <c r="AF99" t="s">
        <v>76</v>
      </c>
      <c r="AG99" t="s">
        <v>142</v>
      </c>
      <c r="AH99" t="s">
        <v>144</v>
      </c>
      <c r="AI99">
        <v>0</v>
      </c>
      <c r="AJ99">
        <v>28</v>
      </c>
    </row>
    <row r="100" spans="1:36" x14ac:dyDescent="0.25">
      <c r="A100" t="s">
        <v>1273</v>
      </c>
      <c r="B100">
        <v>98</v>
      </c>
      <c r="C100" t="s">
        <v>33</v>
      </c>
      <c r="D100">
        <v>3</v>
      </c>
      <c r="F100">
        <v>3</v>
      </c>
      <c r="G100" t="s">
        <v>34</v>
      </c>
      <c r="H100" t="s">
        <v>66</v>
      </c>
      <c r="I100" t="s">
        <v>132</v>
      </c>
      <c r="J100" t="s">
        <v>133</v>
      </c>
      <c r="K100" t="s">
        <v>48</v>
      </c>
      <c r="L100">
        <v>1</v>
      </c>
      <c r="N100">
        <v>1</v>
      </c>
      <c r="O100" t="s">
        <v>126</v>
      </c>
      <c r="P100" t="s">
        <v>84</v>
      </c>
      <c r="S100" t="s">
        <v>63</v>
      </c>
      <c r="T100">
        <v>1</v>
      </c>
      <c r="V100">
        <v>2</v>
      </c>
      <c r="W100" t="s">
        <v>145</v>
      </c>
      <c r="X100" t="s">
        <v>91</v>
      </c>
      <c r="Y100" t="s">
        <v>104</v>
      </c>
      <c r="Z100" t="s">
        <v>150</v>
      </c>
      <c r="AA100" t="s">
        <v>38</v>
      </c>
      <c r="AB100">
        <v>3</v>
      </c>
      <c r="AC100">
        <v>3</v>
      </c>
      <c r="AD100">
        <v>2</v>
      </c>
      <c r="AE100" t="s">
        <v>39</v>
      </c>
      <c r="AF100" t="s">
        <v>40</v>
      </c>
      <c r="AG100" t="s">
        <v>153</v>
      </c>
      <c r="AH100" t="s">
        <v>156</v>
      </c>
      <c r="AI100">
        <v>0</v>
      </c>
      <c r="AJ100">
        <v>25</v>
      </c>
    </row>
    <row r="101" spans="1:36" x14ac:dyDescent="0.25">
      <c r="A101" t="s">
        <v>1274</v>
      </c>
      <c r="B101">
        <v>99</v>
      </c>
      <c r="C101" t="s">
        <v>33</v>
      </c>
      <c r="D101">
        <v>3</v>
      </c>
      <c r="F101">
        <v>3</v>
      </c>
      <c r="G101" t="s">
        <v>34</v>
      </c>
      <c r="H101" t="s">
        <v>66</v>
      </c>
      <c r="I101" t="s">
        <v>132</v>
      </c>
      <c r="J101" t="s">
        <v>37</v>
      </c>
      <c r="K101" t="s">
        <v>48</v>
      </c>
      <c r="L101">
        <v>3</v>
      </c>
      <c r="N101">
        <v>3</v>
      </c>
      <c r="O101" t="s">
        <v>126</v>
      </c>
      <c r="P101" t="s">
        <v>71</v>
      </c>
      <c r="Q101" t="s">
        <v>90</v>
      </c>
      <c r="S101" t="s">
        <v>63</v>
      </c>
      <c r="T101">
        <v>3</v>
      </c>
      <c r="V101">
        <v>3</v>
      </c>
      <c r="W101" t="s">
        <v>145</v>
      </c>
      <c r="X101" t="s">
        <v>91</v>
      </c>
      <c r="Y101" t="s">
        <v>148</v>
      </c>
      <c r="Z101" t="s">
        <v>151</v>
      </c>
      <c r="AA101" t="s">
        <v>227</v>
      </c>
      <c r="AB101">
        <v>2</v>
      </c>
      <c r="AC101">
        <v>2</v>
      </c>
      <c r="AD101">
        <v>3</v>
      </c>
      <c r="AE101" t="s">
        <v>229</v>
      </c>
      <c r="AF101" t="s">
        <v>231</v>
      </c>
      <c r="AI101">
        <v>0</v>
      </c>
      <c r="AJ101">
        <v>30</v>
      </c>
    </row>
    <row r="102" spans="1:36" x14ac:dyDescent="0.25">
      <c r="A102" t="s">
        <v>1212</v>
      </c>
      <c r="B102">
        <v>100</v>
      </c>
      <c r="C102" t="s">
        <v>33</v>
      </c>
      <c r="D102">
        <v>3</v>
      </c>
      <c r="F102">
        <v>3</v>
      </c>
      <c r="G102" t="s">
        <v>34</v>
      </c>
      <c r="H102" t="s">
        <v>130</v>
      </c>
      <c r="I102" t="s">
        <v>132</v>
      </c>
      <c r="J102" t="s">
        <v>133</v>
      </c>
      <c r="K102" t="s">
        <v>48</v>
      </c>
      <c r="L102">
        <v>3</v>
      </c>
      <c r="N102">
        <v>3</v>
      </c>
      <c r="O102" t="s">
        <v>126</v>
      </c>
      <c r="P102" t="s">
        <v>84</v>
      </c>
      <c r="Q102" t="s">
        <v>90</v>
      </c>
      <c r="R102" t="s">
        <v>128</v>
      </c>
      <c r="S102" t="s">
        <v>38</v>
      </c>
      <c r="T102">
        <v>3</v>
      </c>
      <c r="U102">
        <v>3</v>
      </c>
      <c r="V102">
        <v>3</v>
      </c>
      <c r="W102" t="s">
        <v>39</v>
      </c>
      <c r="X102" t="s">
        <v>40</v>
      </c>
      <c r="Y102" t="s">
        <v>153</v>
      </c>
      <c r="Z102" t="s">
        <v>156</v>
      </c>
      <c r="AA102" t="s">
        <v>227</v>
      </c>
      <c r="AB102">
        <v>1</v>
      </c>
      <c r="AC102">
        <v>3</v>
      </c>
      <c r="AD102">
        <v>3</v>
      </c>
      <c r="AE102" t="s">
        <v>229</v>
      </c>
      <c r="AF102" t="s">
        <v>232</v>
      </c>
      <c r="AG102" t="s">
        <v>235</v>
      </c>
      <c r="AH102" t="s">
        <v>238</v>
      </c>
      <c r="AI102">
        <v>0</v>
      </c>
      <c r="AJ102">
        <v>46</v>
      </c>
    </row>
    <row r="103" spans="1:36" x14ac:dyDescent="0.25">
      <c r="A103" t="s">
        <v>1213</v>
      </c>
      <c r="B103">
        <v>101</v>
      </c>
      <c r="C103" t="s">
        <v>45</v>
      </c>
      <c r="D103">
        <v>3</v>
      </c>
      <c r="F103">
        <v>2</v>
      </c>
      <c r="G103" t="s">
        <v>86</v>
      </c>
      <c r="H103" t="s">
        <v>141</v>
      </c>
      <c r="I103" t="s">
        <v>102</v>
      </c>
      <c r="J103" t="s">
        <v>144</v>
      </c>
      <c r="K103" t="s">
        <v>48</v>
      </c>
      <c r="L103">
        <v>1</v>
      </c>
      <c r="N103">
        <v>1</v>
      </c>
      <c r="O103" t="s">
        <v>126</v>
      </c>
      <c r="P103" t="s">
        <v>84</v>
      </c>
      <c r="Q103" t="s">
        <v>90</v>
      </c>
      <c r="S103" t="s">
        <v>43</v>
      </c>
      <c r="T103">
        <v>2</v>
      </c>
      <c r="V103">
        <v>2</v>
      </c>
      <c r="W103" t="s">
        <v>73</v>
      </c>
      <c r="X103" t="s">
        <v>136</v>
      </c>
      <c r="Y103" t="s">
        <v>100</v>
      </c>
      <c r="Z103" t="s">
        <v>139</v>
      </c>
      <c r="AA103" t="s">
        <v>63</v>
      </c>
      <c r="AB103">
        <v>3</v>
      </c>
      <c r="AD103">
        <v>3</v>
      </c>
      <c r="AE103" t="s">
        <v>145</v>
      </c>
      <c r="AF103" t="s">
        <v>91</v>
      </c>
      <c r="AG103" t="s">
        <v>148</v>
      </c>
      <c r="AH103" t="s">
        <v>151</v>
      </c>
      <c r="AI103">
        <v>0</v>
      </c>
      <c r="AJ103">
        <v>25</v>
      </c>
    </row>
    <row r="104" spans="1:36" x14ac:dyDescent="0.25">
      <c r="A104" t="s">
        <v>1214</v>
      </c>
      <c r="B104">
        <v>102</v>
      </c>
      <c r="C104" t="s">
        <v>45</v>
      </c>
      <c r="D104">
        <v>3</v>
      </c>
      <c r="F104">
        <v>3</v>
      </c>
      <c r="G104" t="s">
        <v>86</v>
      </c>
      <c r="H104" t="s">
        <v>141</v>
      </c>
      <c r="I104" t="s">
        <v>102</v>
      </c>
      <c r="J104" t="s">
        <v>144</v>
      </c>
      <c r="K104" t="s">
        <v>48</v>
      </c>
      <c r="L104">
        <v>1</v>
      </c>
      <c r="N104">
        <v>1</v>
      </c>
      <c r="O104" t="s">
        <v>126</v>
      </c>
      <c r="P104" t="s">
        <v>84</v>
      </c>
      <c r="S104" t="s">
        <v>43</v>
      </c>
      <c r="T104">
        <v>3</v>
      </c>
      <c r="V104">
        <v>3</v>
      </c>
      <c r="W104" t="s">
        <v>73</v>
      </c>
      <c r="X104" t="s">
        <v>74</v>
      </c>
      <c r="Y104" t="s">
        <v>100</v>
      </c>
      <c r="Z104" t="s">
        <v>139</v>
      </c>
      <c r="AA104" t="s">
        <v>38</v>
      </c>
      <c r="AB104">
        <v>3</v>
      </c>
      <c r="AC104">
        <v>3</v>
      </c>
      <c r="AD104">
        <v>3</v>
      </c>
      <c r="AE104" t="s">
        <v>39</v>
      </c>
      <c r="AF104" t="s">
        <v>40</v>
      </c>
      <c r="AG104" t="s">
        <v>153</v>
      </c>
      <c r="AH104" t="s">
        <v>156</v>
      </c>
      <c r="AI104">
        <v>0</v>
      </c>
      <c r="AJ104">
        <v>38</v>
      </c>
    </row>
    <row r="105" spans="1:36" x14ac:dyDescent="0.25">
      <c r="A105" t="s">
        <v>1275</v>
      </c>
      <c r="B105">
        <v>103</v>
      </c>
      <c r="C105" t="s">
        <v>45</v>
      </c>
      <c r="D105">
        <v>3</v>
      </c>
      <c r="F105">
        <v>3</v>
      </c>
      <c r="G105" t="s">
        <v>86</v>
      </c>
      <c r="H105" t="s">
        <v>141</v>
      </c>
      <c r="I105" t="s">
        <v>142</v>
      </c>
      <c r="J105" t="s">
        <v>143</v>
      </c>
      <c r="K105" t="s">
        <v>48</v>
      </c>
      <c r="L105">
        <v>3</v>
      </c>
      <c r="N105">
        <v>1</v>
      </c>
      <c r="O105" t="s">
        <v>126</v>
      </c>
      <c r="P105" t="s">
        <v>84</v>
      </c>
      <c r="Q105" t="s">
        <v>90</v>
      </c>
      <c r="R105" t="s">
        <v>128</v>
      </c>
      <c r="S105" t="s">
        <v>43</v>
      </c>
      <c r="T105">
        <v>3</v>
      </c>
      <c r="V105">
        <v>3</v>
      </c>
      <c r="W105" t="s">
        <v>73</v>
      </c>
      <c r="X105" t="s">
        <v>136</v>
      </c>
      <c r="Y105" t="s">
        <v>75</v>
      </c>
      <c r="Z105" t="s">
        <v>138</v>
      </c>
      <c r="AA105" t="s">
        <v>227</v>
      </c>
      <c r="AB105">
        <v>3</v>
      </c>
      <c r="AC105">
        <v>3</v>
      </c>
      <c r="AD105">
        <v>3</v>
      </c>
      <c r="AE105" t="s">
        <v>229</v>
      </c>
      <c r="AF105" t="s">
        <v>231</v>
      </c>
      <c r="AG105" t="s">
        <v>235</v>
      </c>
      <c r="AH105" t="s">
        <v>238</v>
      </c>
      <c r="AI105">
        <v>0</v>
      </c>
      <c r="AJ105">
        <v>39</v>
      </c>
    </row>
    <row r="106" spans="1:36" x14ac:dyDescent="0.25">
      <c r="A106" t="s">
        <v>1215</v>
      </c>
      <c r="B106">
        <v>104</v>
      </c>
      <c r="C106" t="s">
        <v>43</v>
      </c>
      <c r="D106">
        <v>3</v>
      </c>
      <c r="F106">
        <v>3</v>
      </c>
      <c r="G106" t="s">
        <v>73</v>
      </c>
      <c r="H106" t="s">
        <v>99</v>
      </c>
      <c r="I106" t="s">
        <v>75</v>
      </c>
      <c r="J106" t="s">
        <v>139</v>
      </c>
      <c r="K106" t="s">
        <v>48</v>
      </c>
      <c r="L106">
        <v>3</v>
      </c>
      <c r="N106">
        <v>3</v>
      </c>
      <c r="O106" t="s">
        <v>126</v>
      </c>
      <c r="P106" t="s">
        <v>84</v>
      </c>
      <c r="Q106" t="s">
        <v>127</v>
      </c>
      <c r="R106" t="s">
        <v>52</v>
      </c>
      <c r="S106" t="s">
        <v>63</v>
      </c>
      <c r="T106">
        <v>1</v>
      </c>
      <c r="V106">
        <v>1</v>
      </c>
      <c r="W106" t="s">
        <v>145</v>
      </c>
      <c r="X106" t="s">
        <v>91</v>
      </c>
      <c r="Y106" t="s">
        <v>148</v>
      </c>
      <c r="Z106" t="s">
        <v>151</v>
      </c>
      <c r="AA106" t="s">
        <v>38</v>
      </c>
      <c r="AB106">
        <v>3</v>
      </c>
      <c r="AC106">
        <v>3</v>
      </c>
      <c r="AD106">
        <v>3</v>
      </c>
      <c r="AE106" t="s">
        <v>39</v>
      </c>
      <c r="AF106" t="s">
        <v>40</v>
      </c>
      <c r="AG106" t="s">
        <v>41</v>
      </c>
      <c r="AH106" t="s">
        <v>156</v>
      </c>
      <c r="AI106">
        <v>0</v>
      </c>
      <c r="AJ106">
        <v>33</v>
      </c>
    </row>
    <row r="107" spans="1:36" x14ac:dyDescent="0.25">
      <c r="A107" t="s">
        <v>1216</v>
      </c>
      <c r="B107">
        <v>105</v>
      </c>
      <c r="C107" t="s">
        <v>43</v>
      </c>
      <c r="D107">
        <v>3</v>
      </c>
      <c r="F107">
        <v>3</v>
      </c>
      <c r="G107" t="s">
        <v>135</v>
      </c>
      <c r="H107" t="s">
        <v>136</v>
      </c>
      <c r="I107" t="s">
        <v>137</v>
      </c>
      <c r="J107" t="s">
        <v>138</v>
      </c>
      <c r="K107" t="s">
        <v>48</v>
      </c>
      <c r="L107">
        <v>3</v>
      </c>
      <c r="N107">
        <v>2</v>
      </c>
      <c r="O107" t="s">
        <v>126</v>
      </c>
      <c r="P107" t="s">
        <v>84</v>
      </c>
      <c r="Q107" t="s">
        <v>127</v>
      </c>
      <c r="R107" t="s">
        <v>128</v>
      </c>
      <c r="S107" t="s">
        <v>63</v>
      </c>
      <c r="T107">
        <v>3</v>
      </c>
      <c r="V107">
        <v>3</v>
      </c>
      <c r="W107" t="s">
        <v>145</v>
      </c>
      <c r="X107" t="s">
        <v>91</v>
      </c>
      <c r="Y107" t="s">
        <v>148</v>
      </c>
      <c r="Z107" t="s">
        <v>151</v>
      </c>
      <c r="AA107" t="s">
        <v>227</v>
      </c>
      <c r="AB107">
        <v>3</v>
      </c>
      <c r="AC107">
        <v>3</v>
      </c>
      <c r="AD107">
        <v>3</v>
      </c>
      <c r="AE107" t="s">
        <v>229</v>
      </c>
      <c r="AF107" t="s">
        <v>231</v>
      </c>
      <c r="AG107" t="s">
        <v>235</v>
      </c>
      <c r="AH107" t="s">
        <v>238</v>
      </c>
      <c r="AI107">
        <v>0</v>
      </c>
      <c r="AJ107">
        <v>38</v>
      </c>
    </row>
    <row r="108" spans="1:36" x14ac:dyDescent="0.25">
      <c r="A108" t="s">
        <v>1217</v>
      </c>
      <c r="B108">
        <v>106</v>
      </c>
      <c r="C108" t="s">
        <v>227</v>
      </c>
      <c r="D108">
        <v>3</v>
      </c>
      <c r="E108">
        <v>3</v>
      </c>
      <c r="F108">
        <v>3</v>
      </c>
      <c r="G108" t="s">
        <v>229</v>
      </c>
      <c r="H108" t="s">
        <v>231</v>
      </c>
      <c r="I108" t="s">
        <v>235</v>
      </c>
      <c r="J108" t="s">
        <v>238</v>
      </c>
      <c r="K108" t="s">
        <v>48</v>
      </c>
      <c r="L108">
        <v>3</v>
      </c>
      <c r="N108">
        <v>3</v>
      </c>
      <c r="O108" t="s">
        <v>126</v>
      </c>
      <c r="P108" t="s">
        <v>84</v>
      </c>
      <c r="Q108" t="s">
        <v>90</v>
      </c>
      <c r="R108" t="s">
        <v>128</v>
      </c>
      <c r="S108" t="s">
        <v>43</v>
      </c>
      <c r="T108">
        <v>3</v>
      </c>
      <c r="V108">
        <v>3</v>
      </c>
      <c r="W108" t="s">
        <v>73</v>
      </c>
      <c r="X108" t="s">
        <v>74</v>
      </c>
      <c r="Y108" t="s">
        <v>100</v>
      </c>
      <c r="Z108" t="s">
        <v>139</v>
      </c>
      <c r="AA108" t="s">
        <v>38</v>
      </c>
      <c r="AB108">
        <v>3</v>
      </c>
      <c r="AC108">
        <v>3</v>
      </c>
      <c r="AD108">
        <v>3</v>
      </c>
      <c r="AE108" t="s">
        <v>39</v>
      </c>
      <c r="AF108" t="s">
        <v>40</v>
      </c>
      <c r="AG108" t="s">
        <v>154</v>
      </c>
      <c r="AH108" t="s">
        <v>156</v>
      </c>
      <c r="AI108">
        <v>0</v>
      </c>
      <c r="AJ108">
        <v>59</v>
      </c>
    </row>
    <row r="109" spans="1:36" x14ac:dyDescent="0.25">
      <c r="A109" t="s">
        <v>1218</v>
      </c>
      <c r="B109">
        <v>107</v>
      </c>
      <c r="C109" t="s">
        <v>48</v>
      </c>
      <c r="D109">
        <v>3</v>
      </c>
      <c r="F109">
        <v>3</v>
      </c>
      <c r="G109" t="s">
        <v>126</v>
      </c>
      <c r="H109" t="s">
        <v>84</v>
      </c>
      <c r="I109" t="s">
        <v>127</v>
      </c>
      <c r="J109" t="s">
        <v>128</v>
      </c>
      <c r="K109" t="s">
        <v>45</v>
      </c>
      <c r="L109">
        <v>3</v>
      </c>
      <c r="N109">
        <v>3</v>
      </c>
      <c r="O109" t="s">
        <v>86</v>
      </c>
      <c r="P109" t="s">
        <v>141</v>
      </c>
      <c r="Q109" t="s">
        <v>102</v>
      </c>
      <c r="R109" t="s">
        <v>144</v>
      </c>
      <c r="S109" t="s">
        <v>63</v>
      </c>
      <c r="T109">
        <v>3</v>
      </c>
      <c r="V109">
        <v>3</v>
      </c>
      <c r="W109" t="s">
        <v>145</v>
      </c>
      <c r="X109" t="s">
        <v>91</v>
      </c>
      <c r="Y109" t="s">
        <v>148</v>
      </c>
      <c r="Z109" t="s">
        <v>151</v>
      </c>
      <c r="AA109" t="s">
        <v>38</v>
      </c>
      <c r="AB109">
        <v>3</v>
      </c>
      <c r="AC109">
        <v>3</v>
      </c>
      <c r="AD109">
        <v>3</v>
      </c>
      <c r="AE109" t="s">
        <v>39</v>
      </c>
      <c r="AF109" t="s">
        <v>96</v>
      </c>
      <c r="AG109" t="s">
        <v>153</v>
      </c>
      <c r="AH109" t="s">
        <v>42</v>
      </c>
      <c r="AI109">
        <v>0</v>
      </c>
      <c r="AJ109">
        <v>40</v>
      </c>
    </row>
    <row r="110" spans="1:36" x14ac:dyDescent="0.25">
      <c r="A110" t="s">
        <v>1276</v>
      </c>
      <c r="B110">
        <v>108</v>
      </c>
      <c r="C110" t="s">
        <v>48</v>
      </c>
      <c r="D110">
        <v>3</v>
      </c>
      <c r="F110">
        <v>3</v>
      </c>
      <c r="G110" t="s">
        <v>126</v>
      </c>
      <c r="H110" t="s">
        <v>84</v>
      </c>
      <c r="I110" t="s">
        <v>127</v>
      </c>
      <c r="J110" t="s">
        <v>52</v>
      </c>
      <c r="K110" t="s">
        <v>45</v>
      </c>
      <c r="L110">
        <v>3</v>
      </c>
      <c r="N110">
        <v>3</v>
      </c>
      <c r="O110" t="s">
        <v>86</v>
      </c>
      <c r="P110" t="s">
        <v>92</v>
      </c>
      <c r="Q110" t="s">
        <v>93</v>
      </c>
      <c r="R110" t="s">
        <v>143</v>
      </c>
      <c r="S110" t="s">
        <v>63</v>
      </c>
      <c r="T110">
        <v>3</v>
      </c>
      <c r="V110">
        <v>3</v>
      </c>
      <c r="W110" t="s">
        <v>145</v>
      </c>
      <c r="X110" t="s">
        <v>91</v>
      </c>
      <c r="Y110" t="s">
        <v>148</v>
      </c>
      <c r="Z110" t="s">
        <v>151</v>
      </c>
      <c r="AA110" t="s">
        <v>227</v>
      </c>
      <c r="AB110">
        <v>1</v>
      </c>
      <c r="AC110">
        <v>2</v>
      </c>
      <c r="AD110">
        <v>2</v>
      </c>
      <c r="AE110" t="s">
        <v>229</v>
      </c>
      <c r="AF110" t="s">
        <v>231</v>
      </c>
      <c r="AG110" t="s">
        <v>235</v>
      </c>
      <c r="AH110" t="s">
        <v>238</v>
      </c>
      <c r="AI110">
        <v>0</v>
      </c>
      <c r="AJ110">
        <v>37</v>
      </c>
    </row>
    <row r="111" spans="1:36" x14ac:dyDescent="0.25">
      <c r="A111" t="s">
        <v>1277</v>
      </c>
      <c r="B111">
        <v>109</v>
      </c>
      <c r="C111" t="s">
        <v>48</v>
      </c>
      <c r="D111">
        <v>3</v>
      </c>
      <c r="F111">
        <v>3</v>
      </c>
      <c r="G111" t="s">
        <v>126</v>
      </c>
      <c r="H111" t="s">
        <v>84</v>
      </c>
      <c r="I111" t="s">
        <v>90</v>
      </c>
      <c r="J111" t="s">
        <v>128</v>
      </c>
      <c r="K111" t="s">
        <v>45</v>
      </c>
      <c r="L111">
        <v>3</v>
      </c>
      <c r="N111">
        <v>3</v>
      </c>
      <c r="O111" t="s">
        <v>86</v>
      </c>
      <c r="P111" t="s">
        <v>141</v>
      </c>
      <c r="Q111" t="s">
        <v>93</v>
      </c>
      <c r="R111" t="s">
        <v>143</v>
      </c>
      <c r="S111" t="s">
        <v>38</v>
      </c>
      <c r="T111">
        <v>2</v>
      </c>
      <c r="U111">
        <v>1</v>
      </c>
      <c r="V111">
        <v>2</v>
      </c>
      <c r="W111" t="s">
        <v>39</v>
      </c>
      <c r="X111" t="s">
        <v>40</v>
      </c>
      <c r="AA111" t="s">
        <v>227</v>
      </c>
      <c r="AB111">
        <v>3</v>
      </c>
      <c r="AC111">
        <v>3</v>
      </c>
      <c r="AD111">
        <v>3</v>
      </c>
      <c r="AE111" t="s">
        <v>229</v>
      </c>
      <c r="AF111" t="s">
        <v>231</v>
      </c>
      <c r="AG111" t="s">
        <v>235</v>
      </c>
      <c r="AH111" t="s">
        <v>238</v>
      </c>
      <c r="AI111">
        <v>0</v>
      </c>
      <c r="AJ111">
        <v>45</v>
      </c>
    </row>
    <row r="112" spans="1:36" x14ac:dyDescent="0.25">
      <c r="A112" t="s">
        <v>1219</v>
      </c>
      <c r="B112">
        <v>110</v>
      </c>
      <c r="C112" t="s">
        <v>48</v>
      </c>
      <c r="D112">
        <v>3</v>
      </c>
      <c r="F112">
        <v>3</v>
      </c>
      <c r="G112" t="s">
        <v>126</v>
      </c>
      <c r="H112" t="s">
        <v>84</v>
      </c>
      <c r="I112" t="s">
        <v>127</v>
      </c>
      <c r="J112" t="s">
        <v>52</v>
      </c>
      <c r="K112" t="s">
        <v>63</v>
      </c>
      <c r="L112">
        <v>3</v>
      </c>
      <c r="N112">
        <v>2</v>
      </c>
      <c r="O112" t="s">
        <v>145</v>
      </c>
      <c r="P112" t="s">
        <v>91</v>
      </c>
      <c r="Q112" t="s">
        <v>148</v>
      </c>
      <c r="R112" t="s">
        <v>151</v>
      </c>
      <c r="S112" t="s">
        <v>38</v>
      </c>
      <c r="T112">
        <v>3</v>
      </c>
      <c r="U112">
        <v>2</v>
      </c>
      <c r="V112">
        <v>3</v>
      </c>
      <c r="W112" t="s">
        <v>39</v>
      </c>
      <c r="X112" t="s">
        <v>96</v>
      </c>
      <c r="Y112" t="s">
        <v>153</v>
      </c>
      <c r="Z112" t="s">
        <v>42</v>
      </c>
      <c r="AA112" t="s">
        <v>227</v>
      </c>
      <c r="AB112">
        <v>3</v>
      </c>
      <c r="AC112">
        <v>3</v>
      </c>
      <c r="AD112">
        <v>3</v>
      </c>
      <c r="AE112" t="s">
        <v>229</v>
      </c>
      <c r="AF112" t="s">
        <v>231</v>
      </c>
      <c r="AG112" t="s">
        <v>235</v>
      </c>
      <c r="AH112" t="s">
        <v>238</v>
      </c>
      <c r="AI112">
        <v>0</v>
      </c>
      <c r="AJ112">
        <v>42</v>
      </c>
    </row>
    <row r="113" spans="1:36" x14ac:dyDescent="0.25">
      <c r="A113" t="s">
        <v>1220</v>
      </c>
      <c r="B113">
        <v>111</v>
      </c>
      <c r="C113" t="s">
        <v>63</v>
      </c>
      <c r="D113">
        <v>3</v>
      </c>
      <c r="F113">
        <v>3</v>
      </c>
      <c r="G113" t="s">
        <v>145</v>
      </c>
      <c r="H113" t="s">
        <v>146</v>
      </c>
      <c r="I113" t="s">
        <v>104</v>
      </c>
      <c r="J113" t="s">
        <v>150</v>
      </c>
      <c r="K113" t="s">
        <v>33</v>
      </c>
      <c r="L113">
        <v>2</v>
      </c>
      <c r="N113">
        <v>3</v>
      </c>
      <c r="O113" t="s">
        <v>34</v>
      </c>
      <c r="P113" t="s">
        <v>66</v>
      </c>
      <c r="Q113" t="s">
        <v>131</v>
      </c>
      <c r="R113" t="s">
        <v>37</v>
      </c>
      <c r="S113" t="s">
        <v>43</v>
      </c>
      <c r="T113">
        <v>3</v>
      </c>
      <c r="V113">
        <v>1</v>
      </c>
      <c r="W113" t="s">
        <v>135</v>
      </c>
      <c r="X113" t="s">
        <v>136</v>
      </c>
      <c r="AA113" t="s">
        <v>45</v>
      </c>
      <c r="AB113">
        <v>3</v>
      </c>
      <c r="AD113">
        <v>3</v>
      </c>
      <c r="AE113" t="s">
        <v>86</v>
      </c>
      <c r="AF113" t="s">
        <v>141</v>
      </c>
      <c r="AG113" t="s">
        <v>142</v>
      </c>
      <c r="AH113" t="s">
        <v>143</v>
      </c>
      <c r="AI113">
        <v>0</v>
      </c>
      <c r="AJ113">
        <v>34</v>
      </c>
    </row>
    <row r="114" spans="1:36" x14ac:dyDescent="0.25">
      <c r="A114" t="s">
        <v>1278</v>
      </c>
      <c r="B114">
        <v>112</v>
      </c>
      <c r="C114" t="s">
        <v>45</v>
      </c>
      <c r="D114">
        <v>3</v>
      </c>
      <c r="F114">
        <v>1</v>
      </c>
      <c r="G114" t="s">
        <v>86</v>
      </c>
      <c r="H114" t="s">
        <v>141</v>
      </c>
      <c r="K114" t="s">
        <v>33</v>
      </c>
      <c r="L114">
        <v>1</v>
      </c>
      <c r="N114">
        <v>3</v>
      </c>
      <c r="O114" t="s">
        <v>34</v>
      </c>
      <c r="P114" t="s">
        <v>66</v>
      </c>
      <c r="S114" t="s">
        <v>43</v>
      </c>
      <c r="T114">
        <v>2</v>
      </c>
      <c r="V114">
        <v>1</v>
      </c>
      <c r="W114" t="s">
        <v>135</v>
      </c>
      <c r="X114" t="s">
        <v>136</v>
      </c>
      <c r="AA114" t="s">
        <v>38</v>
      </c>
      <c r="AB114">
        <v>1</v>
      </c>
      <c r="AC114">
        <v>1</v>
      </c>
      <c r="AD114">
        <v>3</v>
      </c>
      <c r="AE114" t="s">
        <v>39</v>
      </c>
      <c r="AI114">
        <v>0</v>
      </c>
      <c r="AJ114">
        <v>16</v>
      </c>
    </row>
    <row r="115" spans="1:36" x14ac:dyDescent="0.25">
      <c r="A115" t="s">
        <v>1221</v>
      </c>
      <c r="B115">
        <v>113</v>
      </c>
      <c r="C115" t="s">
        <v>45</v>
      </c>
      <c r="D115">
        <v>3</v>
      </c>
      <c r="F115">
        <v>1</v>
      </c>
      <c r="G115" t="s">
        <v>47</v>
      </c>
      <c r="H115" t="s">
        <v>76</v>
      </c>
      <c r="I115" t="s">
        <v>142</v>
      </c>
      <c r="K115" t="s">
        <v>33</v>
      </c>
      <c r="L115">
        <v>1</v>
      </c>
      <c r="N115">
        <v>3</v>
      </c>
      <c r="O115" t="s">
        <v>34</v>
      </c>
      <c r="P115" t="s">
        <v>35</v>
      </c>
      <c r="Q115" t="s">
        <v>132</v>
      </c>
      <c r="S115" t="s">
        <v>43</v>
      </c>
      <c r="T115">
        <v>1</v>
      </c>
      <c r="V115">
        <v>1</v>
      </c>
      <c r="W115" t="s">
        <v>73</v>
      </c>
      <c r="X115" t="s">
        <v>136</v>
      </c>
      <c r="AA115" t="s">
        <v>227</v>
      </c>
      <c r="AB115">
        <v>1</v>
      </c>
      <c r="AC115">
        <v>1</v>
      </c>
      <c r="AD115">
        <v>3</v>
      </c>
      <c r="AE115" t="s">
        <v>228</v>
      </c>
      <c r="AI115">
        <v>0</v>
      </c>
      <c r="AJ115">
        <v>15</v>
      </c>
    </row>
    <row r="116" spans="1:36" x14ac:dyDescent="0.25">
      <c r="A116" t="s">
        <v>1279</v>
      </c>
      <c r="B116">
        <v>114</v>
      </c>
      <c r="C116" t="s">
        <v>63</v>
      </c>
      <c r="D116">
        <v>3</v>
      </c>
      <c r="F116">
        <v>2</v>
      </c>
      <c r="G116" t="s">
        <v>145</v>
      </c>
      <c r="H116" t="s">
        <v>146</v>
      </c>
      <c r="I116" t="s">
        <v>104</v>
      </c>
      <c r="J116" t="s">
        <v>150</v>
      </c>
      <c r="K116" t="s">
        <v>33</v>
      </c>
      <c r="L116">
        <v>3</v>
      </c>
      <c r="N116">
        <v>2</v>
      </c>
      <c r="O116" t="s">
        <v>34</v>
      </c>
      <c r="P116" t="s">
        <v>66</v>
      </c>
      <c r="S116" t="s">
        <v>43</v>
      </c>
      <c r="T116">
        <v>3</v>
      </c>
      <c r="V116">
        <v>2</v>
      </c>
      <c r="W116" t="s">
        <v>135</v>
      </c>
      <c r="X116" t="s">
        <v>136</v>
      </c>
      <c r="Y116" t="s">
        <v>137</v>
      </c>
      <c r="Z116" t="s">
        <v>139</v>
      </c>
      <c r="AA116" t="s">
        <v>38</v>
      </c>
      <c r="AB116">
        <v>1</v>
      </c>
      <c r="AC116">
        <v>3</v>
      </c>
      <c r="AD116">
        <v>2</v>
      </c>
      <c r="AE116" t="s">
        <v>39</v>
      </c>
      <c r="AF116" t="s">
        <v>96</v>
      </c>
      <c r="AI116">
        <v>0</v>
      </c>
      <c r="AJ116">
        <v>26</v>
      </c>
    </row>
    <row r="117" spans="1:36" x14ac:dyDescent="0.25">
      <c r="A117" t="s">
        <v>1222</v>
      </c>
      <c r="B117">
        <v>115</v>
      </c>
      <c r="C117" t="s">
        <v>63</v>
      </c>
      <c r="D117">
        <v>3</v>
      </c>
      <c r="F117">
        <v>2</v>
      </c>
      <c r="G117" t="s">
        <v>145</v>
      </c>
      <c r="H117" t="s">
        <v>146</v>
      </c>
      <c r="I117" t="s">
        <v>148</v>
      </c>
      <c r="J117" t="s">
        <v>149</v>
      </c>
      <c r="K117" t="s">
        <v>33</v>
      </c>
      <c r="L117">
        <v>2</v>
      </c>
      <c r="N117">
        <v>2</v>
      </c>
      <c r="O117" t="s">
        <v>34</v>
      </c>
      <c r="P117" t="s">
        <v>66</v>
      </c>
      <c r="S117" t="s">
        <v>43</v>
      </c>
      <c r="T117">
        <v>3</v>
      </c>
      <c r="V117">
        <v>1</v>
      </c>
      <c r="W117" t="s">
        <v>135</v>
      </c>
      <c r="X117" t="s">
        <v>136</v>
      </c>
      <c r="AA117" t="s">
        <v>227</v>
      </c>
      <c r="AB117">
        <v>1</v>
      </c>
      <c r="AC117">
        <v>3</v>
      </c>
      <c r="AD117">
        <v>3</v>
      </c>
      <c r="AE117" t="s">
        <v>229</v>
      </c>
      <c r="AF117" t="s">
        <v>231</v>
      </c>
      <c r="AG117" t="s">
        <v>235</v>
      </c>
      <c r="AH117" t="s">
        <v>238</v>
      </c>
      <c r="AI117">
        <v>0</v>
      </c>
      <c r="AJ117">
        <v>24</v>
      </c>
    </row>
    <row r="118" spans="1:36" x14ac:dyDescent="0.25">
      <c r="A118" t="s">
        <v>1280</v>
      </c>
      <c r="B118">
        <v>116</v>
      </c>
      <c r="C118" t="s">
        <v>227</v>
      </c>
      <c r="D118">
        <v>3</v>
      </c>
      <c r="E118">
        <v>3</v>
      </c>
      <c r="F118">
        <v>3</v>
      </c>
      <c r="G118" t="s">
        <v>229</v>
      </c>
      <c r="H118" t="s">
        <v>232</v>
      </c>
      <c r="I118" t="s">
        <v>235</v>
      </c>
      <c r="J118" t="s">
        <v>238</v>
      </c>
      <c r="K118" t="s">
        <v>33</v>
      </c>
      <c r="L118">
        <v>1</v>
      </c>
      <c r="N118">
        <v>1</v>
      </c>
      <c r="O118" t="s">
        <v>34</v>
      </c>
      <c r="P118" t="s">
        <v>130</v>
      </c>
      <c r="S118" t="s">
        <v>43</v>
      </c>
      <c r="T118">
        <v>3</v>
      </c>
      <c r="V118">
        <v>3</v>
      </c>
      <c r="W118" t="s">
        <v>135</v>
      </c>
      <c r="X118" t="s">
        <v>136</v>
      </c>
      <c r="Y118" t="s">
        <v>137</v>
      </c>
      <c r="Z118" t="s">
        <v>138</v>
      </c>
      <c r="AA118" t="s">
        <v>38</v>
      </c>
      <c r="AB118">
        <v>3</v>
      </c>
      <c r="AC118">
        <v>3</v>
      </c>
      <c r="AD118">
        <v>3</v>
      </c>
      <c r="AE118" t="s">
        <v>39</v>
      </c>
      <c r="AF118" t="s">
        <v>70</v>
      </c>
      <c r="AG118" t="s">
        <v>153</v>
      </c>
      <c r="AH118" t="s">
        <v>156</v>
      </c>
      <c r="AI118">
        <v>0</v>
      </c>
      <c r="AJ118">
        <v>42</v>
      </c>
    </row>
    <row r="119" spans="1:36" x14ac:dyDescent="0.25">
      <c r="A119" t="s">
        <v>1223</v>
      </c>
      <c r="B119">
        <v>117</v>
      </c>
      <c r="C119" t="s">
        <v>33</v>
      </c>
      <c r="D119">
        <v>3</v>
      </c>
      <c r="F119">
        <v>3</v>
      </c>
      <c r="G119" t="s">
        <v>34</v>
      </c>
      <c r="H119" t="s">
        <v>66</v>
      </c>
      <c r="I119" t="s">
        <v>132</v>
      </c>
      <c r="K119" t="s">
        <v>45</v>
      </c>
      <c r="L119">
        <v>3</v>
      </c>
      <c r="N119">
        <v>1</v>
      </c>
      <c r="O119" t="s">
        <v>86</v>
      </c>
      <c r="P119" t="s">
        <v>141</v>
      </c>
      <c r="S119" t="s">
        <v>63</v>
      </c>
      <c r="T119">
        <v>2</v>
      </c>
      <c r="V119">
        <v>3</v>
      </c>
      <c r="W119" t="s">
        <v>145</v>
      </c>
      <c r="X119" t="s">
        <v>146</v>
      </c>
      <c r="Y119" t="s">
        <v>104</v>
      </c>
      <c r="AA119" t="s">
        <v>38</v>
      </c>
      <c r="AB119">
        <v>1</v>
      </c>
      <c r="AC119">
        <v>1</v>
      </c>
      <c r="AD119">
        <v>2</v>
      </c>
      <c r="AE119" t="s">
        <v>39</v>
      </c>
      <c r="AF119" t="s">
        <v>40</v>
      </c>
      <c r="AI119">
        <v>0</v>
      </c>
      <c r="AJ119">
        <v>20</v>
      </c>
    </row>
    <row r="120" spans="1:36" x14ac:dyDescent="0.25">
      <c r="A120" t="s">
        <v>1224</v>
      </c>
      <c r="B120">
        <v>118</v>
      </c>
      <c r="C120" t="s">
        <v>45</v>
      </c>
      <c r="D120">
        <v>3</v>
      </c>
      <c r="F120">
        <v>2</v>
      </c>
      <c r="G120" t="s">
        <v>86</v>
      </c>
      <c r="H120" t="s">
        <v>141</v>
      </c>
      <c r="I120" t="s">
        <v>142</v>
      </c>
      <c r="J120" t="s">
        <v>144</v>
      </c>
      <c r="K120" t="s">
        <v>33</v>
      </c>
      <c r="L120">
        <v>3</v>
      </c>
      <c r="N120">
        <v>3</v>
      </c>
      <c r="O120" t="s">
        <v>34</v>
      </c>
      <c r="P120" t="s">
        <v>66</v>
      </c>
      <c r="Q120" t="s">
        <v>131</v>
      </c>
      <c r="R120" t="s">
        <v>133</v>
      </c>
      <c r="S120" t="s">
        <v>63</v>
      </c>
      <c r="T120">
        <v>1</v>
      </c>
      <c r="V120">
        <v>1</v>
      </c>
      <c r="W120" t="s">
        <v>145</v>
      </c>
      <c r="X120" t="s">
        <v>146</v>
      </c>
      <c r="Y120" t="s">
        <v>148</v>
      </c>
      <c r="Z120" t="s">
        <v>150</v>
      </c>
      <c r="AA120" t="s">
        <v>227</v>
      </c>
      <c r="AB120">
        <v>2</v>
      </c>
      <c r="AC120">
        <v>1</v>
      </c>
      <c r="AD120">
        <v>3</v>
      </c>
      <c r="AE120" t="s">
        <v>229</v>
      </c>
      <c r="AF120" t="s">
        <v>231</v>
      </c>
      <c r="AG120" t="s">
        <v>235</v>
      </c>
      <c r="AI120">
        <v>0</v>
      </c>
      <c r="AJ120">
        <v>26</v>
      </c>
    </row>
    <row r="121" spans="1:36" x14ac:dyDescent="0.25">
      <c r="A121" t="s">
        <v>1281</v>
      </c>
      <c r="B121">
        <v>119</v>
      </c>
      <c r="C121" t="s">
        <v>227</v>
      </c>
      <c r="D121">
        <v>3</v>
      </c>
      <c r="E121">
        <v>1</v>
      </c>
      <c r="F121">
        <v>3</v>
      </c>
      <c r="G121" t="s">
        <v>228</v>
      </c>
      <c r="H121" t="s">
        <v>231</v>
      </c>
      <c r="I121" t="s">
        <v>235</v>
      </c>
      <c r="K121" t="s">
        <v>33</v>
      </c>
      <c r="L121">
        <v>1</v>
      </c>
      <c r="N121">
        <v>3</v>
      </c>
      <c r="O121" t="s">
        <v>34</v>
      </c>
      <c r="S121" t="s">
        <v>45</v>
      </c>
      <c r="T121">
        <v>3</v>
      </c>
      <c r="V121">
        <v>1</v>
      </c>
      <c r="W121" t="s">
        <v>86</v>
      </c>
      <c r="AA121" t="s">
        <v>38</v>
      </c>
      <c r="AB121">
        <v>2</v>
      </c>
      <c r="AC121">
        <v>1</v>
      </c>
      <c r="AD121">
        <v>3</v>
      </c>
      <c r="AE121" t="s">
        <v>39</v>
      </c>
      <c r="AF121" t="s">
        <v>40</v>
      </c>
      <c r="AG121" t="s">
        <v>153</v>
      </c>
      <c r="AH121" t="s">
        <v>42</v>
      </c>
      <c r="AI121">
        <v>0</v>
      </c>
      <c r="AJ121">
        <v>20</v>
      </c>
    </row>
    <row r="122" spans="1:36" x14ac:dyDescent="0.25">
      <c r="A122" t="s">
        <v>1225</v>
      </c>
      <c r="B122">
        <v>120</v>
      </c>
      <c r="C122" t="s">
        <v>33</v>
      </c>
      <c r="D122">
        <v>3</v>
      </c>
      <c r="F122">
        <v>3</v>
      </c>
      <c r="G122" t="s">
        <v>34</v>
      </c>
      <c r="H122" t="s">
        <v>66</v>
      </c>
      <c r="I122" t="s">
        <v>132</v>
      </c>
      <c r="J122" t="s">
        <v>37</v>
      </c>
      <c r="K122" t="s">
        <v>63</v>
      </c>
      <c r="L122">
        <v>3</v>
      </c>
      <c r="N122">
        <v>3</v>
      </c>
      <c r="O122" t="s">
        <v>145</v>
      </c>
      <c r="P122" t="s">
        <v>91</v>
      </c>
      <c r="Q122" t="s">
        <v>104</v>
      </c>
      <c r="R122" t="s">
        <v>151</v>
      </c>
      <c r="S122" t="s">
        <v>38</v>
      </c>
      <c r="T122">
        <v>3</v>
      </c>
      <c r="U122">
        <v>2</v>
      </c>
      <c r="V122">
        <v>2</v>
      </c>
      <c r="W122" t="s">
        <v>39</v>
      </c>
      <c r="X122" t="s">
        <v>40</v>
      </c>
      <c r="Y122" t="s">
        <v>153</v>
      </c>
      <c r="Z122" t="s">
        <v>156</v>
      </c>
      <c r="AA122" t="s">
        <v>227</v>
      </c>
      <c r="AB122">
        <v>2</v>
      </c>
      <c r="AC122">
        <v>1</v>
      </c>
      <c r="AD122">
        <v>1</v>
      </c>
      <c r="AE122" t="s">
        <v>229</v>
      </c>
      <c r="AI122">
        <v>0</v>
      </c>
      <c r="AJ122">
        <v>27</v>
      </c>
    </row>
    <row r="123" spans="1:36" x14ac:dyDescent="0.25">
      <c r="A123" t="s">
        <v>1282</v>
      </c>
      <c r="B123">
        <v>121</v>
      </c>
      <c r="C123" t="s">
        <v>63</v>
      </c>
      <c r="D123">
        <v>3</v>
      </c>
      <c r="F123">
        <v>3</v>
      </c>
      <c r="G123" t="s">
        <v>145</v>
      </c>
      <c r="H123" t="s">
        <v>146</v>
      </c>
      <c r="I123" t="s">
        <v>147</v>
      </c>
      <c r="J123" t="s">
        <v>151</v>
      </c>
      <c r="K123" t="s">
        <v>43</v>
      </c>
      <c r="L123">
        <v>3</v>
      </c>
      <c r="N123">
        <v>3</v>
      </c>
      <c r="O123" t="s">
        <v>73</v>
      </c>
      <c r="P123" t="s">
        <v>136</v>
      </c>
      <c r="Q123" t="s">
        <v>100</v>
      </c>
      <c r="R123" t="s">
        <v>139</v>
      </c>
      <c r="S123" t="s">
        <v>45</v>
      </c>
      <c r="T123">
        <v>3</v>
      </c>
      <c r="V123">
        <v>2</v>
      </c>
      <c r="W123" t="s">
        <v>86</v>
      </c>
      <c r="X123" t="s">
        <v>76</v>
      </c>
      <c r="Y123" t="s">
        <v>93</v>
      </c>
      <c r="Z123" t="s">
        <v>94</v>
      </c>
      <c r="AA123" t="s">
        <v>38</v>
      </c>
      <c r="AB123">
        <v>3</v>
      </c>
      <c r="AC123">
        <v>3</v>
      </c>
      <c r="AD123">
        <v>3</v>
      </c>
      <c r="AE123" t="s">
        <v>39</v>
      </c>
      <c r="AF123" t="s">
        <v>40</v>
      </c>
      <c r="AG123" t="s">
        <v>153</v>
      </c>
      <c r="AH123" t="s">
        <v>156</v>
      </c>
      <c r="AI123">
        <v>0</v>
      </c>
      <c r="AJ123">
        <v>44</v>
      </c>
    </row>
    <row r="124" spans="1:36" x14ac:dyDescent="0.25">
      <c r="A124" t="s">
        <v>1226</v>
      </c>
      <c r="B124">
        <v>122</v>
      </c>
      <c r="C124" t="s">
        <v>63</v>
      </c>
      <c r="D124">
        <v>3</v>
      </c>
      <c r="F124">
        <v>3</v>
      </c>
      <c r="G124" t="s">
        <v>145</v>
      </c>
      <c r="H124" t="s">
        <v>146</v>
      </c>
      <c r="I124" t="s">
        <v>148</v>
      </c>
      <c r="J124" t="s">
        <v>151</v>
      </c>
      <c r="K124" t="s">
        <v>43</v>
      </c>
      <c r="L124">
        <v>3</v>
      </c>
      <c r="N124">
        <v>3</v>
      </c>
      <c r="O124" t="s">
        <v>135</v>
      </c>
      <c r="P124" t="s">
        <v>136</v>
      </c>
      <c r="Q124" t="s">
        <v>100</v>
      </c>
      <c r="R124" t="s">
        <v>139</v>
      </c>
      <c r="S124" t="s">
        <v>45</v>
      </c>
      <c r="T124">
        <v>3</v>
      </c>
      <c r="V124">
        <v>3</v>
      </c>
      <c r="W124" t="s">
        <v>86</v>
      </c>
      <c r="X124" t="s">
        <v>141</v>
      </c>
      <c r="Y124" t="s">
        <v>142</v>
      </c>
      <c r="Z124" t="s">
        <v>143</v>
      </c>
      <c r="AA124" t="s">
        <v>227</v>
      </c>
      <c r="AB124">
        <v>3</v>
      </c>
      <c r="AC124">
        <v>3</v>
      </c>
      <c r="AD124">
        <v>3</v>
      </c>
      <c r="AE124" t="s">
        <v>229</v>
      </c>
      <c r="AF124" t="s">
        <v>232</v>
      </c>
      <c r="AG124" t="s">
        <v>235</v>
      </c>
      <c r="AH124" t="s">
        <v>238</v>
      </c>
      <c r="AI124">
        <v>0</v>
      </c>
      <c r="AJ124">
        <v>50</v>
      </c>
    </row>
    <row r="125" spans="1:36" x14ac:dyDescent="0.25">
      <c r="A125" t="s">
        <v>1283</v>
      </c>
      <c r="B125">
        <v>123</v>
      </c>
      <c r="C125" t="s">
        <v>227</v>
      </c>
      <c r="D125">
        <v>3</v>
      </c>
      <c r="E125">
        <v>3</v>
      </c>
      <c r="F125">
        <v>3</v>
      </c>
      <c r="G125" t="s">
        <v>229</v>
      </c>
      <c r="H125" t="s">
        <v>231</v>
      </c>
      <c r="I125" t="s">
        <v>235</v>
      </c>
      <c r="J125" t="s">
        <v>238</v>
      </c>
      <c r="K125" t="s">
        <v>43</v>
      </c>
      <c r="L125">
        <v>1</v>
      </c>
      <c r="N125">
        <v>1</v>
      </c>
      <c r="O125" t="s">
        <v>73</v>
      </c>
      <c r="P125" t="s">
        <v>136</v>
      </c>
      <c r="Q125" t="s">
        <v>100</v>
      </c>
      <c r="R125" t="s">
        <v>138</v>
      </c>
      <c r="S125" t="s">
        <v>45</v>
      </c>
      <c r="T125">
        <v>3</v>
      </c>
      <c r="V125">
        <v>3</v>
      </c>
      <c r="W125" t="s">
        <v>86</v>
      </c>
      <c r="X125" t="s">
        <v>76</v>
      </c>
      <c r="Y125" t="s">
        <v>102</v>
      </c>
      <c r="Z125" t="s">
        <v>144</v>
      </c>
      <c r="AA125" t="s">
        <v>38</v>
      </c>
      <c r="AB125">
        <v>3</v>
      </c>
      <c r="AC125">
        <v>3</v>
      </c>
      <c r="AD125">
        <v>3</v>
      </c>
      <c r="AE125" t="s">
        <v>39</v>
      </c>
      <c r="AF125" t="s">
        <v>96</v>
      </c>
      <c r="AG125" t="s">
        <v>153</v>
      </c>
      <c r="AH125" t="s">
        <v>156</v>
      </c>
      <c r="AI125">
        <v>0</v>
      </c>
      <c r="AJ125">
        <v>34</v>
      </c>
    </row>
    <row r="126" spans="1:36" x14ac:dyDescent="0.25">
      <c r="A126" t="s">
        <v>1227</v>
      </c>
      <c r="B126">
        <v>124</v>
      </c>
      <c r="C126" t="s">
        <v>43</v>
      </c>
      <c r="D126">
        <v>1</v>
      </c>
      <c r="F126">
        <v>1</v>
      </c>
      <c r="G126" t="s">
        <v>135</v>
      </c>
      <c r="H126" t="s">
        <v>136</v>
      </c>
      <c r="I126" t="s">
        <v>100</v>
      </c>
      <c r="J126" t="s">
        <v>139</v>
      </c>
      <c r="K126" t="s">
        <v>63</v>
      </c>
      <c r="L126">
        <v>3</v>
      </c>
      <c r="N126">
        <v>3</v>
      </c>
      <c r="O126" t="s">
        <v>103</v>
      </c>
      <c r="P126" t="s">
        <v>91</v>
      </c>
      <c r="Q126" t="s">
        <v>148</v>
      </c>
      <c r="R126" t="s">
        <v>151</v>
      </c>
      <c r="S126" t="s">
        <v>38</v>
      </c>
      <c r="T126">
        <v>3</v>
      </c>
      <c r="U126">
        <v>3</v>
      </c>
      <c r="V126">
        <v>3</v>
      </c>
      <c r="W126" t="s">
        <v>39</v>
      </c>
      <c r="X126" t="s">
        <v>96</v>
      </c>
      <c r="Y126" t="s">
        <v>41</v>
      </c>
      <c r="Z126" t="s">
        <v>156</v>
      </c>
      <c r="AA126" t="s">
        <v>227</v>
      </c>
      <c r="AB126">
        <v>3</v>
      </c>
      <c r="AC126">
        <v>3</v>
      </c>
      <c r="AD126">
        <v>3</v>
      </c>
      <c r="AE126" t="s">
        <v>229</v>
      </c>
      <c r="AF126" t="s">
        <v>231</v>
      </c>
      <c r="AG126" t="s">
        <v>235</v>
      </c>
      <c r="AH126" t="s">
        <v>238</v>
      </c>
      <c r="AI126">
        <v>0</v>
      </c>
      <c r="AJ126">
        <v>50</v>
      </c>
    </row>
    <row r="127" spans="1:36" x14ac:dyDescent="0.25">
      <c r="A127" t="s">
        <v>1228</v>
      </c>
      <c r="B127">
        <v>125</v>
      </c>
      <c r="C127" t="s">
        <v>38</v>
      </c>
      <c r="D127">
        <v>3</v>
      </c>
      <c r="E127">
        <v>3</v>
      </c>
      <c r="F127">
        <v>3</v>
      </c>
      <c r="G127" t="s">
        <v>39</v>
      </c>
      <c r="H127" t="s">
        <v>40</v>
      </c>
      <c r="I127" t="s">
        <v>41</v>
      </c>
      <c r="J127" t="s">
        <v>156</v>
      </c>
      <c r="K127" t="s">
        <v>45</v>
      </c>
      <c r="L127">
        <v>3</v>
      </c>
      <c r="N127">
        <v>3</v>
      </c>
      <c r="O127" t="s">
        <v>86</v>
      </c>
      <c r="P127" t="s">
        <v>76</v>
      </c>
      <c r="Q127" t="s">
        <v>142</v>
      </c>
      <c r="R127" t="s">
        <v>94</v>
      </c>
      <c r="S127" t="s">
        <v>63</v>
      </c>
      <c r="T127">
        <v>3</v>
      </c>
      <c r="V127">
        <v>3</v>
      </c>
      <c r="W127" t="s">
        <v>145</v>
      </c>
      <c r="X127" t="s">
        <v>91</v>
      </c>
      <c r="Y127" t="s">
        <v>148</v>
      </c>
      <c r="Z127" t="s">
        <v>151</v>
      </c>
      <c r="AA127" t="s">
        <v>227</v>
      </c>
      <c r="AB127">
        <v>3</v>
      </c>
      <c r="AC127">
        <v>3</v>
      </c>
      <c r="AD127">
        <v>3</v>
      </c>
      <c r="AE127" t="s">
        <v>229</v>
      </c>
      <c r="AF127" t="s">
        <v>231</v>
      </c>
      <c r="AG127" t="s">
        <v>235</v>
      </c>
      <c r="AH127" t="s">
        <v>239</v>
      </c>
      <c r="AI127">
        <v>0</v>
      </c>
      <c r="AJ127">
        <v>51</v>
      </c>
    </row>
  </sheetData>
  <phoneticPr fontId="3" type="noConversion"/>
  <conditionalFormatting sqref="B177:B1048576 B1:B149">
    <cfRule type="duplicateValues" dxfId="5" priority="2"/>
  </conditionalFormatting>
  <conditionalFormatting sqref="B1:B1048576">
    <cfRule type="duplicateValues" dxfId="4" priority="1"/>
  </conditionalFormatting>
  <conditionalFormatting sqref="A2:B127">
    <cfRule type="duplicateValues" dxfId="3" priority="4369"/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13F3-C387-4A89-9330-CCD2DFADF5E7}">
  <dimension ref="A1:Q128"/>
  <sheetViews>
    <sheetView workbookViewId="0">
      <selection activeCell="K16" sqref="K16"/>
    </sheetView>
  </sheetViews>
  <sheetFormatPr defaultRowHeight="15" x14ac:dyDescent="0.25"/>
  <cols>
    <col min="1" max="1" width="10.5703125" bestFit="1" customWidth="1"/>
    <col min="2" max="2" width="13.5703125" customWidth="1"/>
    <col min="3" max="3" width="11.42578125" bestFit="1" customWidth="1"/>
    <col min="4" max="4" width="13.5703125" customWidth="1"/>
    <col min="5" max="5" width="11.42578125" bestFit="1" customWidth="1"/>
    <col min="6" max="6" width="13.5703125" customWidth="1"/>
    <col min="7" max="7" width="11.42578125" bestFit="1" customWidth="1"/>
    <col min="8" max="8" width="13.5703125" bestFit="1" customWidth="1"/>
    <col min="9" max="9" width="9.42578125" bestFit="1" customWidth="1"/>
    <col min="11" max="11" width="11.42578125" bestFit="1" customWidth="1"/>
    <col min="12" max="12" width="9.42578125" bestFit="1" customWidth="1"/>
    <col min="13" max="13" width="7.42578125" bestFit="1" customWidth="1"/>
    <col min="14" max="14" width="10.85546875" bestFit="1" customWidth="1"/>
    <col min="16" max="16" width="25.140625" bestFit="1" customWidth="1"/>
    <col min="17" max="17" width="4.5703125" bestFit="1" customWidth="1"/>
    <col min="19" max="19" width="9.28515625" bestFit="1" customWidth="1"/>
  </cols>
  <sheetData>
    <row r="1" spans="1:17" ht="15.75" thickBot="1" x14ac:dyDescent="0.3">
      <c r="A1" s="36" t="s">
        <v>78</v>
      </c>
      <c r="B1" s="37"/>
      <c r="C1" s="37"/>
      <c r="D1" s="37"/>
      <c r="E1" s="37"/>
      <c r="F1" s="37"/>
      <c r="G1" s="37"/>
      <c r="H1" s="37"/>
      <c r="I1" s="38"/>
      <c r="K1" s="36" t="s">
        <v>82</v>
      </c>
      <c r="L1" s="37"/>
      <c r="M1" s="37"/>
      <c r="N1" s="38"/>
      <c r="P1" s="4" t="s">
        <v>157</v>
      </c>
      <c r="Q1" s="30">
        <f>MIN(Scenario4[crystals])</f>
        <v>0</v>
      </c>
    </row>
    <row r="2" spans="1:17" ht="15.75" thickBot="1" x14ac:dyDescent="0.3">
      <c r="A2" t="s">
        <v>59</v>
      </c>
      <c r="B2" t="s">
        <v>81</v>
      </c>
      <c r="C2" t="s">
        <v>60</v>
      </c>
      <c r="D2" t="s">
        <v>77</v>
      </c>
      <c r="E2" t="s">
        <v>61</v>
      </c>
      <c r="F2" t="s">
        <v>187</v>
      </c>
      <c r="G2" t="s">
        <v>62</v>
      </c>
      <c r="H2" t="s">
        <v>218</v>
      </c>
      <c r="I2" t="s">
        <v>58</v>
      </c>
      <c r="K2" t="s">
        <v>106</v>
      </c>
      <c r="L2" t="s">
        <v>58</v>
      </c>
      <c r="M2" t="s">
        <v>79</v>
      </c>
      <c r="N2" t="s">
        <v>80</v>
      </c>
      <c r="P2" s="4" t="s">
        <v>107</v>
      </c>
      <c r="Q2" s="30">
        <f>AVERAGE(Scenario4[crystals])</f>
        <v>0</v>
      </c>
    </row>
    <row r="3" spans="1:17" ht="15.75" thickBot="1" x14ac:dyDescent="0.3">
      <c r="A3" t="s">
        <v>53</v>
      </c>
      <c r="B3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3" t="s">
        <v>56</v>
      </c>
      <c r="D3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3" t="s">
        <v>48</v>
      </c>
      <c r="F3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3" t="s">
        <v>33</v>
      </c>
      <c r="H3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3">
        <f>ScenarioStat4[[#This Row],[team-1-win]]+ScenarioStat4[[#This Row],[team-2-win]]+ScenarioStat4[[#This Row],[team-3-win]]+ScenarioStat4[[#This Row],[team-4-win]]</f>
        <v>1</v>
      </c>
      <c r="K3" t="s">
        <v>53</v>
      </c>
      <c r="L3">
        <f>SUMIFS(ScenarioStat4[battles],ScenarioStat4[hero-1],ScenarioTeams4[[#This Row],[hero]])+SUMIFS(ScenarioStat4[battles],ScenarioStat4[hero-2],ScenarioTeams4[[#This Row],[hero]])+SUMIFS(ScenarioStat4[battles],ScenarioStat4[hero-3],ScenarioTeams4[[#This Row],[hero]])+SUMIFS(ScenarioStat4[battles],ScenarioStat4[hero-4],ScenarioTeams4[[#This Row],[hero]])</f>
        <v>56</v>
      </c>
      <c r="M3">
        <f>SUMIFS(ScenarioStat4[team-1-win],ScenarioStat4[hero-1],ScenarioTeams4[[#This Row],[hero]])+SUMIFS(ScenarioStat4[team-2-win],ScenarioStat4[hero-2],ScenarioTeams4[[#This Row],[hero]])+SUMIFS(ScenarioStat4[team-3-win],ScenarioStat4[hero-3],ScenarioTeams4[[#This Row],[hero]])+SUMIFS(ScenarioStat4[team-4-win],ScenarioStat4[hero-4],ScenarioTeams4[[#This Row],[hero]])</f>
        <v>13</v>
      </c>
      <c r="N3" s="3">
        <f>IF(ScenarioTeams4[[#This Row],[battles]],ScenarioTeams4[[#This Row],[wins]]/ScenarioTeams4[[#This Row],[battles]],0)</f>
        <v>0.23214285714285715</v>
      </c>
      <c r="P3" s="4" t="s">
        <v>159</v>
      </c>
      <c r="Q3" s="30">
        <f>MAX(Scenario4[crystals])</f>
        <v>0</v>
      </c>
    </row>
    <row r="4" spans="1:17" ht="15.75" thickBot="1" x14ac:dyDescent="0.3">
      <c r="A4" t="s">
        <v>53</v>
      </c>
      <c r="B4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4" t="s">
        <v>56</v>
      </c>
      <c r="D4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4" t="s">
        <v>48</v>
      </c>
      <c r="F4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4" t="s">
        <v>43</v>
      </c>
      <c r="H4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4">
        <f>ScenarioStat4[[#This Row],[team-1-win]]+ScenarioStat4[[#This Row],[team-2-win]]+ScenarioStat4[[#This Row],[team-3-win]]+ScenarioStat4[[#This Row],[team-4-win]]</f>
        <v>1</v>
      </c>
      <c r="K4" t="s">
        <v>56</v>
      </c>
      <c r="L4">
        <f>SUMIFS(ScenarioStat4[battles],ScenarioStat4[hero-1],ScenarioTeams4[[#This Row],[hero]])+SUMIFS(ScenarioStat4[battles],ScenarioStat4[hero-2],ScenarioTeams4[[#This Row],[hero]])+SUMIFS(ScenarioStat4[battles],ScenarioStat4[hero-3],ScenarioTeams4[[#This Row],[hero]])+SUMIFS(ScenarioStat4[battles],ScenarioStat4[hero-4],ScenarioTeams4[[#This Row],[hero]])</f>
        <v>56</v>
      </c>
      <c r="M4">
        <f>SUMIFS(ScenarioStat4[team-1-win],ScenarioStat4[hero-1],ScenarioTeams4[[#This Row],[hero]])+SUMIFS(ScenarioStat4[team-2-win],ScenarioStat4[hero-2],ScenarioTeams4[[#This Row],[hero]])+SUMIFS(ScenarioStat4[team-3-win],ScenarioStat4[hero-3],ScenarioTeams4[[#This Row],[hero]])+SUMIFS(ScenarioStat4[team-4-win],ScenarioStat4[hero-4],ScenarioTeams4[[#This Row],[hero]])</f>
        <v>13</v>
      </c>
      <c r="N4" s="3">
        <f>IF(ScenarioTeams4[[#This Row],[battles]],ScenarioTeams4[[#This Row],[wins]]/ScenarioTeams4[[#This Row],[battles]],0)</f>
        <v>0.23214285714285715</v>
      </c>
      <c r="Q4" s="7"/>
    </row>
    <row r="5" spans="1:17" ht="15.75" thickBot="1" x14ac:dyDescent="0.3">
      <c r="A5" t="s">
        <v>53</v>
      </c>
      <c r="B5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5" t="s">
        <v>56</v>
      </c>
      <c r="D5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5" t="s">
        <v>48</v>
      </c>
      <c r="F5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5" t="s">
        <v>45</v>
      </c>
      <c r="H5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5">
        <f>ScenarioStat4[[#This Row],[team-1-win]]+ScenarioStat4[[#This Row],[team-2-win]]+ScenarioStat4[[#This Row],[team-3-win]]+ScenarioStat4[[#This Row],[team-4-win]]</f>
        <v>1</v>
      </c>
      <c r="K5" t="s">
        <v>48</v>
      </c>
      <c r="L5">
        <f>SUMIFS(ScenarioStat4[battles],ScenarioStat4[hero-1],ScenarioTeams4[[#This Row],[hero]])+SUMIFS(ScenarioStat4[battles],ScenarioStat4[hero-2],ScenarioTeams4[[#This Row],[hero]])+SUMIFS(ScenarioStat4[battles],ScenarioStat4[hero-3],ScenarioTeams4[[#This Row],[hero]])+SUMIFS(ScenarioStat4[battles],ScenarioStat4[hero-4],ScenarioTeams4[[#This Row],[hero]])</f>
        <v>56</v>
      </c>
      <c r="M5">
        <f>SUMIFS(ScenarioStat4[team-1-win],ScenarioStat4[hero-1],ScenarioTeams4[[#This Row],[hero]])+SUMIFS(ScenarioStat4[team-2-win],ScenarioStat4[hero-2],ScenarioTeams4[[#This Row],[hero]])+SUMIFS(ScenarioStat4[team-3-win],ScenarioStat4[hero-3],ScenarioTeams4[[#This Row],[hero]])+SUMIFS(ScenarioStat4[team-4-win],ScenarioStat4[hero-4],ScenarioTeams4[[#This Row],[hero]])</f>
        <v>13</v>
      </c>
      <c r="N5" s="3">
        <f>IF(ScenarioTeams4[[#This Row],[battles]],ScenarioTeams4[[#This Row],[wins]]/ScenarioTeams4[[#This Row],[battles]],0)</f>
        <v>0.23214285714285715</v>
      </c>
      <c r="P5" s="4" t="s">
        <v>158</v>
      </c>
      <c r="Q5" s="30">
        <f>MIN(Scenario4[turns])</f>
        <v>15</v>
      </c>
    </row>
    <row r="6" spans="1:17" ht="15.75" thickBot="1" x14ac:dyDescent="0.3">
      <c r="A6" t="s">
        <v>53</v>
      </c>
      <c r="B6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6" t="s">
        <v>56</v>
      </c>
      <c r="D6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6" t="s">
        <v>48</v>
      </c>
      <c r="F6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6" t="s">
        <v>63</v>
      </c>
      <c r="H6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6">
        <f>ScenarioStat4[[#This Row],[team-1-win]]+ScenarioStat4[[#This Row],[team-2-win]]+ScenarioStat4[[#This Row],[team-3-win]]+ScenarioStat4[[#This Row],[team-4-win]]</f>
        <v>1</v>
      </c>
      <c r="K6" t="s">
        <v>33</v>
      </c>
      <c r="L6">
        <f>SUMIFS(ScenarioStat4[battles],ScenarioStat4[hero-1],ScenarioTeams4[[#This Row],[hero]])+SUMIFS(ScenarioStat4[battles],ScenarioStat4[hero-2],ScenarioTeams4[[#This Row],[hero]])+SUMIFS(ScenarioStat4[battles],ScenarioStat4[hero-3],ScenarioTeams4[[#This Row],[hero]])+SUMIFS(ScenarioStat4[battles],ScenarioStat4[hero-4],ScenarioTeams4[[#This Row],[hero]])</f>
        <v>56</v>
      </c>
      <c r="M6">
        <f>SUMIFS(ScenarioStat4[team-1-win],ScenarioStat4[hero-1],ScenarioTeams4[[#This Row],[hero]])+SUMIFS(ScenarioStat4[team-2-win],ScenarioStat4[hero-2],ScenarioTeams4[[#This Row],[hero]])+SUMIFS(ScenarioStat4[team-3-win],ScenarioStat4[hero-3],ScenarioTeams4[[#This Row],[hero]])+SUMIFS(ScenarioStat4[team-4-win],ScenarioStat4[hero-4],ScenarioTeams4[[#This Row],[hero]])</f>
        <v>22</v>
      </c>
      <c r="N6" s="3">
        <f>IF(ScenarioTeams4[[#This Row],[battles]],ScenarioTeams4[[#This Row],[wins]]/ScenarioTeams4[[#This Row],[battles]],0)</f>
        <v>0.39285714285714285</v>
      </c>
      <c r="P6" s="5" t="s">
        <v>108</v>
      </c>
      <c r="Q6" s="31">
        <f>AVERAGE(Scenario4[turns])</f>
        <v>40.293650793650791</v>
      </c>
    </row>
    <row r="7" spans="1:17" ht="15.75" thickBot="1" x14ac:dyDescent="0.3">
      <c r="A7" t="s">
        <v>53</v>
      </c>
      <c r="B7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7" t="s">
        <v>56</v>
      </c>
      <c r="D7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7" t="s">
        <v>48</v>
      </c>
      <c r="F7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7" t="s">
        <v>38</v>
      </c>
      <c r="H7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7">
        <f>ScenarioStat4[[#This Row],[team-1-win]]+ScenarioStat4[[#This Row],[team-2-win]]+ScenarioStat4[[#This Row],[team-3-win]]+ScenarioStat4[[#This Row],[team-4-win]]</f>
        <v>1</v>
      </c>
      <c r="K7" t="s">
        <v>43</v>
      </c>
      <c r="L7">
        <f>SUMIFS(ScenarioStat4[battles],ScenarioStat4[hero-1],ScenarioTeams4[[#This Row],[hero]])+SUMIFS(ScenarioStat4[battles],ScenarioStat4[hero-2],ScenarioTeams4[[#This Row],[hero]])+SUMIFS(ScenarioStat4[battles],ScenarioStat4[hero-3],ScenarioTeams4[[#This Row],[hero]])+SUMIFS(ScenarioStat4[battles],ScenarioStat4[hero-4],ScenarioTeams4[[#This Row],[hero]])</f>
        <v>56</v>
      </c>
      <c r="M7">
        <f>SUMIFS(ScenarioStat4[team-1-win],ScenarioStat4[hero-1],ScenarioTeams4[[#This Row],[hero]])+SUMIFS(ScenarioStat4[team-2-win],ScenarioStat4[hero-2],ScenarioTeams4[[#This Row],[hero]])+SUMIFS(ScenarioStat4[team-3-win],ScenarioStat4[hero-3],ScenarioTeams4[[#This Row],[hero]])+SUMIFS(ScenarioStat4[team-4-win],ScenarioStat4[hero-4],ScenarioTeams4[[#This Row],[hero]])</f>
        <v>12</v>
      </c>
      <c r="N7" s="3">
        <f>IF(ScenarioTeams4[[#This Row],[battles]],ScenarioTeams4[[#This Row],[wins]]/ScenarioTeams4[[#This Row],[battles]],0)</f>
        <v>0.21428571428571427</v>
      </c>
      <c r="P7" s="5" t="s">
        <v>160</v>
      </c>
      <c r="Q7" s="31">
        <f>MAX(Scenario4[turns])</f>
        <v>70</v>
      </c>
    </row>
    <row r="8" spans="1:17" ht="15.75" thickBot="1" x14ac:dyDescent="0.3">
      <c r="A8" t="s">
        <v>53</v>
      </c>
      <c r="B8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8" t="s">
        <v>56</v>
      </c>
      <c r="D8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8" t="s">
        <v>48</v>
      </c>
      <c r="F8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8" t="s">
        <v>227</v>
      </c>
      <c r="H8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8">
        <f>ScenarioStat4[[#This Row],[team-1-win]]+ScenarioStat4[[#This Row],[team-2-win]]+ScenarioStat4[[#This Row],[team-3-win]]+ScenarioStat4[[#This Row],[team-4-win]]</f>
        <v>1</v>
      </c>
      <c r="K8" t="s">
        <v>45</v>
      </c>
      <c r="L8">
        <f>SUMIFS(ScenarioStat4[battles],ScenarioStat4[hero-1],ScenarioTeams4[[#This Row],[hero]])+SUMIFS(ScenarioStat4[battles],ScenarioStat4[hero-2],ScenarioTeams4[[#This Row],[hero]])+SUMIFS(ScenarioStat4[battles],ScenarioStat4[hero-3],ScenarioTeams4[[#This Row],[hero]])+SUMIFS(ScenarioStat4[battles],ScenarioStat4[hero-4],ScenarioTeams4[[#This Row],[hero]])</f>
        <v>56</v>
      </c>
      <c r="M8">
        <f>SUMIFS(ScenarioStat4[team-1-win],ScenarioStat4[hero-1],ScenarioTeams4[[#This Row],[hero]])+SUMIFS(ScenarioStat4[team-2-win],ScenarioStat4[hero-2],ScenarioTeams4[[#This Row],[hero]])+SUMIFS(ScenarioStat4[team-3-win],ScenarioStat4[hero-3],ScenarioTeams4[[#This Row],[hero]])+SUMIFS(ScenarioStat4[team-4-win],ScenarioStat4[hero-4],ScenarioTeams4[[#This Row],[hero]])</f>
        <v>15</v>
      </c>
      <c r="N8" s="3">
        <f>IF(ScenarioTeams4[[#This Row],[battles]],ScenarioTeams4[[#This Row],[wins]]/ScenarioTeams4[[#This Row],[battles]],0)</f>
        <v>0.26785714285714285</v>
      </c>
    </row>
    <row r="9" spans="1:17" ht="15.75" thickBot="1" x14ac:dyDescent="0.3">
      <c r="A9" t="s">
        <v>53</v>
      </c>
      <c r="B9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9" t="s">
        <v>56</v>
      </c>
      <c r="D9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9" t="s">
        <v>33</v>
      </c>
      <c r="F9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9" t="s">
        <v>43</v>
      </c>
      <c r="H9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9">
        <f>ScenarioStat4[[#This Row],[team-1-win]]+ScenarioStat4[[#This Row],[team-2-win]]+ScenarioStat4[[#This Row],[team-3-win]]+ScenarioStat4[[#This Row],[team-4-win]]</f>
        <v>1</v>
      </c>
      <c r="K9" t="s">
        <v>63</v>
      </c>
      <c r="L9">
        <f>SUMIFS(ScenarioStat4[battles],ScenarioStat4[hero-1],ScenarioTeams4[[#This Row],[hero]])+SUMIFS(ScenarioStat4[battles],ScenarioStat4[hero-2],ScenarioTeams4[[#This Row],[hero]])+SUMIFS(ScenarioStat4[battles],ScenarioStat4[hero-3],ScenarioTeams4[[#This Row],[hero]])+SUMIFS(ScenarioStat4[battles],ScenarioStat4[hero-4],ScenarioTeams4[[#This Row],[hero]])</f>
        <v>56</v>
      </c>
      <c r="M9">
        <f>SUMIFS(ScenarioStat4[team-1-win],ScenarioStat4[hero-1],ScenarioTeams4[[#This Row],[hero]])+SUMIFS(ScenarioStat4[team-2-win],ScenarioStat4[hero-2],ScenarioTeams4[[#This Row],[hero]])+SUMIFS(ScenarioStat4[team-3-win],ScenarioStat4[hero-3],ScenarioTeams4[[#This Row],[hero]])+SUMIFS(ScenarioStat4[team-4-win],ScenarioStat4[hero-4],ScenarioTeams4[[#This Row],[hero]])</f>
        <v>13</v>
      </c>
      <c r="N9" s="3">
        <f>IF(ScenarioTeams4[[#This Row],[battles]],ScenarioTeams4[[#This Row],[wins]]/ScenarioTeams4[[#This Row],[battles]],0)</f>
        <v>0.23214285714285715</v>
      </c>
      <c r="P9" s="4" t="s">
        <v>185</v>
      </c>
      <c r="Q9" s="30">
        <f>120000*$Q$6/1000/60</f>
        <v>80.587301587301596</v>
      </c>
    </row>
    <row r="10" spans="1:17" ht="15.75" thickBot="1" x14ac:dyDescent="0.3">
      <c r="A10" t="s">
        <v>53</v>
      </c>
      <c r="B10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0" t="s">
        <v>56</v>
      </c>
      <c r="D10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0" t="s">
        <v>33</v>
      </c>
      <c r="F10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0" t="s">
        <v>45</v>
      </c>
      <c r="H10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10">
        <f>ScenarioStat4[[#This Row],[team-1-win]]+ScenarioStat4[[#This Row],[team-2-win]]+ScenarioStat4[[#This Row],[team-3-win]]+ScenarioStat4[[#This Row],[team-4-win]]</f>
        <v>1</v>
      </c>
      <c r="K10" t="s">
        <v>38</v>
      </c>
      <c r="L10">
        <f>SUMIFS(ScenarioStat4[battles],ScenarioStat4[hero-1],ScenarioTeams4[[#This Row],[hero]])+SUMIFS(ScenarioStat4[battles],ScenarioStat4[hero-2],ScenarioTeams4[[#This Row],[hero]])+SUMIFS(ScenarioStat4[battles],ScenarioStat4[hero-3],ScenarioTeams4[[#This Row],[hero]])+SUMIFS(ScenarioStat4[battles],ScenarioStat4[hero-4],ScenarioTeams4[[#This Row],[hero]])</f>
        <v>56</v>
      </c>
      <c r="M10">
        <f>SUMIFS(ScenarioStat4[team-1-win],ScenarioStat4[hero-1],ScenarioTeams4[[#This Row],[hero]])+SUMIFS(ScenarioStat4[team-2-win],ScenarioStat4[hero-2],ScenarioTeams4[[#This Row],[hero]])+SUMIFS(ScenarioStat4[team-3-win],ScenarioStat4[hero-3],ScenarioTeams4[[#This Row],[hero]])+SUMIFS(ScenarioStat4[team-4-win],ScenarioStat4[hero-4],ScenarioTeams4[[#This Row],[hero]])</f>
        <v>8</v>
      </c>
      <c r="N10" s="3">
        <f>IF(ScenarioTeams4[[#This Row],[battles]],ScenarioTeams4[[#This Row],[wins]]/ScenarioTeams4[[#This Row],[battles]],0)</f>
        <v>0.14285714285714285</v>
      </c>
      <c r="P10" s="5" t="s">
        <v>186</v>
      </c>
      <c r="Q10" s="6">
        <f>Q9*COUNTA(ScenarioStat4[hero-1])/60/24*2</f>
        <v>14.102777777777781</v>
      </c>
    </row>
    <row r="11" spans="1:17" x14ac:dyDescent="0.25">
      <c r="A11" t="s">
        <v>53</v>
      </c>
      <c r="B11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1" t="s">
        <v>56</v>
      </c>
      <c r="D11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1" t="s">
        <v>33</v>
      </c>
      <c r="F11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11" t="s">
        <v>63</v>
      </c>
      <c r="H11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1">
        <f>ScenarioStat4[[#This Row],[team-1-win]]+ScenarioStat4[[#This Row],[team-2-win]]+ScenarioStat4[[#This Row],[team-3-win]]+ScenarioStat4[[#This Row],[team-4-win]]</f>
        <v>1</v>
      </c>
      <c r="K11" t="s">
        <v>227</v>
      </c>
      <c r="L11">
        <f>SUMIFS(ScenarioStat4[battles],ScenarioStat4[hero-1],ScenarioTeams4[[#This Row],[hero]])+SUMIFS(ScenarioStat4[battles],ScenarioStat4[hero-2],ScenarioTeams4[[#This Row],[hero]])+SUMIFS(ScenarioStat4[battles],ScenarioStat4[hero-3],ScenarioTeams4[[#This Row],[hero]])+SUMIFS(ScenarioStat4[battles],ScenarioStat4[hero-4],ScenarioTeams4[[#This Row],[hero]])</f>
        <v>56</v>
      </c>
      <c r="M11">
        <f>SUMIFS(ScenarioStat4[team-1-win],ScenarioStat4[hero-1],ScenarioTeams4[[#This Row],[hero]])+SUMIFS(ScenarioStat4[team-2-win],ScenarioStat4[hero-2],ScenarioTeams4[[#This Row],[hero]])+SUMIFS(ScenarioStat4[team-3-win],ScenarioStat4[hero-3],ScenarioTeams4[[#This Row],[hero]])+SUMIFS(ScenarioStat4[team-4-win],ScenarioStat4[hero-4],ScenarioTeams4[[#This Row],[hero]])</f>
        <v>17</v>
      </c>
      <c r="N11" s="3">
        <f>IF(ScenarioTeams4[[#This Row],[battles]],ScenarioTeams4[[#This Row],[wins]]/ScenarioTeams4[[#This Row],[battles]],0)</f>
        <v>0.30357142857142855</v>
      </c>
    </row>
    <row r="12" spans="1:17" x14ac:dyDescent="0.25">
      <c r="A12" t="s">
        <v>53</v>
      </c>
      <c r="B12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2" t="s">
        <v>56</v>
      </c>
      <c r="D12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12" t="s">
        <v>33</v>
      </c>
      <c r="F12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2" t="s">
        <v>38</v>
      </c>
      <c r="H12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2">
        <f>ScenarioStat4[[#This Row],[team-1-win]]+ScenarioStat4[[#This Row],[team-2-win]]+ScenarioStat4[[#This Row],[team-3-win]]+ScenarioStat4[[#This Row],[team-4-win]]</f>
        <v>1</v>
      </c>
    </row>
    <row r="13" spans="1:17" x14ac:dyDescent="0.25">
      <c r="A13" t="s">
        <v>53</v>
      </c>
      <c r="B13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3" t="s">
        <v>56</v>
      </c>
      <c r="D13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3" t="s">
        <v>33</v>
      </c>
      <c r="F13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13" t="s">
        <v>227</v>
      </c>
      <c r="H13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3">
        <f>ScenarioStat4[[#This Row],[team-1-win]]+ScenarioStat4[[#This Row],[team-2-win]]+ScenarioStat4[[#This Row],[team-3-win]]+ScenarioStat4[[#This Row],[team-4-win]]</f>
        <v>1</v>
      </c>
    </row>
    <row r="14" spans="1:17" x14ac:dyDescent="0.25">
      <c r="A14" t="s">
        <v>53</v>
      </c>
      <c r="B14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14" t="s">
        <v>56</v>
      </c>
      <c r="D14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4" t="s">
        <v>43</v>
      </c>
      <c r="F14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4" t="s">
        <v>45</v>
      </c>
      <c r="H14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4">
        <f>ScenarioStat4[[#This Row],[team-1-win]]+ScenarioStat4[[#This Row],[team-2-win]]+ScenarioStat4[[#This Row],[team-3-win]]+ScenarioStat4[[#This Row],[team-4-win]]</f>
        <v>1</v>
      </c>
    </row>
    <row r="15" spans="1:17" x14ac:dyDescent="0.25">
      <c r="A15" t="s">
        <v>53</v>
      </c>
      <c r="B15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5" t="s">
        <v>56</v>
      </c>
      <c r="D15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15" t="s">
        <v>43</v>
      </c>
      <c r="F15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5" t="s">
        <v>63</v>
      </c>
      <c r="H15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5">
        <f>ScenarioStat4[[#This Row],[team-1-win]]+ScenarioStat4[[#This Row],[team-2-win]]+ScenarioStat4[[#This Row],[team-3-win]]+ScenarioStat4[[#This Row],[team-4-win]]</f>
        <v>1</v>
      </c>
    </row>
    <row r="16" spans="1:17" x14ac:dyDescent="0.25">
      <c r="A16" t="s">
        <v>53</v>
      </c>
      <c r="B16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6" t="s">
        <v>56</v>
      </c>
      <c r="D16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6" t="s">
        <v>43</v>
      </c>
      <c r="F16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6" t="s">
        <v>38</v>
      </c>
      <c r="H16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16">
        <f>ScenarioStat4[[#This Row],[team-1-win]]+ScenarioStat4[[#This Row],[team-2-win]]+ScenarioStat4[[#This Row],[team-3-win]]+ScenarioStat4[[#This Row],[team-4-win]]</f>
        <v>1</v>
      </c>
    </row>
    <row r="17" spans="1:9" x14ac:dyDescent="0.25">
      <c r="A17" t="s">
        <v>53</v>
      </c>
      <c r="B17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7" t="s">
        <v>56</v>
      </c>
      <c r="D17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7" t="s">
        <v>43</v>
      </c>
      <c r="F17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7" t="s">
        <v>227</v>
      </c>
      <c r="H17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17">
        <f>ScenarioStat4[[#This Row],[team-1-win]]+ScenarioStat4[[#This Row],[team-2-win]]+ScenarioStat4[[#This Row],[team-3-win]]+ScenarioStat4[[#This Row],[team-4-win]]</f>
        <v>1</v>
      </c>
    </row>
    <row r="18" spans="1:9" x14ac:dyDescent="0.25">
      <c r="A18" t="s">
        <v>53</v>
      </c>
      <c r="B18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18" t="s">
        <v>56</v>
      </c>
      <c r="D18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8" t="s">
        <v>45</v>
      </c>
      <c r="F18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8" t="s">
        <v>63</v>
      </c>
      <c r="H18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8">
        <f>ScenarioStat4[[#This Row],[team-1-win]]+ScenarioStat4[[#This Row],[team-2-win]]+ScenarioStat4[[#This Row],[team-3-win]]+ScenarioStat4[[#This Row],[team-4-win]]</f>
        <v>1</v>
      </c>
    </row>
    <row r="19" spans="1:9" x14ac:dyDescent="0.25">
      <c r="A19" t="s">
        <v>53</v>
      </c>
      <c r="B19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19" t="s">
        <v>56</v>
      </c>
      <c r="D19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9" t="s">
        <v>45</v>
      </c>
      <c r="F19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9" t="s">
        <v>38</v>
      </c>
      <c r="H19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9">
        <f>ScenarioStat4[[#This Row],[team-1-win]]+ScenarioStat4[[#This Row],[team-2-win]]+ScenarioStat4[[#This Row],[team-3-win]]+ScenarioStat4[[#This Row],[team-4-win]]</f>
        <v>1</v>
      </c>
    </row>
    <row r="20" spans="1:9" x14ac:dyDescent="0.25">
      <c r="A20" t="s">
        <v>53</v>
      </c>
      <c r="B20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20" t="s">
        <v>56</v>
      </c>
      <c r="D20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20" t="s">
        <v>45</v>
      </c>
      <c r="F20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20" t="s">
        <v>227</v>
      </c>
      <c r="H20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20">
        <f>ScenarioStat4[[#This Row],[team-1-win]]+ScenarioStat4[[#This Row],[team-2-win]]+ScenarioStat4[[#This Row],[team-3-win]]+ScenarioStat4[[#This Row],[team-4-win]]</f>
        <v>1</v>
      </c>
    </row>
    <row r="21" spans="1:9" x14ac:dyDescent="0.25">
      <c r="A21" t="s">
        <v>53</v>
      </c>
      <c r="B21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21" t="s">
        <v>56</v>
      </c>
      <c r="D21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21" t="s">
        <v>63</v>
      </c>
      <c r="F21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21" t="s">
        <v>38</v>
      </c>
      <c r="H21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21">
        <f>ScenarioStat4[[#This Row],[team-1-win]]+ScenarioStat4[[#This Row],[team-2-win]]+ScenarioStat4[[#This Row],[team-3-win]]+ScenarioStat4[[#This Row],[team-4-win]]</f>
        <v>1</v>
      </c>
    </row>
    <row r="22" spans="1:9" x14ac:dyDescent="0.25">
      <c r="A22" t="s">
        <v>53</v>
      </c>
      <c r="B22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22" t="s">
        <v>56</v>
      </c>
      <c r="D22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22" t="s">
        <v>63</v>
      </c>
      <c r="F22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22" t="s">
        <v>227</v>
      </c>
      <c r="H22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22">
        <f>ScenarioStat4[[#This Row],[team-1-win]]+ScenarioStat4[[#This Row],[team-2-win]]+ScenarioStat4[[#This Row],[team-3-win]]+ScenarioStat4[[#This Row],[team-4-win]]</f>
        <v>1</v>
      </c>
    </row>
    <row r="23" spans="1:9" x14ac:dyDescent="0.25">
      <c r="A23" t="s">
        <v>53</v>
      </c>
      <c r="B23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23" t="s">
        <v>56</v>
      </c>
      <c r="D23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23" t="s">
        <v>38</v>
      </c>
      <c r="F23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23" t="s">
        <v>227</v>
      </c>
      <c r="H23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23">
        <f>ScenarioStat4[[#This Row],[team-1-win]]+ScenarioStat4[[#This Row],[team-2-win]]+ScenarioStat4[[#This Row],[team-3-win]]+ScenarioStat4[[#This Row],[team-4-win]]</f>
        <v>1</v>
      </c>
    </row>
    <row r="24" spans="1:9" x14ac:dyDescent="0.25">
      <c r="A24" t="s">
        <v>53</v>
      </c>
      <c r="B24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24" t="s">
        <v>48</v>
      </c>
      <c r="D24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24" t="s">
        <v>33</v>
      </c>
      <c r="F24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24" t="s">
        <v>43</v>
      </c>
      <c r="H24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24">
        <f>ScenarioStat4[[#This Row],[team-1-win]]+ScenarioStat4[[#This Row],[team-2-win]]+ScenarioStat4[[#This Row],[team-3-win]]+ScenarioStat4[[#This Row],[team-4-win]]</f>
        <v>1</v>
      </c>
    </row>
    <row r="25" spans="1:9" x14ac:dyDescent="0.25">
      <c r="A25" t="s">
        <v>53</v>
      </c>
      <c r="B25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25" t="s">
        <v>48</v>
      </c>
      <c r="D25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25" t="s">
        <v>33</v>
      </c>
      <c r="F25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25" t="s">
        <v>45</v>
      </c>
      <c r="H25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25">
        <f>ScenarioStat4[[#This Row],[team-1-win]]+ScenarioStat4[[#This Row],[team-2-win]]+ScenarioStat4[[#This Row],[team-3-win]]+ScenarioStat4[[#This Row],[team-4-win]]</f>
        <v>1</v>
      </c>
    </row>
    <row r="26" spans="1:9" x14ac:dyDescent="0.25">
      <c r="A26" t="s">
        <v>53</v>
      </c>
      <c r="B26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26" t="s">
        <v>48</v>
      </c>
      <c r="D26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26" t="s">
        <v>33</v>
      </c>
      <c r="F26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26" t="s">
        <v>63</v>
      </c>
      <c r="H26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26">
        <f>ScenarioStat4[[#This Row],[team-1-win]]+ScenarioStat4[[#This Row],[team-2-win]]+ScenarioStat4[[#This Row],[team-3-win]]+ScenarioStat4[[#This Row],[team-4-win]]</f>
        <v>1</v>
      </c>
    </row>
    <row r="27" spans="1:9" x14ac:dyDescent="0.25">
      <c r="A27" t="s">
        <v>53</v>
      </c>
      <c r="B27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27" t="s">
        <v>48</v>
      </c>
      <c r="D27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27" t="s">
        <v>33</v>
      </c>
      <c r="F27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27" t="s">
        <v>38</v>
      </c>
      <c r="H27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27">
        <f>ScenarioStat4[[#This Row],[team-1-win]]+ScenarioStat4[[#This Row],[team-2-win]]+ScenarioStat4[[#This Row],[team-3-win]]+ScenarioStat4[[#This Row],[team-4-win]]</f>
        <v>1</v>
      </c>
    </row>
    <row r="28" spans="1:9" x14ac:dyDescent="0.25">
      <c r="A28" t="s">
        <v>53</v>
      </c>
      <c r="B28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28" t="s">
        <v>48</v>
      </c>
      <c r="D28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28" t="s">
        <v>33</v>
      </c>
      <c r="F28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28" t="s">
        <v>227</v>
      </c>
      <c r="H28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28">
        <f>ScenarioStat4[[#This Row],[team-1-win]]+ScenarioStat4[[#This Row],[team-2-win]]+ScenarioStat4[[#This Row],[team-3-win]]+ScenarioStat4[[#This Row],[team-4-win]]</f>
        <v>1</v>
      </c>
    </row>
    <row r="29" spans="1:9" x14ac:dyDescent="0.25">
      <c r="A29" t="s">
        <v>53</v>
      </c>
      <c r="B29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29" t="s">
        <v>48</v>
      </c>
      <c r="D29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29" t="s">
        <v>43</v>
      </c>
      <c r="F29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29" t="s">
        <v>45</v>
      </c>
      <c r="H29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29">
        <f>ScenarioStat4[[#This Row],[team-1-win]]+ScenarioStat4[[#This Row],[team-2-win]]+ScenarioStat4[[#This Row],[team-3-win]]+ScenarioStat4[[#This Row],[team-4-win]]</f>
        <v>1</v>
      </c>
    </row>
    <row r="30" spans="1:9" x14ac:dyDescent="0.25">
      <c r="A30" t="s">
        <v>53</v>
      </c>
      <c r="B30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30" t="s">
        <v>48</v>
      </c>
      <c r="D30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30" t="s">
        <v>43</v>
      </c>
      <c r="F30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30" t="s">
        <v>63</v>
      </c>
      <c r="H30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30">
        <f>ScenarioStat4[[#This Row],[team-1-win]]+ScenarioStat4[[#This Row],[team-2-win]]+ScenarioStat4[[#This Row],[team-3-win]]+ScenarioStat4[[#This Row],[team-4-win]]</f>
        <v>1</v>
      </c>
    </row>
    <row r="31" spans="1:9" x14ac:dyDescent="0.25">
      <c r="A31" t="s">
        <v>53</v>
      </c>
      <c r="B31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31" t="s">
        <v>48</v>
      </c>
      <c r="D31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31" t="s">
        <v>43</v>
      </c>
      <c r="F31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31" t="s">
        <v>38</v>
      </c>
      <c r="H31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31">
        <f>ScenarioStat4[[#This Row],[team-1-win]]+ScenarioStat4[[#This Row],[team-2-win]]+ScenarioStat4[[#This Row],[team-3-win]]+ScenarioStat4[[#This Row],[team-4-win]]</f>
        <v>1</v>
      </c>
    </row>
    <row r="32" spans="1:9" x14ac:dyDescent="0.25">
      <c r="A32" t="s">
        <v>53</v>
      </c>
      <c r="B32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32" t="s">
        <v>48</v>
      </c>
      <c r="D32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32" t="s">
        <v>43</v>
      </c>
      <c r="F32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32" t="s">
        <v>227</v>
      </c>
      <c r="H32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32">
        <f>ScenarioStat4[[#This Row],[team-1-win]]+ScenarioStat4[[#This Row],[team-2-win]]+ScenarioStat4[[#This Row],[team-3-win]]+ScenarioStat4[[#This Row],[team-4-win]]</f>
        <v>1</v>
      </c>
    </row>
    <row r="33" spans="1:9" x14ac:dyDescent="0.25">
      <c r="A33" t="s">
        <v>53</v>
      </c>
      <c r="B33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33" t="s">
        <v>48</v>
      </c>
      <c r="D33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33" t="s">
        <v>45</v>
      </c>
      <c r="F33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33" t="s">
        <v>63</v>
      </c>
      <c r="H33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33">
        <f>ScenarioStat4[[#This Row],[team-1-win]]+ScenarioStat4[[#This Row],[team-2-win]]+ScenarioStat4[[#This Row],[team-3-win]]+ScenarioStat4[[#This Row],[team-4-win]]</f>
        <v>1</v>
      </c>
    </row>
    <row r="34" spans="1:9" x14ac:dyDescent="0.25">
      <c r="A34" t="s">
        <v>53</v>
      </c>
      <c r="B34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34" t="s">
        <v>48</v>
      </c>
      <c r="D34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34" t="s">
        <v>45</v>
      </c>
      <c r="F34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34" t="s">
        <v>38</v>
      </c>
      <c r="H34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34">
        <f>ScenarioStat4[[#This Row],[team-1-win]]+ScenarioStat4[[#This Row],[team-2-win]]+ScenarioStat4[[#This Row],[team-3-win]]+ScenarioStat4[[#This Row],[team-4-win]]</f>
        <v>1</v>
      </c>
    </row>
    <row r="35" spans="1:9" x14ac:dyDescent="0.25">
      <c r="A35" t="s">
        <v>53</v>
      </c>
      <c r="B35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35" t="s">
        <v>48</v>
      </c>
      <c r="D35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35" t="s">
        <v>45</v>
      </c>
      <c r="F35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35" t="s">
        <v>227</v>
      </c>
      <c r="H35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35">
        <f>ScenarioStat4[[#This Row],[team-1-win]]+ScenarioStat4[[#This Row],[team-2-win]]+ScenarioStat4[[#This Row],[team-3-win]]+ScenarioStat4[[#This Row],[team-4-win]]</f>
        <v>1</v>
      </c>
    </row>
    <row r="36" spans="1:9" x14ac:dyDescent="0.25">
      <c r="A36" t="s">
        <v>53</v>
      </c>
      <c r="B36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36" t="s">
        <v>48</v>
      </c>
      <c r="D36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36" t="s">
        <v>63</v>
      </c>
      <c r="F36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36" t="s">
        <v>38</v>
      </c>
      <c r="H36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36">
        <f>ScenarioStat4[[#This Row],[team-1-win]]+ScenarioStat4[[#This Row],[team-2-win]]+ScenarioStat4[[#This Row],[team-3-win]]+ScenarioStat4[[#This Row],[team-4-win]]</f>
        <v>1</v>
      </c>
    </row>
    <row r="37" spans="1:9" x14ac:dyDescent="0.25">
      <c r="A37" t="s">
        <v>53</v>
      </c>
      <c r="B37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37" t="s">
        <v>48</v>
      </c>
      <c r="D37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37" t="s">
        <v>63</v>
      </c>
      <c r="F37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37" t="s">
        <v>227</v>
      </c>
      <c r="H37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37">
        <f>ScenarioStat4[[#This Row],[team-1-win]]+ScenarioStat4[[#This Row],[team-2-win]]+ScenarioStat4[[#This Row],[team-3-win]]+ScenarioStat4[[#This Row],[team-4-win]]</f>
        <v>1</v>
      </c>
    </row>
    <row r="38" spans="1:9" x14ac:dyDescent="0.25">
      <c r="A38" t="s">
        <v>53</v>
      </c>
      <c r="B38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38" t="s">
        <v>48</v>
      </c>
      <c r="D38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38" t="s">
        <v>38</v>
      </c>
      <c r="F38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38" t="s">
        <v>227</v>
      </c>
      <c r="H38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38">
        <f>ScenarioStat4[[#This Row],[team-1-win]]+ScenarioStat4[[#This Row],[team-2-win]]+ScenarioStat4[[#This Row],[team-3-win]]+ScenarioStat4[[#This Row],[team-4-win]]</f>
        <v>1</v>
      </c>
    </row>
    <row r="39" spans="1:9" x14ac:dyDescent="0.25">
      <c r="A39" t="s">
        <v>53</v>
      </c>
      <c r="B39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39" t="s">
        <v>33</v>
      </c>
      <c r="D39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39" t="s">
        <v>43</v>
      </c>
      <c r="F39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39" t="s">
        <v>45</v>
      </c>
      <c r="H39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39">
        <f>ScenarioStat4[[#This Row],[team-1-win]]+ScenarioStat4[[#This Row],[team-2-win]]+ScenarioStat4[[#This Row],[team-3-win]]+ScenarioStat4[[#This Row],[team-4-win]]</f>
        <v>1</v>
      </c>
    </row>
    <row r="40" spans="1:9" x14ac:dyDescent="0.25">
      <c r="A40" t="s">
        <v>53</v>
      </c>
      <c r="B40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40" t="s">
        <v>33</v>
      </c>
      <c r="D40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40" t="s">
        <v>43</v>
      </c>
      <c r="F40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40" t="s">
        <v>63</v>
      </c>
      <c r="H40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40">
        <f>ScenarioStat4[[#This Row],[team-1-win]]+ScenarioStat4[[#This Row],[team-2-win]]+ScenarioStat4[[#This Row],[team-3-win]]+ScenarioStat4[[#This Row],[team-4-win]]</f>
        <v>1</v>
      </c>
    </row>
    <row r="41" spans="1:9" x14ac:dyDescent="0.25">
      <c r="A41" t="s">
        <v>53</v>
      </c>
      <c r="B41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41" t="s">
        <v>33</v>
      </c>
      <c r="D41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41" t="s">
        <v>43</v>
      </c>
      <c r="F41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41" t="s">
        <v>38</v>
      </c>
      <c r="H41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41">
        <f>ScenarioStat4[[#This Row],[team-1-win]]+ScenarioStat4[[#This Row],[team-2-win]]+ScenarioStat4[[#This Row],[team-3-win]]+ScenarioStat4[[#This Row],[team-4-win]]</f>
        <v>1</v>
      </c>
    </row>
    <row r="42" spans="1:9" x14ac:dyDescent="0.25">
      <c r="A42" t="s">
        <v>53</v>
      </c>
      <c r="B42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42" t="s">
        <v>33</v>
      </c>
      <c r="D42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42" t="s">
        <v>43</v>
      </c>
      <c r="F42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42" t="s">
        <v>227</v>
      </c>
      <c r="H42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42">
        <f>ScenarioStat4[[#This Row],[team-1-win]]+ScenarioStat4[[#This Row],[team-2-win]]+ScenarioStat4[[#This Row],[team-3-win]]+ScenarioStat4[[#This Row],[team-4-win]]</f>
        <v>1</v>
      </c>
    </row>
    <row r="43" spans="1:9" x14ac:dyDescent="0.25">
      <c r="A43" t="s">
        <v>53</v>
      </c>
      <c r="B43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43" t="s">
        <v>33</v>
      </c>
      <c r="D43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43" t="s">
        <v>45</v>
      </c>
      <c r="F43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43" t="s">
        <v>63</v>
      </c>
      <c r="H43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43">
        <f>ScenarioStat4[[#This Row],[team-1-win]]+ScenarioStat4[[#This Row],[team-2-win]]+ScenarioStat4[[#This Row],[team-3-win]]+ScenarioStat4[[#This Row],[team-4-win]]</f>
        <v>1</v>
      </c>
    </row>
    <row r="44" spans="1:9" x14ac:dyDescent="0.25">
      <c r="A44" t="s">
        <v>53</v>
      </c>
      <c r="B44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44" t="s">
        <v>33</v>
      </c>
      <c r="D44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44" t="s">
        <v>45</v>
      </c>
      <c r="F44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44" t="s">
        <v>38</v>
      </c>
      <c r="H44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44">
        <f>ScenarioStat4[[#This Row],[team-1-win]]+ScenarioStat4[[#This Row],[team-2-win]]+ScenarioStat4[[#This Row],[team-3-win]]+ScenarioStat4[[#This Row],[team-4-win]]</f>
        <v>1</v>
      </c>
    </row>
    <row r="45" spans="1:9" x14ac:dyDescent="0.25">
      <c r="A45" t="s">
        <v>53</v>
      </c>
      <c r="B45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45" t="s">
        <v>33</v>
      </c>
      <c r="D45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45" t="s">
        <v>45</v>
      </c>
      <c r="F45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45" t="s">
        <v>227</v>
      </c>
      <c r="H45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45">
        <f>ScenarioStat4[[#This Row],[team-1-win]]+ScenarioStat4[[#This Row],[team-2-win]]+ScenarioStat4[[#This Row],[team-3-win]]+ScenarioStat4[[#This Row],[team-4-win]]</f>
        <v>1</v>
      </c>
    </row>
    <row r="46" spans="1:9" x14ac:dyDescent="0.25">
      <c r="A46" t="s">
        <v>53</v>
      </c>
      <c r="B46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46" t="s">
        <v>33</v>
      </c>
      <c r="D46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46" t="s">
        <v>63</v>
      </c>
      <c r="F46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46" t="s">
        <v>38</v>
      </c>
      <c r="H46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46">
        <f>ScenarioStat4[[#This Row],[team-1-win]]+ScenarioStat4[[#This Row],[team-2-win]]+ScenarioStat4[[#This Row],[team-3-win]]+ScenarioStat4[[#This Row],[team-4-win]]</f>
        <v>1</v>
      </c>
    </row>
    <row r="47" spans="1:9" x14ac:dyDescent="0.25">
      <c r="A47" t="s">
        <v>53</v>
      </c>
      <c r="B47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47" t="s">
        <v>33</v>
      </c>
      <c r="D47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47" t="s">
        <v>63</v>
      </c>
      <c r="F47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47" t="s">
        <v>227</v>
      </c>
      <c r="H47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47">
        <f>ScenarioStat4[[#This Row],[team-1-win]]+ScenarioStat4[[#This Row],[team-2-win]]+ScenarioStat4[[#This Row],[team-3-win]]+ScenarioStat4[[#This Row],[team-4-win]]</f>
        <v>1</v>
      </c>
    </row>
    <row r="48" spans="1:9" x14ac:dyDescent="0.25">
      <c r="A48" t="s">
        <v>53</v>
      </c>
      <c r="B48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48" t="s">
        <v>33</v>
      </c>
      <c r="D48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48" t="s">
        <v>38</v>
      </c>
      <c r="F48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48" t="s">
        <v>227</v>
      </c>
      <c r="H48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48">
        <f>ScenarioStat4[[#This Row],[team-1-win]]+ScenarioStat4[[#This Row],[team-2-win]]+ScenarioStat4[[#This Row],[team-3-win]]+ScenarioStat4[[#This Row],[team-4-win]]</f>
        <v>1</v>
      </c>
    </row>
    <row r="49" spans="1:9" x14ac:dyDescent="0.25">
      <c r="A49" t="s">
        <v>53</v>
      </c>
      <c r="B49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49" t="s">
        <v>43</v>
      </c>
      <c r="D49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49" t="s">
        <v>45</v>
      </c>
      <c r="F49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49" t="s">
        <v>63</v>
      </c>
      <c r="H49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49">
        <f>ScenarioStat4[[#This Row],[team-1-win]]+ScenarioStat4[[#This Row],[team-2-win]]+ScenarioStat4[[#This Row],[team-3-win]]+ScenarioStat4[[#This Row],[team-4-win]]</f>
        <v>1</v>
      </c>
    </row>
    <row r="50" spans="1:9" x14ac:dyDescent="0.25">
      <c r="A50" t="s">
        <v>53</v>
      </c>
      <c r="B50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50" t="s">
        <v>43</v>
      </c>
      <c r="D50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50" t="s">
        <v>45</v>
      </c>
      <c r="F50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50" t="s">
        <v>38</v>
      </c>
      <c r="H50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50">
        <f>ScenarioStat4[[#This Row],[team-1-win]]+ScenarioStat4[[#This Row],[team-2-win]]+ScenarioStat4[[#This Row],[team-3-win]]+ScenarioStat4[[#This Row],[team-4-win]]</f>
        <v>1</v>
      </c>
    </row>
    <row r="51" spans="1:9" x14ac:dyDescent="0.25">
      <c r="A51" t="s">
        <v>53</v>
      </c>
      <c r="B51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51" t="s">
        <v>43</v>
      </c>
      <c r="D51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51" t="s">
        <v>45</v>
      </c>
      <c r="F51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51" t="s">
        <v>227</v>
      </c>
      <c r="H51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51">
        <f>ScenarioStat4[[#This Row],[team-1-win]]+ScenarioStat4[[#This Row],[team-2-win]]+ScenarioStat4[[#This Row],[team-3-win]]+ScenarioStat4[[#This Row],[team-4-win]]</f>
        <v>1</v>
      </c>
    </row>
    <row r="52" spans="1:9" x14ac:dyDescent="0.25">
      <c r="A52" t="s">
        <v>53</v>
      </c>
      <c r="B52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52" t="s">
        <v>43</v>
      </c>
      <c r="D52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52" t="s">
        <v>63</v>
      </c>
      <c r="F52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52" t="s">
        <v>38</v>
      </c>
      <c r="H52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52">
        <f>ScenarioStat4[[#This Row],[team-1-win]]+ScenarioStat4[[#This Row],[team-2-win]]+ScenarioStat4[[#This Row],[team-3-win]]+ScenarioStat4[[#This Row],[team-4-win]]</f>
        <v>1</v>
      </c>
    </row>
    <row r="53" spans="1:9" x14ac:dyDescent="0.25">
      <c r="A53" t="s">
        <v>53</v>
      </c>
      <c r="B53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53" t="s">
        <v>43</v>
      </c>
      <c r="D53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53" t="s">
        <v>63</v>
      </c>
      <c r="F53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53" t="s">
        <v>227</v>
      </c>
      <c r="H53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53">
        <f>ScenarioStat4[[#This Row],[team-1-win]]+ScenarioStat4[[#This Row],[team-2-win]]+ScenarioStat4[[#This Row],[team-3-win]]+ScenarioStat4[[#This Row],[team-4-win]]</f>
        <v>1</v>
      </c>
    </row>
    <row r="54" spans="1:9" x14ac:dyDescent="0.25">
      <c r="A54" t="s">
        <v>53</v>
      </c>
      <c r="B54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54" t="s">
        <v>43</v>
      </c>
      <c r="D54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54" t="s">
        <v>38</v>
      </c>
      <c r="F54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54" t="s">
        <v>227</v>
      </c>
      <c r="H54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54">
        <f>ScenarioStat4[[#This Row],[team-1-win]]+ScenarioStat4[[#This Row],[team-2-win]]+ScenarioStat4[[#This Row],[team-3-win]]+ScenarioStat4[[#This Row],[team-4-win]]</f>
        <v>1</v>
      </c>
    </row>
    <row r="55" spans="1:9" x14ac:dyDescent="0.25">
      <c r="A55" t="s">
        <v>53</v>
      </c>
      <c r="B55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55" t="s">
        <v>45</v>
      </c>
      <c r="D55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55" t="s">
        <v>63</v>
      </c>
      <c r="F55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55" t="s">
        <v>38</v>
      </c>
      <c r="H55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55">
        <f>ScenarioStat4[[#This Row],[team-1-win]]+ScenarioStat4[[#This Row],[team-2-win]]+ScenarioStat4[[#This Row],[team-3-win]]+ScenarioStat4[[#This Row],[team-4-win]]</f>
        <v>1</v>
      </c>
    </row>
    <row r="56" spans="1:9" x14ac:dyDescent="0.25">
      <c r="A56" t="s">
        <v>53</v>
      </c>
      <c r="B56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56" t="s">
        <v>45</v>
      </c>
      <c r="D56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56" t="s">
        <v>63</v>
      </c>
      <c r="F56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56" t="s">
        <v>227</v>
      </c>
      <c r="H56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56">
        <f>ScenarioStat4[[#This Row],[team-1-win]]+ScenarioStat4[[#This Row],[team-2-win]]+ScenarioStat4[[#This Row],[team-3-win]]+ScenarioStat4[[#This Row],[team-4-win]]</f>
        <v>1</v>
      </c>
    </row>
    <row r="57" spans="1:9" x14ac:dyDescent="0.25">
      <c r="A57" t="s">
        <v>53</v>
      </c>
      <c r="B57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57" t="s">
        <v>45</v>
      </c>
      <c r="D57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57" t="s">
        <v>38</v>
      </c>
      <c r="F57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57" t="s">
        <v>227</v>
      </c>
      <c r="H57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57">
        <f>ScenarioStat4[[#This Row],[team-1-win]]+ScenarioStat4[[#This Row],[team-2-win]]+ScenarioStat4[[#This Row],[team-3-win]]+ScenarioStat4[[#This Row],[team-4-win]]</f>
        <v>1</v>
      </c>
    </row>
    <row r="58" spans="1:9" x14ac:dyDescent="0.25">
      <c r="A58" t="s">
        <v>53</v>
      </c>
      <c r="B58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58" t="s">
        <v>63</v>
      </c>
      <c r="D58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58" t="s">
        <v>38</v>
      </c>
      <c r="F58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58" t="s">
        <v>227</v>
      </c>
      <c r="H58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58">
        <f>ScenarioStat4[[#This Row],[team-1-win]]+ScenarioStat4[[#This Row],[team-2-win]]+ScenarioStat4[[#This Row],[team-3-win]]+ScenarioStat4[[#This Row],[team-4-win]]</f>
        <v>1</v>
      </c>
    </row>
    <row r="59" spans="1:9" x14ac:dyDescent="0.25">
      <c r="A59" t="s">
        <v>56</v>
      </c>
      <c r="B59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59" t="s">
        <v>48</v>
      </c>
      <c r="D59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59" t="s">
        <v>33</v>
      </c>
      <c r="F59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59" t="s">
        <v>43</v>
      </c>
      <c r="H59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59">
        <f>ScenarioStat4[[#This Row],[team-1-win]]+ScenarioStat4[[#This Row],[team-2-win]]+ScenarioStat4[[#This Row],[team-3-win]]+ScenarioStat4[[#This Row],[team-4-win]]</f>
        <v>1</v>
      </c>
    </row>
    <row r="60" spans="1:9" x14ac:dyDescent="0.25">
      <c r="A60" t="s">
        <v>56</v>
      </c>
      <c r="B60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60" t="s">
        <v>48</v>
      </c>
      <c r="D60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60" t="s">
        <v>33</v>
      </c>
      <c r="F60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60" t="s">
        <v>45</v>
      </c>
      <c r="H60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60">
        <f>ScenarioStat4[[#This Row],[team-1-win]]+ScenarioStat4[[#This Row],[team-2-win]]+ScenarioStat4[[#This Row],[team-3-win]]+ScenarioStat4[[#This Row],[team-4-win]]</f>
        <v>1</v>
      </c>
    </row>
    <row r="61" spans="1:9" x14ac:dyDescent="0.25">
      <c r="A61" t="s">
        <v>56</v>
      </c>
      <c r="B61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61" t="s">
        <v>48</v>
      </c>
      <c r="D61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61" t="s">
        <v>33</v>
      </c>
      <c r="F61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61" t="s">
        <v>63</v>
      </c>
      <c r="H61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61">
        <f>ScenarioStat4[[#This Row],[team-1-win]]+ScenarioStat4[[#This Row],[team-2-win]]+ScenarioStat4[[#This Row],[team-3-win]]+ScenarioStat4[[#This Row],[team-4-win]]</f>
        <v>1</v>
      </c>
    </row>
    <row r="62" spans="1:9" x14ac:dyDescent="0.25">
      <c r="A62" t="s">
        <v>56</v>
      </c>
      <c r="B62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62" t="s">
        <v>48</v>
      </c>
      <c r="D62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62" t="s">
        <v>33</v>
      </c>
      <c r="F62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62" t="s">
        <v>38</v>
      </c>
      <c r="H62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62">
        <f>ScenarioStat4[[#This Row],[team-1-win]]+ScenarioStat4[[#This Row],[team-2-win]]+ScenarioStat4[[#This Row],[team-3-win]]+ScenarioStat4[[#This Row],[team-4-win]]</f>
        <v>1</v>
      </c>
    </row>
    <row r="63" spans="1:9" x14ac:dyDescent="0.25">
      <c r="A63" t="s">
        <v>56</v>
      </c>
      <c r="B63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63" t="s">
        <v>48</v>
      </c>
      <c r="D63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63" t="s">
        <v>33</v>
      </c>
      <c r="F63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63" t="s">
        <v>227</v>
      </c>
      <c r="H63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63">
        <f>ScenarioStat4[[#This Row],[team-1-win]]+ScenarioStat4[[#This Row],[team-2-win]]+ScenarioStat4[[#This Row],[team-3-win]]+ScenarioStat4[[#This Row],[team-4-win]]</f>
        <v>1</v>
      </c>
    </row>
    <row r="64" spans="1:9" x14ac:dyDescent="0.25">
      <c r="A64" t="s">
        <v>56</v>
      </c>
      <c r="B64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64" t="s">
        <v>48</v>
      </c>
      <c r="D64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64" t="s">
        <v>43</v>
      </c>
      <c r="F64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64" t="s">
        <v>45</v>
      </c>
      <c r="H64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64">
        <f>ScenarioStat4[[#This Row],[team-1-win]]+ScenarioStat4[[#This Row],[team-2-win]]+ScenarioStat4[[#This Row],[team-3-win]]+ScenarioStat4[[#This Row],[team-4-win]]</f>
        <v>1</v>
      </c>
    </row>
    <row r="65" spans="1:9" x14ac:dyDescent="0.25">
      <c r="A65" t="s">
        <v>56</v>
      </c>
      <c r="B65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65" t="s">
        <v>48</v>
      </c>
      <c r="D65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65" t="s">
        <v>43</v>
      </c>
      <c r="F65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65" t="s">
        <v>63</v>
      </c>
      <c r="H65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65">
        <f>ScenarioStat4[[#This Row],[team-1-win]]+ScenarioStat4[[#This Row],[team-2-win]]+ScenarioStat4[[#This Row],[team-3-win]]+ScenarioStat4[[#This Row],[team-4-win]]</f>
        <v>1</v>
      </c>
    </row>
    <row r="66" spans="1:9" x14ac:dyDescent="0.25">
      <c r="A66" t="s">
        <v>56</v>
      </c>
      <c r="B66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66" t="s">
        <v>48</v>
      </c>
      <c r="D66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66" t="s">
        <v>43</v>
      </c>
      <c r="F66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66" t="s">
        <v>38</v>
      </c>
      <c r="H66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66">
        <f>ScenarioStat4[[#This Row],[team-1-win]]+ScenarioStat4[[#This Row],[team-2-win]]+ScenarioStat4[[#This Row],[team-3-win]]+ScenarioStat4[[#This Row],[team-4-win]]</f>
        <v>1</v>
      </c>
    </row>
    <row r="67" spans="1:9" x14ac:dyDescent="0.25">
      <c r="A67" t="s">
        <v>56</v>
      </c>
      <c r="B67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67" t="s">
        <v>48</v>
      </c>
      <c r="D67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67" t="s">
        <v>43</v>
      </c>
      <c r="F67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67" t="s">
        <v>227</v>
      </c>
      <c r="H67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67">
        <f>ScenarioStat4[[#This Row],[team-1-win]]+ScenarioStat4[[#This Row],[team-2-win]]+ScenarioStat4[[#This Row],[team-3-win]]+ScenarioStat4[[#This Row],[team-4-win]]</f>
        <v>1</v>
      </c>
    </row>
    <row r="68" spans="1:9" x14ac:dyDescent="0.25">
      <c r="A68" t="s">
        <v>56</v>
      </c>
      <c r="B68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68" t="s">
        <v>48</v>
      </c>
      <c r="D68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68" t="s">
        <v>45</v>
      </c>
      <c r="F68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68" t="s">
        <v>63</v>
      </c>
      <c r="H68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68">
        <f>ScenarioStat4[[#This Row],[team-1-win]]+ScenarioStat4[[#This Row],[team-2-win]]+ScenarioStat4[[#This Row],[team-3-win]]+ScenarioStat4[[#This Row],[team-4-win]]</f>
        <v>1</v>
      </c>
    </row>
    <row r="69" spans="1:9" x14ac:dyDescent="0.25">
      <c r="A69" t="s">
        <v>56</v>
      </c>
      <c r="B69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69" t="s">
        <v>48</v>
      </c>
      <c r="D69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69" t="s">
        <v>45</v>
      </c>
      <c r="F69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69" t="s">
        <v>38</v>
      </c>
      <c r="H69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69">
        <f>ScenarioStat4[[#This Row],[team-1-win]]+ScenarioStat4[[#This Row],[team-2-win]]+ScenarioStat4[[#This Row],[team-3-win]]+ScenarioStat4[[#This Row],[team-4-win]]</f>
        <v>1</v>
      </c>
    </row>
    <row r="70" spans="1:9" x14ac:dyDescent="0.25">
      <c r="A70" t="s">
        <v>56</v>
      </c>
      <c r="B70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70" t="s">
        <v>48</v>
      </c>
      <c r="D70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70" t="s">
        <v>45</v>
      </c>
      <c r="F70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70" t="s">
        <v>227</v>
      </c>
      <c r="H70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70">
        <f>ScenarioStat4[[#This Row],[team-1-win]]+ScenarioStat4[[#This Row],[team-2-win]]+ScenarioStat4[[#This Row],[team-3-win]]+ScenarioStat4[[#This Row],[team-4-win]]</f>
        <v>1</v>
      </c>
    </row>
    <row r="71" spans="1:9" x14ac:dyDescent="0.25">
      <c r="A71" t="s">
        <v>56</v>
      </c>
      <c r="B71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71" t="s">
        <v>48</v>
      </c>
      <c r="D71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71" t="s">
        <v>63</v>
      </c>
      <c r="F71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71" t="s">
        <v>38</v>
      </c>
      <c r="H71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71">
        <f>ScenarioStat4[[#This Row],[team-1-win]]+ScenarioStat4[[#This Row],[team-2-win]]+ScenarioStat4[[#This Row],[team-3-win]]+ScenarioStat4[[#This Row],[team-4-win]]</f>
        <v>1</v>
      </c>
    </row>
    <row r="72" spans="1:9" x14ac:dyDescent="0.25">
      <c r="A72" t="s">
        <v>56</v>
      </c>
      <c r="B72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72" t="s">
        <v>48</v>
      </c>
      <c r="D72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72" t="s">
        <v>63</v>
      </c>
      <c r="F72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72" t="s">
        <v>227</v>
      </c>
      <c r="H72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72">
        <f>ScenarioStat4[[#This Row],[team-1-win]]+ScenarioStat4[[#This Row],[team-2-win]]+ScenarioStat4[[#This Row],[team-3-win]]+ScenarioStat4[[#This Row],[team-4-win]]</f>
        <v>1</v>
      </c>
    </row>
    <row r="73" spans="1:9" x14ac:dyDescent="0.25">
      <c r="A73" t="s">
        <v>56</v>
      </c>
      <c r="B73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73" t="s">
        <v>48</v>
      </c>
      <c r="D73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73" t="s">
        <v>38</v>
      </c>
      <c r="F73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73" t="s">
        <v>227</v>
      </c>
      <c r="H73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73">
        <f>ScenarioStat4[[#This Row],[team-1-win]]+ScenarioStat4[[#This Row],[team-2-win]]+ScenarioStat4[[#This Row],[team-3-win]]+ScenarioStat4[[#This Row],[team-4-win]]</f>
        <v>1</v>
      </c>
    </row>
    <row r="74" spans="1:9" x14ac:dyDescent="0.25">
      <c r="A74" t="s">
        <v>56</v>
      </c>
      <c r="B74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74" t="s">
        <v>33</v>
      </c>
      <c r="D74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74" t="s">
        <v>43</v>
      </c>
      <c r="F74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74" t="s">
        <v>45</v>
      </c>
      <c r="H74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74">
        <f>ScenarioStat4[[#This Row],[team-1-win]]+ScenarioStat4[[#This Row],[team-2-win]]+ScenarioStat4[[#This Row],[team-3-win]]+ScenarioStat4[[#This Row],[team-4-win]]</f>
        <v>1</v>
      </c>
    </row>
    <row r="75" spans="1:9" x14ac:dyDescent="0.25">
      <c r="A75" t="s">
        <v>56</v>
      </c>
      <c r="B75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75" t="s">
        <v>33</v>
      </c>
      <c r="D75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75" t="s">
        <v>43</v>
      </c>
      <c r="F75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75" t="s">
        <v>63</v>
      </c>
      <c r="H75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75">
        <f>ScenarioStat4[[#This Row],[team-1-win]]+ScenarioStat4[[#This Row],[team-2-win]]+ScenarioStat4[[#This Row],[team-3-win]]+ScenarioStat4[[#This Row],[team-4-win]]</f>
        <v>1</v>
      </c>
    </row>
    <row r="76" spans="1:9" x14ac:dyDescent="0.25">
      <c r="A76" t="s">
        <v>56</v>
      </c>
      <c r="B76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76" t="s">
        <v>33</v>
      </c>
      <c r="D76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76" t="s">
        <v>43</v>
      </c>
      <c r="F76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76" t="s">
        <v>38</v>
      </c>
      <c r="H76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76">
        <f>ScenarioStat4[[#This Row],[team-1-win]]+ScenarioStat4[[#This Row],[team-2-win]]+ScenarioStat4[[#This Row],[team-3-win]]+ScenarioStat4[[#This Row],[team-4-win]]</f>
        <v>1</v>
      </c>
    </row>
    <row r="77" spans="1:9" x14ac:dyDescent="0.25">
      <c r="A77" t="s">
        <v>56</v>
      </c>
      <c r="B77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77" t="s">
        <v>33</v>
      </c>
      <c r="D77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77" t="s">
        <v>43</v>
      </c>
      <c r="F77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77" t="s">
        <v>227</v>
      </c>
      <c r="H77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77">
        <f>ScenarioStat4[[#This Row],[team-1-win]]+ScenarioStat4[[#This Row],[team-2-win]]+ScenarioStat4[[#This Row],[team-3-win]]+ScenarioStat4[[#This Row],[team-4-win]]</f>
        <v>1</v>
      </c>
    </row>
    <row r="78" spans="1:9" x14ac:dyDescent="0.25">
      <c r="A78" t="s">
        <v>56</v>
      </c>
      <c r="B78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78" t="s">
        <v>33</v>
      </c>
      <c r="D78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78" t="s">
        <v>45</v>
      </c>
      <c r="F78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78" t="s">
        <v>63</v>
      </c>
      <c r="H78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78">
        <f>ScenarioStat4[[#This Row],[team-1-win]]+ScenarioStat4[[#This Row],[team-2-win]]+ScenarioStat4[[#This Row],[team-3-win]]+ScenarioStat4[[#This Row],[team-4-win]]</f>
        <v>1</v>
      </c>
    </row>
    <row r="79" spans="1:9" x14ac:dyDescent="0.25">
      <c r="A79" t="s">
        <v>56</v>
      </c>
      <c r="B79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79" t="s">
        <v>33</v>
      </c>
      <c r="D79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79" t="s">
        <v>45</v>
      </c>
      <c r="F79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79" t="s">
        <v>38</v>
      </c>
      <c r="H79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79">
        <f>ScenarioStat4[[#This Row],[team-1-win]]+ScenarioStat4[[#This Row],[team-2-win]]+ScenarioStat4[[#This Row],[team-3-win]]+ScenarioStat4[[#This Row],[team-4-win]]</f>
        <v>1</v>
      </c>
    </row>
    <row r="80" spans="1:9" x14ac:dyDescent="0.25">
      <c r="A80" t="s">
        <v>56</v>
      </c>
      <c r="B80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80" t="s">
        <v>33</v>
      </c>
      <c r="D80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80" t="s">
        <v>45</v>
      </c>
      <c r="F80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80" t="s">
        <v>227</v>
      </c>
      <c r="H80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80">
        <f>ScenarioStat4[[#This Row],[team-1-win]]+ScenarioStat4[[#This Row],[team-2-win]]+ScenarioStat4[[#This Row],[team-3-win]]+ScenarioStat4[[#This Row],[team-4-win]]</f>
        <v>1</v>
      </c>
    </row>
    <row r="81" spans="1:9" x14ac:dyDescent="0.25">
      <c r="A81" t="s">
        <v>56</v>
      </c>
      <c r="B81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81" t="s">
        <v>33</v>
      </c>
      <c r="D81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81" t="s">
        <v>63</v>
      </c>
      <c r="F81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81" t="s">
        <v>38</v>
      </c>
      <c r="H81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81">
        <f>ScenarioStat4[[#This Row],[team-1-win]]+ScenarioStat4[[#This Row],[team-2-win]]+ScenarioStat4[[#This Row],[team-3-win]]+ScenarioStat4[[#This Row],[team-4-win]]</f>
        <v>1</v>
      </c>
    </row>
    <row r="82" spans="1:9" x14ac:dyDescent="0.25">
      <c r="A82" t="s">
        <v>56</v>
      </c>
      <c r="B82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82" t="s">
        <v>33</v>
      </c>
      <c r="D82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82" t="s">
        <v>63</v>
      </c>
      <c r="F82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82" t="s">
        <v>227</v>
      </c>
      <c r="H82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82">
        <f>ScenarioStat4[[#This Row],[team-1-win]]+ScenarioStat4[[#This Row],[team-2-win]]+ScenarioStat4[[#This Row],[team-3-win]]+ScenarioStat4[[#This Row],[team-4-win]]</f>
        <v>1</v>
      </c>
    </row>
    <row r="83" spans="1:9" x14ac:dyDescent="0.25">
      <c r="A83" t="s">
        <v>56</v>
      </c>
      <c r="B83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83" t="s">
        <v>33</v>
      </c>
      <c r="D83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83" t="s">
        <v>38</v>
      </c>
      <c r="F83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83" t="s">
        <v>227</v>
      </c>
      <c r="H83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83">
        <f>ScenarioStat4[[#This Row],[team-1-win]]+ScenarioStat4[[#This Row],[team-2-win]]+ScenarioStat4[[#This Row],[team-3-win]]+ScenarioStat4[[#This Row],[team-4-win]]</f>
        <v>1</v>
      </c>
    </row>
    <row r="84" spans="1:9" x14ac:dyDescent="0.25">
      <c r="A84" t="s">
        <v>56</v>
      </c>
      <c r="B84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84" t="s">
        <v>43</v>
      </c>
      <c r="D84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84" t="s">
        <v>45</v>
      </c>
      <c r="F84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84" t="s">
        <v>63</v>
      </c>
      <c r="H84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84">
        <f>ScenarioStat4[[#This Row],[team-1-win]]+ScenarioStat4[[#This Row],[team-2-win]]+ScenarioStat4[[#This Row],[team-3-win]]+ScenarioStat4[[#This Row],[team-4-win]]</f>
        <v>1</v>
      </c>
    </row>
    <row r="85" spans="1:9" x14ac:dyDescent="0.25">
      <c r="A85" t="s">
        <v>56</v>
      </c>
      <c r="B85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85" t="s">
        <v>43</v>
      </c>
      <c r="D85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85" t="s">
        <v>45</v>
      </c>
      <c r="F85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85" t="s">
        <v>38</v>
      </c>
      <c r="H85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85">
        <f>ScenarioStat4[[#This Row],[team-1-win]]+ScenarioStat4[[#This Row],[team-2-win]]+ScenarioStat4[[#This Row],[team-3-win]]+ScenarioStat4[[#This Row],[team-4-win]]</f>
        <v>1</v>
      </c>
    </row>
    <row r="86" spans="1:9" x14ac:dyDescent="0.25">
      <c r="A86" t="s">
        <v>56</v>
      </c>
      <c r="B86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86" t="s">
        <v>43</v>
      </c>
      <c r="D86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86" t="s">
        <v>45</v>
      </c>
      <c r="F86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86" t="s">
        <v>227</v>
      </c>
      <c r="H86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86">
        <f>ScenarioStat4[[#This Row],[team-1-win]]+ScenarioStat4[[#This Row],[team-2-win]]+ScenarioStat4[[#This Row],[team-3-win]]+ScenarioStat4[[#This Row],[team-4-win]]</f>
        <v>1</v>
      </c>
    </row>
    <row r="87" spans="1:9" x14ac:dyDescent="0.25">
      <c r="A87" t="s">
        <v>56</v>
      </c>
      <c r="B87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87" t="s">
        <v>43</v>
      </c>
      <c r="D87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87" t="s">
        <v>63</v>
      </c>
      <c r="F87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87" t="s">
        <v>38</v>
      </c>
      <c r="H87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87">
        <f>ScenarioStat4[[#This Row],[team-1-win]]+ScenarioStat4[[#This Row],[team-2-win]]+ScenarioStat4[[#This Row],[team-3-win]]+ScenarioStat4[[#This Row],[team-4-win]]</f>
        <v>1</v>
      </c>
    </row>
    <row r="88" spans="1:9" x14ac:dyDescent="0.25">
      <c r="A88" t="s">
        <v>56</v>
      </c>
      <c r="B88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88" t="s">
        <v>43</v>
      </c>
      <c r="D88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88" t="s">
        <v>63</v>
      </c>
      <c r="F88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88" t="s">
        <v>227</v>
      </c>
      <c r="H88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88">
        <f>ScenarioStat4[[#This Row],[team-1-win]]+ScenarioStat4[[#This Row],[team-2-win]]+ScenarioStat4[[#This Row],[team-3-win]]+ScenarioStat4[[#This Row],[team-4-win]]</f>
        <v>1</v>
      </c>
    </row>
    <row r="89" spans="1:9" x14ac:dyDescent="0.25">
      <c r="A89" t="s">
        <v>56</v>
      </c>
      <c r="B89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89" t="s">
        <v>43</v>
      </c>
      <c r="D89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89" t="s">
        <v>38</v>
      </c>
      <c r="F89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89" t="s">
        <v>227</v>
      </c>
      <c r="H89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89">
        <f>ScenarioStat4[[#This Row],[team-1-win]]+ScenarioStat4[[#This Row],[team-2-win]]+ScenarioStat4[[#This Row],[team-3-win]]+ScenarioStat4[[#This Row],[team-4-win]]</f>
        <v>1</v>
      </c>
    </row>
    <row r="90" spans="1:9" x14ac:dyDescent="0.25">
      <c r="A90" t="s">
        <v>56</v>
      </c>
      <c r="B90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90" t="s">
        <v>45</v>
      </c>
      <c r="D90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90" t="s">
        <v>63</v>
      </c>
      <c r="F90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90" t="s">
        <v>38</v>
      </c>
      <c r="H90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90">
        <f>ScenarioStat4[[#This Row],[team-1-win]]+ScenarioStat4[[#This Row],[team-2-win]]+ScenarioStat4[[#This Row],[team-3-win]]+ScenarioStat4[[#This Row],[team-4-win]]</f>
        <v>1</v>
      </c>
    </row>
    <row r="91" spans="1:9" x14ac:dyDescent="0.25">
      <c r="A91" t="s">
        <v>56</v>
      </c>
      <c r="B91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91" t="s">
        <v>45</v>
      </c>
      <c r="D91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91" t="s">
        <v>63</v>
      </c>
      <c r="F91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91" t="s">
        <v>227</v>
      </c>
      <c r="H91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91">
        <f>ScenarioStat4[[#This Row],[team-1-win]]+ScenarioStat4[[#This Row],[team-2-win]]+ScenarioStat4[[#This Row],[team-3-win]]+ScenarioStat4[[#This Row],[team-4-win]]</f>
        <v>1</v>
      </c>
    </row>
    <row r="92" spans="1:9" x14ac:dyDescent="0.25">
      <c r="A92" t="s">
        <v>56</v>
      </c>
      <c r="B92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92" t="s">
        <v>45</v>
      </c>
      <c r="D92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92" t="s">
        <v>38</v>
      </c>
      <c r="F92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92" t="s">
        <v>227</v>
      </c>
      <c r="H92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92">
        <f>ScenarioStat4[[#This Row],[team-1-win]]+ScenarioStat4[[#This Row],[team-2-win]]+ScenarioStat4[[#This Row],[team-3-win]]+ScenarioStat4[[#This Row],[team-4-win]]</f>
        <v>1</v>
      </c>
    </row>
    <row r="93" spans="1:9" x14ac:dyDescent="0.25">
      <c r="A93" t="s">
        <v>56</v>
      </c>
      <c r="B93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93" t="s">
        <v>63</v>
      </c>
      <c r="D93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93" t="s">
        <v>38</v>
      </c>
      <c r="F93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93" t="s">
        <v>227</v>
      </c>
      <c r="H93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93">
        <f>ScenarioStat4[[#This Row],[team-1-win]]+ScenarioStat4[[#This Row],[team-2-win]]+ScenarioStat4[[#This Row],[team-3-win]]+ScenarioStat4[[#This Row],[team-4-win]]</f>
        <v>1</v>
      </c>
    </row>
    <row r="94" spans="1:9" x14ac:dyDescent="0.25">
      <c r="A94" t="s">
        <v>48</v>
      </c>
      <c r="B94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94" t="s">
        <v>33</v>
      </c>
      <c r="D94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94" t="s">
        <v>43</v>
      </c>
      <c r="F94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94" t="s">
        <v>45</v>
      </c>
      <c r="H94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94">
        <f>ScenarioStat4[[#This Row],[team-1-win]]+ScenarioStat4[[#This Row],[team-2-win]]+ScenarioStat4[[#This Row],[team-3-win]]+ScenarioStat4[[#This Row],[team-4-win]]</f>
        <v>1</v>
      </c>
    </row>
    <row r="95" spans="1:9" x14ac:dyDescent="0.25">
      <c r="A95" t="s">
        <v>48</v>
      </c>
      <c r="B95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95" t="s">
        <v>33</v>
      </c>
      <c r="D95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95" t="s">
        <v>43</v>
      </c>
      <c r="F95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95" t="s">
        <v>63</v>
      </c>
      <c r="H95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95">
        <f>ScenarioStat4[[#This Row],[team-1-win]]+ScenarioStat4[[#This Row],[team-2-win]]+ScenarioStat4[[#This Row],[team-3-win]]+ScenarioStat4[[#This Row],[team-4-win]]</f>
        <v>1</v>
      </c>
    </row>
    <row r="96" spans="1:9" x14ac:dyDescent="0.25">
      <c r="A96" t="s">
        <v>48</v>
      </c>
      <c r="B96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96" t="s">
        <v>33</v>
      </c>
      <c r="D96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96" t="s">
        <v>43</v>
      </c>
      <c r="F96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96" t="s">
        <v>38</v>
      </c>
      <c r="H96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96">
        <f>ScenarioStat4[[#This Row],[team-1-win]]+ScenarioStat4[[#This Row],[team-2-win]]+ScenarioStat4[[#This Row],[team-3-win]]+ScenarioStat4[[#This Row],[team-4-win]]</f>
        <v>1</v>
      </c>
    </row>
    <row r="97" spans="1:9" x14ac:dyDescent="0.25">
      <c r="A97" t="s">
        <v>48</v>
      </c>
      <c r="B97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97" t="s">
        <v>33</v>
      </c>
      <c r="D97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97" t="s">
        <v>43</v>
      </c>
      <c r="F97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97" t="s">
        <v>227</v>
      </c>
      <c r="H97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97">
        <f>ScenarioStat4[[#This Row],[team-1-win]]+ScenarioStat4[[#This Row],[team-2-win]]+ScenarioStat4[[#This Row],[team-3-win]]+ScenarioStat4[[#This Row],[team-4-win]]</f>
        <v>1</v>
      </c>
    </row>
    <row r="98" spans="1:9" x14ac:dyDescent="0.25">
      <c r="A98" t="s">
        <v>48</v>
      </c>
      <c r="B98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98" t="s">
        <v>33</v>
      </c>
      <c r="D98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98" t="s">
        <v>45</v>
      </c>
      <c r="F98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98" t="s">
        <v>63</v>
      </c>
      <c r="H98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98">
        <f>ScenarioStat4[[#This Row],[team-1-win]]+ScenarioStat4[[#This Row],[team-2-win]]+ScenarioStat4[[#This Row],[team-3-win]]+ScenarioStat4[[#This Row],[team-4-win]]</f>
        <v>1</v>
      </c>
    </row>
    <row r="99" spans="1:9" x14ac:dyDescent="0.25">
      <c r="A99" t="s">
        <v>48</v>
      </c>
      <c r="B99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99" t="s">
        <v>33</v>
      </c>
      <c r="D99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99" t="s">
        <v>45</v>
      </c>
      <c r="F99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99" t="s">
        <v>38</v>
      </c>
      <c r="H99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99">
        <f>ScenarioStat4[[#This Row],[team-1-win]]+ScenarioStat4[[#This Row],[team-2-win]]+ScenarioStat4[[#This Row],[team-3-win]]+ScenarioStat4[[#This Row],[team-4-win]]</f>
        <v>1</v>
      </c>
    </row>
    <row r="100" spans="1:9" x14ac:dyDescent="0.25">
      <c r="A100" t="s">
        <v>48</v>
      </c>
      <c r="B100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00" t="s">
        <v>33</v>
      </c>
      <c r="D100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00" t="s">
        <v>45</v>
      </c>
      <c r="F100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00" t="s">
        <v>227</v>
      </c>
      <c r="H100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100">
        <f>ScenarioStat4[[#This Row],[team-1-win]]+ScenarioStat4[[#This Row],[team-2-win]]+ScenarioStat4[[#This Row],[team-3-win]]+ScenarioStat4[[#This Row],[team-4-win]]</f>
        <v>1</v>
      </c>
    </row>
    <row r="101" spans="1:9" x14ac:dyDescent="0.25">
      <c r="A101" t="s">
        <v>48</v>
      </c>
      <c r="B101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01" t="s">
        <v>33</v>
      </c>
      <c r="D101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101" t="s">
        <v>63</v>
      </c>
      <c r="F101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01" t="s">
        <v>38</v>
      </c>
      <c r="H101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01">
        <f>ScenarioStat4[[#This Row],[team-1-win]]+ScenarioStat4[[#This Row],[team-2-win]]+ScenarioStat4[[#This Row],[team-3-win]]+ScenarioStat4[[#This Row],[team-4-win]]</f>
        <v>1</v>
      </c>
    </row>
    <row r="102" spans="1:9" x14ac:dyDescent="0.25">
      <c r="A102" t="s">
        <v>48</v>
      </c>
      <c r="B102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02" t="s">
        <v>33</v>
      </c>
      <c r="D102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102" t="s">
        <v>63</v>
      </c>
      <c r="F102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02" t="s">
        <v>227</v>
      </c>
      <c r="H102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02">
        <f>ScenarioStat4[[#This Row],[team-1-win]]+ScenarioStat4[[#This Row],[team-2-win]]+ScenarioStat4[[#This Row],[team-3-win]]+ScenarioStat4[[#This Row],[team-4-win]]</f>
        <v>1</v>
      </c>
    </row>
    <row r="103" spans="1:9" x14ac:dyDescent="0.25">
      <c r="A103" t="s">
        <v>48</v>
      </c>
      <c r="B103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03" t="s">
        <v>33</v>
      </c>
      <c r="D103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103" t="s">
        <v>38</v>
      </c>
      <c r="F103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03" t="s">
        <v>227</v>
      </c>
      <c r="H103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03">
        <f>ScenarioStat4[[#This Row],[team-1-win]]+ScenarioStat4[[#This Row],[team-2-win]]+ScenarioStat4[[#This Row],[team-3-win]]+ScenarioStat4[[#This Row],[team-4-win]]</f>
        <v>1</v>
      </c>
    </row>
    <row r="104" spans="1:9" x14ac:dyDescent="0.25">
      <c r="A104" t="s">
        <v>48</v>
      </c>
      <c r="B104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04" t="s">
        <v>43</v>
      </c>
      <c r="D104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04" t="s">
        <v>45</v>
      </c>
      <c r="F104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104" t="s">
        <v>63</v>
      </c>
      <c r="H104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04">
        <f>ScenarioStat4[[#This Row],[team-1-win]]+ScenarioStat4[[#This Row],[team-2-win]]+ScenarioStat4[[#This Row],[team-3-win]]+ScenarioStat4[[#This Row],[team-4-win]]</f>
        <v>1</v>
      </c>
    </row>
    <row r="105" spans="1:9" x14ac:dyDescent="0.25">
      <c r="A105" t="s">
        <v>48</v>
      </c>
      <c r="B105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05" t="s">
        <v>43</v>
      </c>
      <c r="D105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05" t="s">
        <v>45</v>
      </c>
      <c r="F105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105" t="s">
        <v>38</v>
      </c>
      <c r="H105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05">
        <f>ScenarioStat4[[#This Row],[team-1-win]]+ScenarioStat4[[#This Row],[team-2-win]]+ScenarioStat4[[#This Row],[team-3-win]]+ScenarioStat4[[#This Row],[team-4-win]]</f>
        <v>1</v>
      </c>
    </row>
    <row r="106" spans="1:9" x14ac:dyDescent="0.25">
      <c r="A106" t="s">
        <v>48</v>
      </c>
      <c r="B106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06" t="s">
        <v>43</v>
      </c>
      <c r="D106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06" t="s">
        <v>45</v>
      </c>
      <c r="F106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106" t="s">
        <v>227</v>
      </c>
      <c r="H106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06">
        <f>ScenarioStat4[[#This Row],[team-1-win]]+ScenarioStat4[[#This Row],[team-2-win]]+ScenarioStat4[[#This Row],[team-3-win]]+ScenarioStat4[[#This Row],[team-4-win]]</f>
        <v>1</v>
      </c>
    </row>
    <row r="107" spans="1:9" x14ac:dyDescent="0.25">
      <c r="A107" t="s">
        <v>48</v>
      </c>
      <c r="B107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07" t="s">
        <v>43</v>
      </c>
      <c r="D107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107" t="s">
        <v>63</v>
      </c>
      <c r="F107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07" t="s">
        <v>38</v>
      </c>
      <c r="H107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07">
        <f>ScenarioStat4[[#This Row],[team-1-win]]+ScenarioStat4[[#This Row],[team-2-win]]+ScenarioStat4[[#This Row],[team-3-win]]+ScenarioStat4[[#This Row],[team-4-win]]</f>
        <v>1</v>
      </c>
    </row>
    <row r="108" spans="1:9" x14ac:dyDescent="0.25">
      <c r="A108" t="s">
        <v>48</v>
      </c>
      <c r="B108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08" t="s">
        <v>43</v>
      </c>
      <c r="D108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108" t="s">
        <v>63</v>
      </c>
      <c r="F108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08" t="s">
        <v>227</v>
      </c>
      <c r="H108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08">
        <f>ScenarioStat4[[#This Row],[team-1-win]]+ScenarioStat4[[#This Row],[team-2-win]]+ScenarioStat4[[#This Row],[team-3-win]]+ScenarioStat4[[#This Row],[team-4-win]]</f>
        <v>1</v>
      </c>
    </row>
    <row r="109" spans="1:9" x14ac:dyDescent="0.25">
      <c r="A109" t="s">
        <v>48</v>
      </c>
      <c r="B109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09" t="s">
        <v>43</v>
      </c>
      <c r="D109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09" t="s">
        <v>38</v>
      </c>
      <c r="F109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09" t="s">
        <v>227</v>
      </c>
      <c r="H109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109">
        <f>ScenarioStat4[[#This Row],[team-1-win]]+ScenarioStat4[[#This Row],[team-2-win]]+ScenarioStat4[[#This Row],[team-3-win]]+ScenarioStat4[[#This Row],[team-4-win]]</f>
        <v>1</v>
      </c>
    </row>
    <row r="110" spans="1:9" x14ac:dyDescent="0.25">
      <c r="A110" t="s">
        <v>48</v>
      </c>
      <c r="B110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110" t="s">
        <v>45</v>
      </c>
      <c r="D110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10" t="s">
        <v>63</v>
      </c>
      <c r="F110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10" t="s">
        <v>38</v>
      </c>
      <c r="H110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10">
        <f>ScenarioStat4[[#This Row],[team-1-win]]+ScenarioStat4[[#This Row],[team-2-win]]+ScenarioStat4[[#This Row],[team-3-win]]+ScenarioStat4[[#This Row],[team-4-win]]</f>
        <v>1</v>
      </c>
    </row>
    <row r="111" spans="1:9" x14ac:dyDescent="0.25">
      <c r="A111" t="s">
        <v>48</v>
      </c>
      <c r="B111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111" t="s">
        <v>45</v>
      </c>
      <c r="D111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11" t="s">
        <v>63</v>
      </c>
      <c r="F111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11" t="s">
        <v>227</v>
      </c>
      <c r="H111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11">
        <f>ScenarioStat4[[#This Row],[team-1-win]]+ScenarioStat4[[#This Row],[team-2-win]]+ScenarioStat4[[#This Row],[team-3-win]]+ScenarioStat4[[#This Row],[team-4-win]]</f>
        <v>1</v>
      </c>
    </row>
    <row r="112" spans="1:9" x14ac:dyDescent="0.25">
      <c r="A112" t="s">
        <v>48</v>
      </c>
      <c r="B112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112" t="s">
        <v>45</v>
      </c>
      <c r="D112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12" t="s">
        <v>38</v>
      </c>
      <c r="F112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12" t="s">
        <v>227</v>
      </c>
      <c r="H112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12">
        <f>ScenarioStat4[[#This Row],[team-1-win]]+ScenarioStat4[[#This Row],[team-2-win]]+ScenarioStat4[[#This Row],[team-3-win]]+ScenarioStat4[[#This Row],[team-4-win]]</f>
        <v>1</v>
      </c>
    </row>
    <row r="113" spans="1:9" x14ac:dyDescent="0.25">
      <c r="A113" t="s">
        <v>48</v>
      </c>
      <c r="B113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113" t="s">
        <v>63</v>
      </c>
      <c r="D113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13" t="s">
        <v>38</v>
      </c>
      <c r="F113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13" t="s">
        <v>227</v>
      </c>
      <c r="H113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13">
        <f>ScenarioStat4[[#This Row],[team-1-win]]+ScenarioStat4[[#This Row],[team-2-win]]+ScenarioStat4[[#This Row],[team-3-win]]+ScenarioStat4[[#This Row],[team-4-win]]</f>
        <v>1</v>
      </c>
    </row>
    <row r="114" spans="1:9" x14ac:dyDescent="0.25">
      <c r="A114" t="s">
        <v>33</v>
      </c>
      <c r="B114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14" t="s">
        <v>43</v>
      </c>
      <c r="D114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14" t="s">
        <v>45</v>
      </c>
      <c r="F114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14" t="s">
        <v>63</v>
      </c>
      <c r="H114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114">
        <f>ScenarioStat4[[#This Row],[team-1-win]]+ScenarioStat4[[#This Row],[team-2-win]]+ScenarioStat4[[#This Row],[team-3-win]]+ScenarioStat4[[#This Row],[team-4-win]]</f>
        <v>1</v>
      </c>
    </row>
    <row r="115" spans="1:9" x14ac:dyDescent="0.25">
      <c r="A115" t="s">
        <v>33</v>
      </c>
      <c r="B115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15" t="s">
        <v>43</v>
      </c>
      <c r="D115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15" t="s">
        <v>45</v>
      </c>
      <c r="F115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115" t="s">
        <v>38</v>
      </c>
      <c r="H115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15">
        <f>ScenarioStat4[[#This Row],[team-1-win]]+ScenarioStat4[[#This Row],[team-2-win]]+ScenarioStat4[[#This Row],[team-3-win]]+ScenarioStat4[[#This Row],[team-4-win]]</f>
        <v>1</v>
      </c>
    </row>
    <row r="116" spans="1:9" x14ac:dyDescent="0.25">
      <c r="A116" t="s">
        <v>33</v>
      </c>
      <c r="B116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16" t="s">
        <v>43</v>
      </c>
      <c r="D116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16" t="s">
        <v>45</v>
      </c>
      <c r="F116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116" t="s">
        <v>227</v>
      </c>
      <c r="H116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16">
        <f>ScenarioStat4[[#This Row],[team-1-win]]+ScenarioStat4[[#This Row],[team-2-win]]+ScenarioStat4[[#This Row],[team-3-win]]+ScenarioStat4[[#This Row],[team-4-win]]</f>
        <v>1</v>
      </c>
    </row>
    <row r="117" spans="1:9" x14ac:dyDescent="0.25">
      <c r="A117" t="s">
        <v>33</v>
      </c>
      <c r="B117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17" t="s">
        <v>43</v>
      </c>
      <c r="D117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17" t="s">
        <v>63</v>
      </c>
      <c r="F117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117" t="s">
        <v>38</v>
      </c>
      <c r="H117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17">
        <f>ScenarioStat4[[#This Row],[team-1-win]]+ScenarioStat4[[#This Row],[team-2-win]]+ScenarioStat4[[#This Row],[team-3-win]]+ScenarioStat4[[#This Row],[team-4-win]]</f>
        <v>1</v>
      </c>
    </row>
    <row r="118" spans="1:9" x14ac:dyDescent="0.25">
      <c r="A118" t="s">
        <v>33</v>
      </c>
      <c r="B118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18" t="s">
        <v>43</v>
      </c>
      <c r="D118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18" t="s">
        <v>63</v>
      </c>
      <c r="F118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118" t="s">
        <v>227</v>
      </c>
      <c r="H118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18">
        <f>ScenarioStat4[[#This Row],[team-1-win]]+ScenarioStat4[[#This Row],[team-2-win]]+ScenarioStat4[[#This Row],[team-3-win]]+ScenarioStat4[[#This Row],[team-4-win]]</f>
        <v>1</v>
      </c>
    </row>
    <row r="119" spans="1:9" x14ac:dyDescent="0.25">
      <c r="A119" t="s">
        <v>33</v>
      </c>
      <c r="B119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19" t="s">
        <v>43</v>
      </c>
      <c r="D119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19" t="s">
        <v>38</v>
      </c>
      <c r="F119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19" t="s">
        <v>227</v>
      </c>
      <c r="H119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119">
        <f>ScenarioStat4[[#This Row],[team-1-win]]+ScenarioStat4[[#This Row],[team-2-win]]+ScenarioStat4[[#This Row],[team-3-win]]+ScenarioStat4[[#This Row],[team-4-win]]</f>
        <v>1</v>
      </c>
    </row>
    <row r="120" spans="1:9" x14ac:dyDescent="0.25">
      <c r="A120" t="s">
        <v>33</v>
      </c>
      <c r="B120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120" t="s">
        <v>45</v>
      </c>
      <c r="D120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20" t="s">
        <v>63</v>
      </c>
      <c r="F120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20" t="s">
        <v>38</v>
      </c>
      <c r="H120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20">
        <f>ScenarioStat4[[#This Row],[team-1-win]]+ScenarioStat4[[#This Row],[team-2-win]]+ScenarioStat4[[#This Row],[team-3-win]]+ScenarioStat4[[#This Row],[team-4-win]]</f>
        <v>1</v>
      </c>
    </row>
    <row r="121" spans="1:9" x14ac:dyDescent="0.25">
      <c r="A121" t="s">
        <v>33</v>
      </c>
      <c r="B121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21" t="s">
        <v>45</v>
      </c>
      <c r="D121">
        <f>COUNTIFS(Scenario4[winner1],ScenarioStat4[[#This Row],[hero-2]],Scenario4[loser1],ScenarioStat4[[#This Row],[hero-1]],Scenario4[loser2],ScenarioStat4[[#This Row],[hero-3]],Scenario4[loser3],ScenarioStat4[[#This Row],[hero-4]])</f>
        <v>1</v>
      </c>
      <c r="E121" t="s">
        <v>63</v>
      </c>
      <c r="F121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21" t="s">
        <v>227</v>
      </c>
      <c r="H121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21">
        <f>ScenarioStat4[[#This Row],[team-1-win]]+ScenarioStat4[[#This Row],[team-2-win]]+ScenarioStat4[[#This Row],[team-3-win]]+ScenarioStat4[[#This Row],[team-4-win]]</f>
        <v>1</v>
      </c>
    </row>
    <row r="122" spans="1:9" x14ac:dyDescent="0.25">
      <c r="A122" t="s">
        <v>33</v>
      </c>
      <c r="B122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22" t="s">
        <v>45</v>
      </c>
      <c r="D122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22" t="s">
        <v>38</v>
      </c>
      <c r="F122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22" t="s">
        <v>227</v>
      </c>
      <c r="H122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122">
        <f>ScenarioStat4[[#This Row],[team-1-win]]+ScenarioStat4[[#This Row],[team-2-win]]+ScenarioStat4[[#This Row],[team-3-win]]+ScenarioStat4[[#This Row],[team-4-win]]</f>
        <v>1</v>
      </c>
    </row>
    <row r="123" spans="1:9" x14ac:dyDescent="0.25">
      <c r="A123" t="s">
        <v>33</v>
      </c>
      <c r="B123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123" t="s">
        <v>63</v>
      </c>
      <c r="D123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23" t="s">
        <v>38</v>
      </c>
      <c r="F123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23" t="s">
        <v>227</v>
      </c>
      <c r="H123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23">
        <f>ScenarioStat4[[#This Row],[team-1-win]]+ScenarioStat4[[#This Row],[team-2-win]]+ScenarioStat4[[#This Row],[team-3-win]]+ScenarioStat4[[#This Row],[team-4-win]]</f>
        <v>1</v>
      </c>
    </row>
    <row r="124" spans="1:9" x14ac:dyDescent="0.25">
      <c r="A124" t="s">
        <v>43</v>
      </c>
      <c r="B124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24" t="s">
        <v>45</v>
      </c>
      <c r="D124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24" t="s">
        <v>63</v>
      </c>
      <c r="F124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124" t="s">
        <v>38</v>
      </c>
      <c r="H124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24">
        <f>ScenarioStat4[[#This Row],[team-1-win]]+ScenarioStat4[[#This Row],[team-2-win]]+ScenarioStat4[[#This Row],[team-3-win]]+ScenarioStat4[[#This Row],[team-4-win]]</f>
        <v>1</v>
      </c>
    </row>
    <row r="125" spans="1:9" x14ac:dyDescent="0.25">
      <c r="A125" t="s">
        <v>43</v>
      </c>
      <c r="B125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25" t="s">
        <v>45</v>
      </c>
      <c r="D125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25" t="s">
        <v>63</v>
      </c>
      <c r="F125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125" t="s">
        <v>227</v>
      </c>
      <c r="H125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25">
        <f>ScenarioStat4[[#This Row],[team-1-win]]+ScenarioStat4[[#This Row],[team-2-win]]+ScenarioStat4[[#This Row],[team-3-win]]+ScenarioStat4[[#This Row],[team-4-win]]</f>
        <v>1</v>
      </c>
    </row>
    <row r="126" spans="1:9" x14ac:dyDescent="0.25">
      <c r="A126" t="s">
        <v>43</v>
      </c>
      <c r="B126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26" t="s">
        <v>45</v>
      </c>
      <c r="D126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26" t="s">
        <v>38</v>
      </c>
      <c r="F126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26" t="s">
        <v>227</v>
      </c>
      <c r="H126">
        <f>COUNTIFS(Scenario4[winner1],ScenarioStat4[[#This Row],[hero-4]],Scenario4[loser1],ScenarioStat4[[#This Row],[hero-1]],Scenario4[loser2],ScenarioStat4[[#This Row],[hero-2]],Scenario4[loser3],ScenarioStat4[[#This Row],[hero-3]])</f>
        <v>1</v>
      </c>
      <c r="I126">
        <f>ScenarioStat4[[#This Row],[team-1-win]]+ScenarioStat4[[#This Row],[team-2-win]]+ScenarioStat4[[#This Row],[team-3-win]]+ScenarioStat4[[#This Row],[team-4-win]]</f>
        <v>1</v>
      </c>
    </row>
    <row r="127" spans="1:9" x14ac:dyDescent="0.25">
      <c r="A127" t="s">
        <v>43</v>
      </c>
      <c r="B127">
        <f>COUNTIFS(Scenario4[winner1],ScenarioStat4[[#This Row],[hero-1]],Scenario4[loser1],ScenarioStat4[[#This Row],[hero-2]],Scenario4[loser2],ScenarioStat4[[#This Row],[hero-3]],Scenario4[loser3],ScenarioStat4[[#This Row],[hero-4]])</f>
        <v>1</v>
      </c>
      <c r="C127" t="s">
        <v>63</v>
      </c>
      <c r="D127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27" t="s">
        <v>38</v>
      </c>
      <c r="F127">
        <f>COUNTIFS(Scenario4[winner1],ScenarioStat4[[#This Row],[hero-3]],Scenario4[loser1],ScenarioStat4[[#This Row],[hero-1]],Scenario4[loser2],ScenarioStat4[[#This Row],[hero-2]],Scenario4[loser3],ScenarioStat4[[#This Row],[hero-4]])</f>
        <v>0</v>
      </c>
      <c r="G127" t="s">
        <v>227</v>
      </c>
      <c r="H127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27">
        <f>ScenarioStat4[[#This Row],[team-1-win]]+ScenarioStat4[[#This Row],[team-2-win]]+ScenarioStat4[[#This Row],[team-3-win]]+ScenarioStat4[[#This Row],[team-4-win]]</f>
        <v>1</v>
      </c>
    </row>
    <row r="128" spans="1:9" x14ac:dyDescent="0.25">
      <c r="A128" t="s">
        <v>45</v>
      </c>
      <c r="B128">
        <f>COUNTIFS(Scenario4[winner1],ScenarioStat4[[#This Row],[hero-1]],Scenario4[loser1],ScenarioStat4[[#This Row],[hero-2]],Scenario4[loser2],ScenarioStat4[[#This Row],[hero-3]],Scenario4[loser3],ScenarioStat4[[#This Row],[hero-4]])</f>
        <v>0</v>
      </c>
      <c r="C128" t="s">
        <v>63</v>
      </c>
      <c r="D128">
        <f>COUNTIFS(Scenario4[winner1],ScenarioStat4[[#This Row],[hero-2]],Scenario4[loser1],ScenarioStat4[[#This Row],[hero-1]],Scenario4[loser2],ScenarioStat4[[#This Row],[hero-3]],Scenario4[loser3],ScenarioStat4[[#This Row],[hero-4]])</f>
        <v>0</v>
      </c>
      <c r="E128" t="s">
        <v>38</v>
      </c>
      <c r="F128">
        <f>COUNTIFS(Scenario4[winner1],ScenarioStat4[[#This Row],[hero-3]],Scenario4[loser1],ScenarioStat4[[#This Row],[hero-1]],Scenario4[loser2],ScenarioStat4[[#This Row],[hero-2]],Scenario4[loser3],ScenarioStat4[[#This Row],[hero-4]])</f>
        <v>1</v>
      </c>
      <c r="G128" t="s">
        <v>227</v>
      </c>
      <c r="H128">
        <f>COUNTIFS(Scenario4[winner1],ScenarioStat4[[#This Row],[hero-4]],Scenario4[loser1],ScenarioStat4[[#This Row],[hero-1]],Scenario4[loser2],ScenarioStat4[[#This Row],[hero-2]],Scenario4[loser3],ScenarioStat4[[#This Row],[hero-3]])</f>
        <v>0</v>
      </c>
      <c r="I128">
        <f>ScenarioStat4[[#This Row],[team-1-win]]+ScenarioStat4[[#This Row],[team-2-win]]+ScenarioStat4[[#This Row],[team-3-win]]+ScenarioStat4[[#This Row],[team-4-win]]</f>
        <v>1</v>
      </c>
    </row>
  </sheetData>
  <mergeCells count="2">
    <mergeCell ref="A1:I1"/>
    <mergeCell ref="K1:N1"/>
  </mergeCells>
  <phoneticPr fontId="3" type="noConversion"/>
  <conditionalFormatting sqref="N3:N1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3CC2-E6A8-462B-A878-820574A73427}">
  <dimension ref="A1:AJ379"/>
  <sheetViews>
    <sheetView topLeftCell="A346" workbookViewId="0">
      <selection activeCell="AN359" sqref="AN359"/>
    </sheetView>
  </sheetViews>
  <sheetFormatPr defaultRowHeight="15" x14ac:dyDescent="0.25"/>
  <cols>
    <col min="1" max="1" width="38.42578125" bestFit="1" customWidth="1"/>
    <col min="2" max="2" width="8.28515625" bestFit="1" customWidth="1"/>
    <col min="3" max="3" width="11.42578125" bestFit="1" customWidth="1"/>
    <col min="4" max="4" width="14" hidden="1" customWidth="1"/>
    <col min="5" max="5" width="13.7109375" hidden="1" customWidth="1"/>
    <col min="6" max="6" width="13.28515625" hidden="1" customWidth="1"/>
    <col min="7" max="7" width="18.42578125" hidden="1" customWidth="1"/>
    <col min="8" max="8" width="19.140625" hidden="1" customWidth="1"/>
    <col min="9" max="9" width="18" hidden="1" customWidth="1"/>
    <col min="10" max="10" width="18.42578125" hidden="1" customWidth="1"/>
    <col min="11" max="11" width="11.42578125" bestFit="1" customWidth="1"/>
    <col min="12" max="12" width="14" hidden="1" customWidth="1"/>
    <col min="13" max="13" width="13.7109375" hidden="1" customWidth="1"/>
    <col min="14" max="14" width="13.28515625" hidden="1" customWidth="1"/>
    <col min="15" max="15" width="18.42578125" hidden="1" customWidth="1"/>
    <col min="16" max="16" width="19.140625" hidden="1" customWidth="1"/>
    <col min="17" max="17" width="19.42578125" hidden="1" customWidth="1"/>
    <col min="18" max="18" width="18" hidden="1" customWidth="1"/>
    <col min="19" max="19" width="11.42578125" bestFit="1" customWidth="1"/>
    <col min="20" max="20" width="12.140625" hidden="1" customWidth="1"/>
    <col min="21" max="21" width="11.85546875" hidden="1" customWidth="1"/>
    <col min="22" max="22" width="11.42578125" hidden="1" customWidth="1"/>
    <col min="23" max="23" width="18.42578125" hidden="1" customWidth="1"/>
    <col min="24" max="24" width="18.7109375" hidden="1" customWidth="1"/>
    <col min="25" max="25" width="20.7109375" hidden="1" customWidth="1"/>
    <col min="26" max="26" width="19.85546875" hidden="1" customWidth="1"/>
    <col min="27" max="27" width="11.42578125" bestFit="1" customWidth="1"/>
    <col min="28" max="28" width="12.140625" hidden="1" customWidth="1"/>
    <col min="29" max="29" width="11.85546875" hidden="1" customWidth="1"/>
    <col min="30" max="30" width="11.42578125" hidden="1" customWidth="1"/>
    <col min="31" max="31" width="24" hidden="1" customWidth="1"/>
    <col min="32" max="32" width="19.140625" hidden="1" customWidth="1"/>
    <col min="33" max="33" width="19.42578125" hidden="1" customWidth="1"/>
    <col min="34" max="34" width="16.140625" hidden="1" customWidth="1"/>
    <col min="35" max="35" width="9.85546875" bestFit="1" customWidth="1"/>
    <col min="36" max="36" width="7.85546875" bestFit="1" customWidth="1"/>
  </cols>
  <sheetData>
    <row r="1" spans="1:36" x14ac:dyDescent="0.25">
      <c r="A1" t="s">
        <v>0</v>
      </c>
      <c r="B1" t="s">
        <v>173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119</v>
      </c>
      <c r="AG1" t="s">
        <v>30</v>
      </c>
      <c r="AH1" t="s">
        <v>31</v>
      </c>
      <c r="AI1" t="s">
        <v>64</v>
      </c>
      <c r="AJ1" t="s">
        <v>32</v>
      </c>
    </row>
    <row r="2" spans="1:36" x14ac:dyDescent="0.25">
      <c r="A2" t="s">
        <v>1284</v>
      </c>
      <c r="B2">
        <v>0</v>
      </c>
      <c r="C2" t="s">
        <v>48</v>
      </c>
      <c r="D2">
        <v>3</v>
      </c>
      <c r="F2">
        <v>3</v>
      </c>
      <c r="G2" t="s">
        <v>126</v>
      </c>
      <c r="H2" t="s">
        <v>84</v>
      </c>
      <c r="I2" t="s">
        <v>127</v>
      </c>
      <c r="J2" t="s">
        <v>52</v>
      </c>
      <c r="K2" t="s">
        <v>33</v>
      </c>
      <c r="L2">
        <v>3</v>
      </c>
      <c r="N2">
        <v>3</v>
      </c>
      <c r="O2" t="s">
        <v>34</v>
      </c>
      <c r="S2" t="s">
        <v>53</v>
      </c>
      <c r="T2">
        <v>3</v>
      </c>
      <c r="U2">
        <v>3</v>
      </c>
      <c r="V2">
        <v>3</v>
      </c>
      <c r="W2" t="s">
        <v>111</v>
      </c>
      <c r="X2" t="s">
        <v>83</v>
      </c>
      <c r="Y2" t="s">
        <v>97</v>
      </c>
      <c r="Z2" t="s">
        <v>116</v>
      </c>
      <c r="AA2" t="s">
        <v>56</v>
      </c>
      <c r="AB2">
        <v>3</v>
      </c>
      <c r="AD2">
        <v>1</v>
      </c>
      <c r="AE2" t="s">
        <v>68</v>
      </c>
      <c r="AF2" t="s">
        <v>122</v>
      </c>
      <c r="AI2">
        <v>0</v>
      </c>
      <c r="AJ2">
        <v>41</v>
      </c>
    </row>
    <row r="3" spans="1:36" x14ac:dyDescent="0.25">
      <c r="A3" t="s">
        <v>1285</v>
      </c>
      <c r="B3">
        <v>1</v>
      </c>
      <c r="C3" t="s">
        <v>53</v>
      </c>
      <c r="D3">
        <v>3</v>
      </c>
      <c r="E3">
        <v>3</v>
      </c>
      <c r="F3">
        <v>3</v>
      </c>
      <c r="G3" t="s">
        <v>112</v>
      </c>
      <c r="H3" t="s">
        <v>83</v>
      </c>
      <c r="I3" t="s">
        <v>97</v>
      </c>
      <c r="J3" t="s">
        <v>98</v>
      </c>
      <c r="K3" t="s">
        <v>56</v>
      </c>
      <c r="L3">
        <v>2</v>
      </c>
      <c r="N3">
        <v>1</v>
      </c>
      <c r="O3" t="s">
        <v>120</v>
      </c>
      <c r="P3" t="s">
        <v>122</v>
      </c>
      <c r="Q3" t="s">
        <v>87</v>
      </c>
      <c r="S3" t="s">
        <v>48</v>
      </c>
      <c r="T3">
        <v>1</v>
      </c>
      <c r="V3">
        <v>1</v>
      </c>
      <c r="W3" t="s">
        <v>49</v>
      </c>
      <c r="X3" t="s">
        <v>84</v>
      </c>
      <c r="Y3" t="s">
        <v>127</v>
      </c>
      <c r="AA3" t="s">
        <v>43</v>
      </c>
      <c r="AB3">
        <v>3</v>
      </c>
      <c r="AD3">
        <v>3</v>
      </c>
      <c r="AE3" t="s">
        <v>135</v>
      </c>
      <c r="AF3" t="s">
        <v>74</v>
      </c>
      <c r="AG3" t="s">
        <v>137</v>
      </c>
      <c r="AH3" t="s">
        <v>139</v>
      </c>
      <c r="AI3">
        <v>0</v>
      </c>
      <c r="AJ3">
        <v>27</v>
      </c>
    </row>
    <row r="4" spans="1:36" x14ac:dyDescent="0.25">
      <c r="A4" t="s">
        <v>1513</v>
      </c>
      <c r="B4">
        <v>2</v>
      </c>
      <c r="C4" t="s">
        <v>53</v>
      </c>
      <c r="D4">
        <v>3</v>
      </c>
      <c r="E4">
        <v>3</v>
      </c>
      <c r="F4">
        <v>3</v>
      </c>
      <c r="G4" t="s">
        <v>112</v>
      </c>
      <c r="H4" t="s">
        <v>83</v>
      </c>
      <c r="I4" t="s">
        <v>114</v>
      </c>
      <c r="J4" t="s">
        <v>115</v>
      </c>
      <c r="K4" t="s">
        <v>56</v>
      </c>
      <c r="L4">
        <v>1</v>
      </c>
      <c r="N4">
        <v>3</v>
      </c>
      <c r="O4" t="s">
        <v>120</v>
      </c>
      <c r="P4" t="s">
        <v>69</v>
      </c>
      <c r="S4" t="s">
        <v>48</v>
      </c>
      <c r="T4">
        <v>3</v>
      </c>
      <c r="V4">
        <v>3</v>
      </c>
      <c r="W4" t="s">
        <v>126</v>
      </c>
      <c r="X4" t="s">
        <v>84</v>
      </c>
      <c r="Y4" t="s">
        <v>127</v>
      </c>
      <c r="Z4" t="s">
        <v>129</v>
      </c>
      <c r="AA4" t="s">
        <v>45</v>
      </c>
      <c r="AB4">
        <v>3</v>
      </c>
      <c r="AD4">
        <v>3</v>
      </c>
      <c r="AE4" t="s">
        <v>86</v>
      </c>
      <c r="AF4" t="s">
        <v>141</v>
      </c>
      <c r="AG4" t="s">
        <v>93</v>
      </c>
      <c r="AH4" t="s">
        <v>94</v>
      </c>
      <c r="AI4">
        <v>0</v>
      </c>
      <c r="AJ4">
        <v>44</v>
      </c>
    </row>
    <row r="5" spans="1:36" x14ac:dyDescent="0.25">
      <c r="A5" t="s">
        <v>1514</v>
      </c>
      <c r="B5">
        <v>3</v>
      </c>
      <c r="C5" t="s">
        <v>53</v>
      </c>
      <c r="D5">
        <v>3</v>
      </c>
      <c r="E5">
        <v>1</v>
      </c>
      <c r="F5">
        <v>2</v>
      </c>
      <c r="G5" t="s">
        <v>112</v>
      </c>
      <c r="H5" t="s">
        <v>83</v>
      </c>
      <c r="K5" t="s">
        <v>56</v>
      </c>
      <c r="L5">
        <v>3</v>
      </c>
      <c r="N5">
        <v>1</v>
      </c>
      <c r="O5" t="s">
        <v>120</v>
      </c>
      <c r="P5" t="s">
        <v>122</v>
      </c>
      <c r="Q5" t="s">
        <v>123</v>
      </c>
      <c r="S5" t="s">
        <v>48</v>
      </c>
      <c r="T5">
        <v>1</v>
      </c>
      <c r="V5">
        <v>2</v>
      </c>
      <c r="W5" t="s">
        <v>49</v>
      </c>
      <c r="X5" t="s">
        <v>84</v>
      </c>
      <c r="Y5" t="s">
        <v>90</v>
      </c>
      <c r="Z5" t="s">
        <v>52</v>
      </c>
      <c r="AA5" t="s">
        <v>63</v>
      </c>
      <c r="AB5">
        <v>1</v>
      </c>
      <c r="AD5">
        <v>2</v>
      </c>
      <c r="AE5" t="s">
        <v>103</v>
      </c>
      <c r="AF5" t="s">
        <v>91</v>
      </c>
      <c r="AG5" t="s">
        <v>148</v>
      </c>
      <c r="AI5">
        <v>0</v>
      </c>
      <c r="AJ5">
        <v>19</v>
      </c>
    </row>
    <row r="6" spans="1:36" x14ac:dyDescent="0.25">
      <c r="A6" t="s">
        <v>1515</v>
      </c>
      <c r="B6">
        <v>4</v>
      </c>
      <c r="C6" t="s">
        <v>53</v>
      </c>
      <c r="D6">
        <v>3</v>
      </c>
      <c r="E6">
        <v>3</v>
      </c>
      <c r="F6">
        <v>3</v>
      </c>
      <c r="G6" t="s">
        <v>112</v>
      </c>
      <c r="H6" t="s">
        <v>83</v>
      </c>
      <c r="I6" t="s">
        <v>114</v>
      </c>
      <c r="J6" t="s">
        <v>115</v>
      </c>
      <c r="K6" t="s">
        <v>56</v>
      </c>
      <c r="L6">
        <v>2</v>
      </c>
      <c r="N6">
        <v>3</v>
      </c>
      <c r="O6" t="s">
        <v>120</v>
      </c>
      <c r="P6" t="s">
        <v>122</v>
      </c>
      <c r="S6" t="s">
        <v>48</v>
      </c>
      <c r="T6">
        <v>3</v>
      </c>
      <c r="V6">
        <v>3</v>
      </c>
      <c r="W6" t="s">
        <v>126</v>
      </c>
      <c r="X6" t="s">
        <v>84</v>
      </c>
      <c r="Y6" t="s">
        <v>127</v>
      </c>
      <c r="Z6" t="s">
        <v>52</v>
      </c>
      <c r="AA6" t="s">
        <v>38</v>
      </c>
      <c r="AB6">
        <v>1</v>
      </c>
      <c r="AC6">
        <v>2</v>
      </c>
      <c r="AD6">
        <v>2</v>
      </c>
      <c r="AE6" t="s">
        <v>152</v>
      </c>
      <c r="AI6">
        <v>0</v>
      </c>
      <c r="AJ6">
        <v>31</v>
      </c>
    </row>
    <row r="7" spans="1:36" x14ac:dyDescent="0.25">
      <c r="A7" t="s">
        <v>1516</v>
      </c>
      <c r="B7">
        <v>5</v>
      </c>
      <c r="C7" t="s">
        <v>48</v>
      </c>
      <c r="D7">
        <v>2</v>
      </c>
      <c r="F7">
        <v>2</v>
      </c>
      <c r="G7" t="s">
        <v>49</v>
      </c>
      <c r="K7" t="s">
        <v>227</v>
      </c>
      <c r="L7">
        <v>3</v>
      </c>
      <c r="M7">
        <v>3</v>
      </c>
      <c r="N7">
        <v>3</v>
      </c>
      <c r="O7" t="s">
        <v>228</v>
      </c>
      <c r="P7" t="s">
        <v>231</v>
      </c>
      <c r="Q7" t="s">
        <v>235</v>
      </c>
      <c r="R7" t="s">
        <v>238</v>
      </c>
      <c r="S7" t="s">
        <v>53</v>
      </c>
      <c r="T7">
        <v>2</v>
      </c>
      <c r="U7">
        <v>3</v>
      </c>
      <c r="V7">
        <v>3</v>
      </c>
      <c r="W7" t="s">
        <v>112</v>
      </c>
      <c r="X7" t="s">
        <v>83</v>
      </c>
      <c r="Y7" t="s">
        <v>97</v>
      </c>
      <c r="Z7" t="s">
        <v>98</v>
      </c>
      <c r="AA7" t="s">
        <v>56</v>
      </c>
      <c r="AB7">
        <v>3</v>
      </c>
      <c r="AD7">
        <v>1</v>
      </c>
      <c r="AE7" t="s">
        <v>57</v>
      </c>
      <c r="AI7">
        <v>0</v>
      </c>
      <c r="AJ7">
        <v>25</v>
      </c>
    </row>
    <row r="8" spans="1:36" x14ac:dyDescent="0.25">
      <c r="A8" t="s">
        <v>1286</v>
      </c>
      <c r="B8">
        <v>6</v>
      </c>
      <c r="C8" t="s">
        <v>33</v>
      </c>
      <c r="D8">
        <v>2</v>
      </c>
      <c r="F8">
        <v>3</v>
      </c>
      <c r="G8" t="s">
        <v>34</v>
      </c>
      <c r="H8" t="s">
        <v>130</v>
      </c>
      <c r="I8" t="s">
        <v>132</v>
      </c>
      <c r="J8" t="s">
        <v>37</v>
      </c>
      <c r="K8" t="s">
        <v>43</v>
      </c>
      <c r="L8">
        <v>2</v>
      </c>
      <c r="N8">
        <v>2</v>
      </c>
      <c r="O8" t="s">
        <v>135</v>
      </c>
      <c r="P8" t="s">
        <v>99</v>
      </c>
      <c r="Q8" t="s">
        <v>75</v>
      </c>
      <c r="R8" t="s">
        <v>139</v>
      </c>
      <c r="S8" t="s">
        <v>53</v>
      </c>
      <c r="T8">
        <v>1</v>
      </c>
      <c r="U8">
        <v>1</v>
      </c>
      <c r="V8">
        <v>2</v>
      </c>
      <c r="W8" t="s">
        <v>112</v>
      </c>
      <c r="X8" t="s">
        <v>113</v>
      </c>
      <c r="Y8" t="s">
        <v>97</v>
      </c>
      <c r="AA8" t="s">
        <v>56</v>
      </c>
      <c r="AB8">
        <v>3</v>
      </c>
      <c r="AD8">
        <v>2</v>
      </c>
      <c r="AE8" t="s">
        <v>120</v>
      </c>
      <c r="AF8" t="s">
        <v>69</v>
      </c>
      <c r="AG8" t="s">
        <v>87</v>
      </c>
      <c r="AH8" t="s">
        <v>88</v>
      </c>
      <c r="AI8">
        <v>0</v>
      </c>
      <c r="AJ8">
        <v>25</v>
      </c>
    </row>
    <row r="9" spans="1:36" x14ac:dyDescent="0.25">
      <c r="A9" t="s">
        <v>1517</v>
      </c>
      <c r="B9">
        <v>7</v>
      </c>
      <c r="C9" t="s">
        <v>33</v>
      </c>
      <c r="D9">
        <v>3</v>
      </c>
      <c r="F9">
        <v>1</v>
      </c>
      <c r="G9" t="s">
        <v>34</v>
      </c>
      <c r="H9" t="s">
        <v>130</v>
      </c>
      <c r="I9" t="s">
        <v>36</v>
      </c>
      <c r="J9" t="s">
        <v>37</v>
      </c>
      <c r="K9" t="s">
        <v>45</v>
      </c>
      <c r="L9">
        <v>3</v>
      </c>
      <c r="N9">
        <v>1</v>
      </c>
      <c r="O9" t="s">
        <v>140</v>
      </c>
      <c r="P9" t="s">
        <v>76</v>
      </c>
      <c r="Q9" t="s">
        <v>93</v>
      </c>
      <c r="S9" t="s">
        <v>53</v>
      </c>
      <c r="T9">
        <v>1</v>
      </c>
      <c r="U9">
        <v>3</v>
      </c>
      <c r="V9">
        <v>3</v>
      </c>
      <c r="W9" t="s">
        <v>112</v>
      </c>
      <c r="AA9" t="s">
        <v>56</v>
      </c>
      <c r="AB9">
        <v>2</v>
      </c>
      <c r="AD9">
        <v>1</v>
      </c>
      <c r="AE9" t="s">
        <v>120</v>
      </c>
      <c r="AI9">
        <v>0</v>
      </c>
      <c r="AJ9">
        <v>18</v>
      </c>
    </row>
    <row r="10" spans="1:36" x14ac:dyDescent="0.25">
      <c r="A10" t="s">
        <v>1518</v>
      </c>
      <c r="B10">
        <v>8</v>
      </c>
      <c r="C10" t="s">
        <v>33</v>
      </c>
      <c r="D10">
        <v>1</v>
      </c>
      <c r="F10">
        <v>3</v>
      </c>
      <c r="G10" t="s">
        <v>34</v>
      </c>
      <c r="H10" t="s">
        <v>130</v>
      </c>
      <c r="I10" t="s">
        <v>132</v>
      </c>
      <c r="J10" t="s">
        <v>37</v>
      </c>
      <c r="K10" t="s">
        <v>63</v>
      </c>
      <c r="L10">
        <v>3</v>
      </c>
      <c r="N10">
        <v>1</v>
      </c>
      <c r="O10" t="s">
        <v>103</v>
      </c>
      <c r="P10" t="s">
        <v>91</v>
      </c>
      <c r="Q10" t="s">
        <v>147</v>
      </c>
      <c r="R10" t="s">
        <v>150</v>
      </c>
      <c r="S10" t="s">
        <v>53</v>
      </c>
      <c r="T10">
        <v>3</v>
      </c>
      <c r="U10">
        <v>1</v>
      </c>
      <c r="V10">
        <v>2</v>
      </c>
      <c r="W10" t="s">
        <v>111</v>
      </c>
      <c r="X10" t="s">
        <v>83</v>
      </c>
      <c r="Y10" t="s">
        <v>97</v>
      </c>
      <c r="AA10" t="s">
        <v>56</v>
      </c>
      <c r="AB10">
        <v>3</v>
      </c>
      <c r="AD10">
        <v>1</v>
      </c>
      <c r="AE10" t="s">
        <v>68</v>
      </c>
      <c r="AI10">
        <v>0</v>
      </c>
      <c r="AJ10">
        <v>21</v>
      </c>
    </row>
    <row r="11" spans="1:36" x14ac:dyDescent="0.25">
      <c r="A11" t="s">
        <v>1519</v>
      </c>
      <c r="B11">
        <v>9</v>
      </c>
      <c r="C11" t="s">
        <v>53</v>
      </c>
      <c r="D11">
        <v>3</v>
      </c>
      <c r="E11">
        <v>1</v>
      </c>
      <c r="F11">
        <v>1</v>
      </c>
      <c r="G11" t="s">
        <v>111</v>
      </c>
      <c r="H11" t="s">
        <v>83</v>
      </c>
      <c r="I11" t="s">
        <v>97</v>
      </c>
      <c r="K11" t="s">
        <v>56</v>
      </c>
      <c r="L11">
        <v>2</v>
      </c>
      <c r="N11">
        <v>1</v>
      </c>
      <c r="O11" t="s">
        <v>68</v>
      </c>
      <c r="P11" t="s">
        <v>122</v>
      </c>
      <c r="Q11" t="s">
        <v>85</v>
      </c>
      <c r="S11" t="s">
        <v>33</v>
      </c>
      <c r="T11">
        <v>2</v>
      </c>
      <c r="V11">
        <v>2</v>
      </c>
      <c r="W11" t="s">
        <v>34</v>
      </c>
      <c r="AA11" t="s">
        <v>38</v>
      </c>
      <c r="AB11">
        <v>3</v>
      </c>
      <c r="AC11">
        <v>3</v>
      </c>
      <c r="AD11">
        <v>1</v>
      </c>
      <c r="AE11" t="s">
        <v>152</v>
      </c>
      <c r="AF11" t="s">
        <v>96</v>
      </c>
      <c r="AI11">
        <v>0</v>
      </c>
      <c r="AJ11">
        <v>19</v>
      </c>
    </row>
    <row r="12" spans="1:36" x14ac:dyDescent="0.25">
      <c r="A12" t="s">
        <v>1287</v>
      </c>
      <c r="B12">
        <v>10</v>
      </c>
      <c r="C12" t="s">
        <v>53</v>
      </c>
      <c r="D12">
        <v>3</v>
      </c>
      <c r="E12">
        <v>1</v>
      </c>
      <c r="F12">
        <v>1</v>
      </c>
      <c r="G12" t="s">
        <v>111</v>
      </c>
      <c r="H12" t="s">
        <v>83</v>
      </c>
      <c r="I12" t="s">
        <v>97</v>
      </c>
      <c r="K12" t="s">
        <v>56</v>
      </c>
      <c r="L12">
        <v>3</v>
      </c>
      <c r="N12">
        <v>1</v>
      </c>
      <c r="O12" t="s">
        <v>68</v>
      </c>
      <c r="P12" t="s">
        <v>122</v>
      </c>
      <c r="S12" t="s">
        <v>33</v>
      </c>
      <c r="T12">
        <v>1</v>
      </c>
      <c r="V12">
        <v>3</v>
      </c>
      <c r="W12" t="s">
        <v>34</v>
      </c>
      <c r="AA12" t="s">
        <v>227</v>
      </c>
      <c r="AB12">
        <v>1</v>
      </c>
      <c r="AC12">
        <v>1</v>
      </c>
      <c r="AD12">
        <v>3</v>
      </c>
      <c r="AE12" t="s">
        <v>228</v>
      </c>
      <c r="AF12" t="s">
        <v>231</v>
      </c>
      <c r="AG12" t="s">
        <v>234</v>
      </c>
      <c r="AI12">
        <v>0</v>
      </c>
      <c r="AJ12">
        <v>17</v>
      </c>
    </row>
    <row r="13" spans="1:36" x14ac:dyDescent="0.25">
      <c r="A13" t="s">
        <v>1520</v>
      </c>
      <c r="B13">
        <v>11</v>
      </c>
      <c r="C13" t="s">
        <v>53</v>
      </c>
      <c r="D13">
        <v>3</v>
      </c>
      <c r="E13">
        <v>3</v>
      </c>
      <c r="F13">
        <v>3</v>
      </c>
      <c r="G13" t="s">
        <v>112</v>
      </c>
      <c r="H13" t="s">
        <v>55</v>
      </c>
      <c r="I13" t="s">
        <v>97</v>
      </c>
      <c r="J13" t="s">
        <v>98</v>
      </c>
      <c r="K13" t="s">
        <v>56</v>
      </c>
      <c r="L13">
        <v>1</v>
      </c>
      <c r="N13">
        <v>3</v>
      </c>
      <c r="O13" t="s">
        <v>120</v>
      </c>
      <c r="P13" t="s">
        <v>69</v>
      </c>
      <c r="Q13" t="s">
        <v>123</v>
      </c>
      <c r="S13" t="s">
        <v>43</v>
      </c>
      <c r="T13">
        <v>3</v>
      </c>
      <c r="V13">
        <v>3</v>
      </c>
      <c r="W13" t="s">
        <v>73</v>
      </c>
      <c r="X13" t="s">
        <v>99</v>
      </c>
      <c r="Y13" t="s">
        <v>75</v>
      </c>
      <c r="Z13" t="s">
        <v>101</v>
      </c>
      <c r="AA13" t="s">
        <v>45</v>
      </c>
      <c r="AB13">
        <v>3</v>
      </c>
      <c r="AD13">
        <v>1</v>
      </c>
      <c r="AE13" t="s">
        <v>86</v>
      </c>
      <c r="AF13" t="s">
        <v>141</v>
      </c>
      <c r="AI13">
        <v>0</v>
      </c>
      <c r="AJ13">
        <v>35</v>
      </c>
    </row>
    <row r="14" spans="1:36" x14ac:dyDescent="0.25">
      <c r="A14" t="s">
        <v>1521</v>
      </c>
      <c r="B14">
        <v>12</v>
      </c>
      <c r="C14" t="s">
        <v>43</v>
      </c>
      <c r="D14">
        <v>3</v>
      </c>
      <c r="F14">
        <v>2</v>
      </c>
      <c r="G14" t="s">
        <v>135</v>
      </c>
      <c r="H14" t="s">
        <v>74</v>
      </c>
      <c r="I14" t="s">
        <v>137</v>
      </c>
      <c r="J14" t="s">
        <v>139</v>
      </c>
      <c r="K14" t="s">
        <v>63</v>
      </c>
      <c r="L14">
        <v>1</v>
      </c>
      <c r="N14">
        <v>1</v>
      </c>
      <c r="O14" t="s">
        <v>103</v>
      </c>
      <c r="P14" t="s">
        <v>91</v>
      </c>
      <c r="Q14" t="s">
        <v>148</v>
      </c>
      <c r="R14" t="s">
        <v>150</v>
      </c>
      <c r="S14" t="s">
        <v>53</v>
      </c>
      <c r="T14">
        <v>1</v>
      </c>
      <c r="U14">
        <v>2</v>
      </c>
      <c r="V14">
        <v>2</v>
      </c>
      <c r="W14" t="s">
        <v>112</v>
      </c>
      <c r="X14" t="s">
        <v>113</v>
      </c>
      <c r="AA14" t="s">
        <v>56</v>
      </c>
      <c r="AB14">
        <v>3</v>
      </c>
      <c r="AD14">
        <v>2</v>
      </c>
      <c r="AE14" t="s">
        <v>120</v>
      </c>
      <c r="AF14" t="s">
        <v>69</v>
      </c>
      <c r="AG14" t="s">
        <v>87</v>
      </c>
      <c r="AI14">
        <v>0</v>
      </c>
      <c r="AJ14">
        <v>21</v>
      </c>
    </row>
    <row r="15" spans="1:36" x14ac:dyDescent="0.25">
      <c r="A15" t="s">
        <v>1522</v>
      </c>
      <c r="B15">
        <v>13</v>
      </c>
      <c r="C15" t="s">
        <v>53</v>
      </c>
      <c r="D15">
        <v>2</v>
      </c>
      <c r="E15">
        <v>3</v>
      </c>
      <c r="F15">
        <v>2</v>
      </c>
      <c r="G15" t="s">
        <v>112</v>
      </c>
      <c r="H15" t="s">
        <v>55</v>
      </c>
      <c r="K15" t="s">
        <v>56</v>
      </c>
      <c r="L15">
        <v>1</v>
      </c>
      <c r="N15">
        <v>2</v>
      </c>
      <c r="O15" t="s">
        <v>120</v>
      </c>
      <c r="P15" t="s">
        <v>69</v>
      </c>
      <c r="S15" t="s">
        <v>43</v>
      </c>
      <c r="T15">
        <v>3</v>
      </c>
      <c r="V15">
        <v>1</v>
      </c>
      <c r="W15" t="s">
        <v>135</v>
      </c>
      <c r="X15" t="s">
        <v>136</v>
      </c>
      <c r="Y15" t="s">
        <v>137</v>
      </c>
      <c r="AA15" t="s">
        <v>38</v>
      </c>
      <c r="AB15">
        <v>2</v>
      </c>
      <c r="AC15">
        <v>2</v>
      </c>
      <c r="AD15">
        <v>2</v>
      </c>
      <c r="AE15" t="s">
        <v>152</v>
      </c>
      <c r="AF15" t="s">
        <v>40</v>
      </c>
      <c r="AG15" t="s">
        <v>153</v>
      </c>
      <c r="AH15" t="s">
        <v>155</v>
      </c>
      <c r="AI15">
        <v>0</v>
      </c>
      <c r="AJ15">
        <v>23</v>
      </c>
    </row>
    <row r="16" spans="1:36" x14ac:dyDescent="0.25">
      <c r="A16" t="s">
        <v>1523</v>
      </c>
      <c r="B16">
        <v>14</v>
      </c>
      <c r="C16" t="s">
        <v>43</v>
      </c>
      <c r="D16">
        <v>1</v>
      </c>
      <c r="F16">
        <v>1</v>
      </c>
      <c r="G16" t="s">
        <v>135</v>
      </c>
      <c r="H16" t="s">
        <v>74</v>
      </c>
      <c r="I16" t="s">
        <v>137</v>
      </c>
      <c r="J16" t="s">
        <v>101</v>
      </c>
      <c r="K16" t="s">
        <v>227</v>
      </c>
      <c r="L16">
        <v>3</v>
      </c>
      <c r="M16">
        <v>3</v>
      </c>
      <c r="N16">
        <v>3</v>
      </c>
      <c r="O16" t="s">
        <v>228</v>
      </c>
      <c r="P16" t="s">
        <v>233</v>
      </c>
      <c r="Q16" t="s">
        <v>234</v>
      </c>
      <c r="R16" t="s">
        <v>238</v>
      </c>
      <c r="S16" t="s">
        <v>53</v>
      </c>
      <c r="T16">
        <v>3</v>
      </c>
      <c r="U16">
        <v>3</v>
      </c>
      <c r="V16">
        <v>3</v>
      </c>
      <c r="W16" t="s">
        <v>112</v>
      </c>
      <c r="X16" t="s">
        <v>83</v>
      </c>
      <c r="Y16" t="s">
        <v>97</v>
      </c>
      <c r="Z16" t="s">
        <v>98</v>
      </c>
      <c r="AA16" t="s">
        <v>56</v>
      </c>
      <c r="AB16">
        <v>2</v>
      </c>
      <c r="AD16">
        <v>1</v>
      </c>
      <c r="AE16" t="s">
        <v>120</v>
      </c>
      <c r="AI16">
        <v>0</v>
      </c>
      <c r="AJ16">
        <v>33</v>
      </c>
    </row>
    <row r="17" spans="1:36" x14ac:dyDescent="0.25">
      <c r="A17" t="s">
        <v>1288</v>
      </c>
      <c r="B17">
        <v>15</v>
      </c>
      <c r="C17" t="s">
        <v>45</v>
      </c>
      <c r="D17">
        <v>3</v>
      </c>
      <c r="F17">
        <v>1</v>
      </c>
      <c r="G17" t="s">
        <v>86</v>
      </c>
      <c r="H17" t="s">
        <v>76</v>
      </c>
      <c r="I17" t="s">
        <v>102</v>
      </c>
      <c r="K17" t="s">
        <v>63</v>
      </c>
      <c r="L17">
        <v>1</v>
      </c>
      <c r="N17">
        <v>1</v>
      </c>
      <c r="O17" t="s">
        <v>103</v>
      </c>
      <c r="P17" t="s">
        <v>95</v>
      </c>
      <c r="Q17" t="s">
        <v>148</v>
      </c>
      <c r="S17" t="s">
        <v>53</v>
      </c>
      <c r="T17">
        <v>3</v>
      </c>
      <c r="U17">
        <v>1</v>
      </c>
      <c r="V17">
        <v>2</v>
      </c>
      <c r="W17" t="s">
        <v>112</v>
      </c>
      <c r="AA17" t="s">
        <v>56</v>
      </c>
      <c r="AB17">
        <v>1</v>
      </c>
      <c r="AD17">
        <v>1</v>
      </c>
      <c r="AE17" t="s">
        <v>57</v>
      </c>
      <c r="AF17" t="s">
        <v>122</v>
      </c>
      <c r="AI17">
        <v>0</v>
      </c>
      <c r="AJ17">
        <v>14</v>
      </c>
    </row>
    <row r="18" spans="1:36" x14ac:dyDescent="0.25">
      <c r="A18" t="s">
        <v>1289</v>
      </c>
      <c r="B18">
        <v>16</v>
      </c>
      <c r="C18" t="s">
        <v>53</v>
      </c>
      <c r="D18">
        <v>1</v>
      </c>
      <c r="E18">
        <v>3</v>
      </c>
      <c r="F18">
        <v>3</v>
      </c>
      <c r="G18" t="s">
        <v>112</v>
      </c>
      <c r="H18" t="s">
        <v>55</v>
      </c>
      <c r="I18" t="s">
        <v>114</v>
      </c>
      <c r="K18" t="s">
        <v>56</v>
      </c>
      <c r="L18">
        <v>1</v>
      </c>
      <c r="N18">
        <v>2</v>
      </c>
      <c r="O18" t="s">
        <v>57</v>
      </c>
      <c r="P18" t="s">
        <v>121</v>
      </c>
      <c r="Q18" t="s">
        <v>123</v>
      </c>
      <c r="R18" t="s">
        <v>88</v>
      </c>
      <c r="S18" t="s">
        <v>45</v>
      </c>
      <c r="T18">
        <v>3</v>
      </c>
      <c r="V18">
        <v>2</v>
      </c>
      <c r="W18" t="s">
        <v>86</v>
      </c>
      <c r="X18" t="s">
        <v>76</v>
      </c>
      <c r="Y18" t="s">
        <v>102</v>
      </c>
      <c r="Z18" t="s">
        <v>143</v>
      </c>
      <c r="AA18" t="s">
        <v>38</v>
      </c>
      <c r="AB18">
        <v>1</v>
      </c>
      <c r="AC18">
        <v>1</v>
      </c>
      <c r="AD18">
        <v>2</v>
      </c>
      <c r="AE18" t="s">
        <v>39</v>
      </c>
      <c r="AF18" t="s">
        <v>96</v>
      </c>
      <c r="AG18" t="s">
        <v>154</v>
      </c>
      <c r="AI18">
        <v>0</v>
      </c>
      <c r="AJ18">
        <v>23</v>
      </c>
    </row>
    <row r="19" spans="1:36" x14ac:dyDescent="0.25">
      <c r="A19" t="s">
        <v>1290</v>
      </c>
      <c r="B19">
        <v>17</v>
      </c>
      <c r="C19" t="s">
        <v>53</v>
      </c>
      <c r="D19">
        <v>1</v>
      </c>
      <c r="E19">
        <v>2</v>
      </c>
      <c r="F19">
        <v>3</v>
      </c>
      <c r="G19" t="s">
        <v>112</v>
      </c>
      <c r="H19" t="s">
        <v>83</v>
      </c>
      <c r="I19" t="s">
        <v>105</v>
      </c>
      <c r="J19" t="s">
        <v>98</v>
      </c>
      <c r="K19" t="s">
        <v>56</v>
      </c>
      <c r="L19">
        <v>2</v>
      </c>
      <c r="N19">
        <v>1</v>
      </c>
      <c r="O19" t="s">
        <v>57</v>
      </c>
      <c r="P19" t="s">
        <v>122</v>
      </c>
      <c r="S19" t="s">
        <v>45</v>
      </c>
      <c r="T19">
        <v>3</v>
      </c>
      <c r="V19">
        <v>2</v>
      </c>
      <c r="W19" t="s">
        <v>86</v>
      </c>
      <c r="AA19" t="s">
        <v>227</v>
      </c>
      <c r="AB19">
        <v>3</v>
      </c>
      <c r="AC19">
        <v>1</v>
      </c>
      <c r="AD19">
        <v>3</v>
      </c>
      <c r="AE19" t="s">
        <v>228</v>
      </c>
      <c r="AF19" t="s">
        <v>231</v>
      </c>
      <c r="AG19" t="s">
        <v>235</v>
      </c>
      <c r="AH19" t="s">
        <v>238</v>
      </c>
      <c r="AI19">
        <v>0</v>
      </c>
      <c r="AJ19">
        <v>23</v>
      </c>
    </row>
    <row r="20" spans="1:36" x14ac:dyDescent="0.25">
      <c r="A20" t="s">
        <v>1524</v>
      </c>
      <c r="B20">
        <v>18</v>
      </c>
      <c r="C20" t="s">
        <v>53</v>
      </c>
      <c r="D20">
        <v>3</v>
      </c>
      <c r="E20">
        <v>1</v>
      </c>
      <c r="F20">
        <v>2</v>
      </c>
      <c r="G20" t="s">
        <v>112</v>
      </c>
      <c r="H20" t="s">
        <v>83</v>
      </c>
      <c r="K20" t="s">
        <v>56</v>
      </c>
      <c r="L20">
        <v>2</v>
      </c>
      <c r="N20">
        <v>1</v>
      </c>
      <c r="O20" t="s">
        <v>57</v>
      </c>
      <c r="P20" t="s">
        <v>122</v>
      </c>
      <c r="Q20" t="s">
        <v>87</v>
      </c>
      <c r="R20" t="s">
        <v>125</v>
      </c>
      <c r="S20" t="s">
        <v>63</v>
      </c>
      <c r="T20">
        <v>1</v>
      </c>
      <c r="V20">
        <v>1</v>
      </c>
      <c r="W20" t="s">
        <v>103</v>
      </c>
      <c r="X20" t="s">
        <v>91</v>
      </c>
      <c r="Y20" t="s">
        <v>148</v>
      </c>
      <c r="AA20" t="s">
        <v>38</v>
      </c>
      <c r="AB20">
        <v>1</v>
      </c>
      <c r="AC20">
        <v>2</v>
      </c>
      <c r="AD20">
        <v>1</v>
      </c>
      <c r="AE20" t="s">
        <v>152</v>
      </c>
      <c r="AF20" t="s">
        <v>40</v>
      </c>
      <c r="AG20" t="s">
        <v>154</v>
      </c>
      <c r="AH20" t="s">
        <v>42</v>
      </c>
      <c r="AI20">
        <v>0</v>
      </c>
      <c r="AJ20">
        <v>18</v>
      </c>
    </row>
    <row r="21" spans="1:36" x14ac:dyDescent="0.25">
      <c r="A21" t="s">
        <v>1525</v>
      </c>
      <c r="B21">
        <v>19</v>
      </c>
      <c r="C21" t="s">
        <v>53</v>
      </c>
      <c r="D21">
        <v>1</v>
      </c>
      <c r="E21">
        <v>1</v>
      </c>
      <c r="F21">
        <v>1</v>
      </c>
      <c r="G21" t="s">
        <v>111</v>
      </c>
      <c r="H21" t="s">
        <v>83</v>
      </c>
      <c r="I21" t="s">
        <v>97</v>
      </c>
      <c r="J21" t="s">
        <v>116</v>
      </c>
      <c r="K21" t="s">
        <v>56</v>
      </c>
      <c r="L21">
        <v>2</v>
      </c>
      <c r="N21">
        <v>1</v>
      </c>
      <c r="O21" t="s">
        <v>57</v>
      </c>
      <c r="P21" t="s">
        <v>122</v>
      </c>
      <c r="Q21" t="s">
        <v>85</v>
      </c>
      <c r="S21" t="s">
        <v>63</v>
      </c>
      <c r="T21">
        <v>2</v>
      </c>
      <c r="V21">
        <v>1</v>
      </c>
      <c r="W21" t="s">
        <v>103</v>
      </c>
      <c r="X21" t="s">
        <v>91</v>
      </c>
      <c r="AA21" t="s">
        <v>227</v>
      </c>
      <c r="AB21">
        <v>1</v>
      </c>
      <c r="AC21">
        <v>1</v>
      </c>
      <c r="AD21">
        <v>1</v>
      </c>
      <c r="AE21" t="s">
        <v>229</v>
      </c>
      <c r="AF21" t="s">
        <v>231</v>
      </c>
      <c r="AG21" t="s">
        <v>235</v>
      </c>
      <c r="AH21" t="s">
        <v>238</v>
      </c>
      <c r="AI21">
        <v>0</v>
      </c>
      <c r="AJ21">
        <v>15</v>
      </c>
    </row>
    <row r="22" spans="1:36" x14ac:dyDescent="0.25">
      <c r="A22" t="s">
        <v>1526</v>
      </c>
      <c r="B22">
        <v>20</v>
      </c>
      <c r="C22" t="s">
        <v>53</v>
      </c>
      <c r="D22">
        <v>1</v>
      </c>
      <c r="E22">
        <v>1</v>
      </c>
      <c r="F22">
        <v>2</v>
      </c>
      <c r="G22" t="s">
        <v>112</v>
      </c>
      <c r="H22" t="s">
        <v>83</v>
      </c>
      <c r="I22" t="s">
        <v>97</v>
      </c>
      <c r="J22" t="s">
        <v>116</v>
      </c>
      <c r="K22" t="s">
        <v>56</v>
      </c>
      <c r="L22">
        <v>2</v>
      </c>
      <c r="N22">
        <v>1</v>
      </c>
      <c r="O22" t="s">
        <v>57</v>
      </c>
      <c r="P22" t="s">
        <v>122</v>
      </c>
      <c r="Q22" t="s">
        <v>85</v>
      </c>
      <c r="S22" t="s">
        <v>38</v>
      </c>
      <c r="T22">
        <v>2</v>
      </c>
      <c r="U22">
        <v>1</v>
      </c>
      <c r="V22">
        <v>3</v>
      </c>
      <c r="W22" t="s">
        <v>152</v>
      </c>
      <c r="X22" t="s">
        <v>40</v>
      </c>
      <c r="AA22" t="s">
        <v>227</v>
      </c>
      <c r="AB22">
        <v>1</v>
      </c>
      <c r="AC22">
        <v>1</v>
      </c>
      <c r="AD22">
        <v>3</v>
      </c>
      <c r="AE22" t="s">
        <v>228</v>
      </c>
      <c r="AF22" t="s">
        <v>231</v>
      </c>
      <c r="AI22">
        <v>0</v>
      </c>
      <c r="AJ22">
        <v>18</v>
      </c>
    </row>
    <row r="23" spans="1:36" x14ac:dyDescent="0.25">
      <c r="A23" t="s">
        <v>1291</v>
      </c>
      <c r="B23">
        <v>21</v>
      </c>
      <c r="C23" t="s">
        <v>53</v>
      </c>
      <c r="D23">
        <v>2</v>
      </c>
      <c r="E23">
        <v>1</v>
      </c>
      <c r="F23">
        <v>1</v>
      </c>
      <c r="G23" t="s">
        <v>111</v>
      </c>
      <c r="H23" t="s">
        <v>113</v>
      </c>
      <c r="I23" t="s">
        <v>97</v>
      </c>
      <c r="J23" t="s">
        <v>98</v>
      </c>
      <c r="K23" t="s">
        <v>48</v>
      </c>
      <c r="L23">
        <v>2</v>
      </c>
      <c r="N23">
        <v>1</v>
      </c>
      <c r="O23" t="s">
        <v>89</v>
      </c>
      <c r="P23" t="s">
        <v>84</v>
      </c>
      <c r="Q23" t="s">
        <v>127</v>
      </c>
      <c r="S23" t="s">
        <v>56</v>
      </c>
      <c r="T23">
        <v>2</v>
      </c>
      <c r="V23">
        <v>1</v>
      </c>
      <c r="W23" t="s">
        <v>57</v>
      </c>
      <c r="X23" t="s">
        <v>122</v>
      </c>
      <c r="Y23" t="s">
        <v>123</v>
      </c>
      <c r="AA23" t="s">
        <v>33</v>
      </c>
      <c r="AB23">
        <v>1</v>
      </c>
      <c r="AD23">
        <v>2</v>
      </c>
      <c r="AE23" t="s">
        <v>34</v>
      </c>
      <c r="AI23">
        <v>0</v>
      </c>
      <c r="AJ23">
        <v>15</v>
      </c>
    </row>
    <row r="24" spans="1:36" x14ac:dyDescent="0.25">
      <c r="A24" t="s">
        <v>1527</v>
      </c>
      <c r="B24">
        <v>22</v>
      </c>
      <c r="C24" t="s">
        <v>53</v>
      </c>
      <c r="D24">
        <v>3</v>
      </c>
      <c r="E24">
        <v>3</v>
      </c>
      <c r="F24">
        <v>3</v>
      </c>
      <c r="G24" t="s">
        <v>112</v>
      </c>
      <c r="H24" t="s">
        <v>83</v>
      </c>
      <c r="I24" t="s">
        <v>105</v>
      </c>
      <c r="J24" t="s">
        <v>116</v>
      </c>
      <c r="K24" t="s">
        <v>48</v>
      </c>
      <c r="L24">
        <v>3</v>
      </c>
      <c r="N24">
        <v>3</v>
      </c>
      <c r="O24" t="s">
        <v>126</v>
      </c>
      <c r="P24" t="s">
        <v>84</v>
      </c>
      <c r="Q24" t="s">
        <v>90</v>
      </c>
      <c r="R24" t="s">
        <v>129</v>
      </c>
      <c r="S24" t="s">
        <v>56</v>
      </c>
      <c r="T24">
        <v>3</v>
      </c>
      <c r="V24">
        <v>3</v>
      </c>
      <c r="W24" t="s">
        <v>120</v>
      </c>
      <c r="X24" t="s">
        <v>121</v>
      </c>
      <c r="Y24" t="s">
        <v>123</v>
      </c>
      <c r="Z24" t="s">
        <v>124</v>
      </c>
      <c r="AA24" t="s">
        <v>43</v>
      </c>
      <c r="AB24">
        <v>3</v>
      </c>
      <c r="AD24">
        <v>3</v>
      </c>
      <c r="AE24" t="s">
        <v>73</v>
      </c>
      <c r="AF24" t="s">
        <v>74</v>
      </c>
      <c r="AG24" t="s">
        <v>75</v>
      </c>
      <c r="AH24" t="s">
        <v>101</v>
      </c>
      <c r="AI24">
        <v>0</v>
      </c>
      <c r="AJ24">
        <v>44</v>
      </c>
    </row>
    <row r="25" spans="1:36" x14ac:dyDescent="0.25">
      <c r="A25" t="s">
        <v>1528</v>
      </c>
      <c r="B25">
        <v>23</v>
      </c>
      <c r="C25" t="s">
        <v>53</v>
      </c>
      <c r="D25">
        <v>3</v>
      </c>
      <c r="E25">
        <v>1</v>
      </c>
      <c r="F25">
        <v>3</v>
      </c>
      <c r="G25" t="s">
        <v>112</v>
      </c>
      <c r="H25" t="s">
        <v>113</v>
      </c>
      <c r="I25" t="s">
        <v>97</v>
      </c>
      <c r="J25" t="s">
        <v>116</v>
      </c>
      <c r="K25" t="s">
        <v>48</v>
      </c>
      <c r="L25">
        <v>3</v>
      </c>
      <c r="N25">
        <v>3</v>
      </c>
      <c r="O25" t="s">
        <v>126</v>
      </c>
      <c r="P25" t="s">
        <v>84</v>
      </c>
      <c r="Q25" t="s">
        <v>127</v>
      </c>
      <c r="R25" t="s">
        <v>129</v>
      </c>
      <c r="S25" t="s">
        <v>56</v>
      </c>
      <c r="T25">
        <v>3</v>
      </c>
      <c r="V25">
        <v>2</v>
      </c>
      <c r="W25" t="s">
        <v>120</v>
      </c>
      <c r="X25" t="s">
        <v>69</v>
      </c>
      <c r="Y25" t="s">
        <v>87</v>
      </c>
      <c r="Z25" t="s">
        <v>88</v>
      </c>
      <c r="AA25" t="s">
        <v>45</v>
      </c>
      <c r="AB25">
        <v>3</v>
      </c>
      <c r="AD25">
        <v>2</v>
      </c>
      <c r="AE25" t="s">
        <v>86</v>
      </c>
      <c r="AF25" t="s">
        <v>141</v>
      </c>
      <c r="AG25" t="s">
        <v>93</v>
      </c>
      <c r="AI25">
        <v>0</v>
      </c>
      <c r="AJ25">
        <v>29</v>
      </c>
    </row>
    <row r="26" spans="1:36" x14ac:dyDescent="0.25">
      <c r="A26" t="s">
        <v>1529</v>
      </c>
      <c r="B26">
        <v>24</v>
      </c>
      <c r="C26" t="s">
        <v>53</v>
      </c>
      <c r="D26">
        <v>3</v>
      </c>
      <c r="E26">
        <v>3</v>
      </c>
      <c r="F26">
        <v>3</v>
      </c>
      <c r="G26" t="s">
        <v>112</v>
      </c>
      <c r="H26" t="s">
        <v>83</v>
      </c>
      <c r="I26" t="s">
        <v>97</v>
      </c>
      <c r="J26" t="s">
        <v>116</v>
      </c>
      <c r="K26" t="s">
        <v>48</v>
      </c>
      <c r="L26">
        <v>3</v>
      </c>
      <c r="N26">
        <v>3</v>
      </c>
      <c r="O26" t="s">
        <v>49</v>
      </c>
      <c r="P26" t="s">
        <v>84</v>
      </c>
      <c r="Q26" t="s">
        <v>127</v>
      </c>
      <c r="R26" t="s">
        <v>129</v>
      </c>
      <c r="S26" t="s">
        <v>56</v>
      </c>
      <c r="T26">
        <v>2</v>
      </c>
      <c r="V26">
        <v>1</v>
      </c>
      <c r="W26" t="s">
        <v>57</v>
      </c>
      <c r="X26" t="s">
        <v>122</v>
      </c>
      <c r="Y26" t="s">
        <v>85</v>
      </c>
      <c r="AA26" t="s">
        <v>63</v>
      </c>
      <c r="AB26">
        <v>3</v>
      </c>
      <c r="AD26">
        <v>3</v>
      </c>
      <c r="AE26" t="s">
        <v>103</v>
      </c>
      <c r="AF26" t="s">
        <v>91</v>
      </c>
      <c r="AG26" t="s">
        <v>147</v>
      </c>
      <c r="AH26" t="s">
        <v>151</v>
      </c>
      <c r="AI26">
        <v>0</v>
      </c>
      <c r="AJ26">
        <v>33</v>
      </c>
    </row>
    <row r="27" spans="1:36" x14ac:dyDescent="0.25">
      <c r="A27" t="s">
        <v>1530</v>
      </c>
      <c r="B27">
        <v>25</v>
      </c>
      <c r="C27" t="s">
        <v>56</v>
      </c>
      <c r="D27">
        <v>3</v>
      </c>
      <c r="F27">
        <v>1</v>
      </c>
      <c r="G27" t="s">
        <v>57</v>
      </c>
      <c r="H27" t="s">
        <v>122</v>
      </c>
      <c r="I27" t="s">
        <v>123</v>
      </c>
      <c r="J27" t="s">
        <v>125</v>
      </c>
      <c r="K27" t="s">
        <v>38</v>
      </c>
      <c r="L27">
        <v>1</v>
      </c>
      <c r="M27">
        <v>2</v>
      </c>
      <c r="N27">
        <v>2</v>
      </c>
      <c r="O27" t="s">
        <v>39</v>
      </c>
      <c r="P27" t="s">
        <v>40</v>
      </c>
      <c r="Q27" t="s">
        <v>154</v>
      </c>
      <c r="R27" t="s">
        <v>42</v>
      </c>
      <c r="S27" t="s">
        <v>53</v>
      </c>
      <c r="T27">
        <v>1</v>
      </c>
      <c r="U27">
        <v>2</v>
      </c>
      <c r="V27">
        <v>2</v>
      </c>
      <c r="W27" t="s">
        <v>112</v>
      </c>
      <c r="X27" t="s">
        <v>83</v>
      </c>
      <c r="Y27" t="s">
        <v>97</v>
      </c>
      <c r="Z27" t="s">
        <v>115</v>
      </c>
      <c r="AA27" t="s">
        <v>48</v>
      </c>
      <c r="AB27">
        <v>1</v>
      </c>
      <c r="AD27">
        <v>2</v>
      </c>
      <c r="AE27" t="s">
        <v>49</v>
      </c>
      <c r="AI27">
        <v>0</v>
      </c>
      <c r="AJ27">
        <v>20</v>
      </c>
    </row>
    <row r="28" spans="1:36" x14ac:dyDescent="0.25">
      <c r="A28" t="s">
        <v>1531</v>
      </c>
      <c r="B28">
        <v>26</v>
      </c>
      <c r="C28" t="s">
        <v>53</v>
      </c>
      <c r="D28">
        <v>3</v>
      </c>
      <c r="E28">
        <v>3</v>
      </c>
      <c r="F28">
        <v>3</v>
      </c>
      <c r="G28" t="s">
        <v>112</v>
      </c>
      <c r="H28" t="s">
        <v>83</v>
      </c>
      <c r="I28" t="s">
        <v>97</v>
      </c>
      <c r="J28" t="s">
        <v>98</v>
      </c>
      <c r="K28" t="s">
        <v>48</v>
      </c>
      <c r="L28">
        <v>1</v>
      </c>
      <c r="N28">
        <v>1</v>
      </c>
      <c r="O28" t="s">
        <v>89</v>
      </c>
      <c r="P28" t="s">
        <v>84</v>
      </c>
      <c r="Q28" t="s">
        <v>127</v>
      </c>
      <c r="S28" t="s">
        <v>56</v>
      </c>
      <c r="T28">
        <v>3</v>
      </c>
      <c r="V28">
        <v>3</v>
      </c>
      <c r="W28" t="s">
        <v>120</v>
      </c>
      <c r="X28" t="s">
        <v>69</v>
      </c>
      <c r="Y28" t="s">
        <v>87</v>
      </c>
      <c r="Z28" t="s">
        <v>124</v>
      </c>
      <c r="AA28" t="s">
        <v>227</v>
      </c>
      <c r="AB28">
        <v>2</v>
      </c>
      <c r="AC28">
        <v>1</v>
      </c>
      <c r="AD28">
        <v>1</v>
      </c>
      <c r="AE28" t="s">
        <v>228</v>
      </c>
      <c r="AF28" t="s">
        <v>231</v>
      </c>
      <c r="AI28">
        <v>0</v>
      </c>
      <c r="AJ28">
        <v>29</v>
      </c>
    </row>
    <row r="29" spans="1:36" x14ac:dyDescent="0.25">
      <c r="A29" t="s">
        <v>1292</v>
      </c>
      <c r="B29">
        <v>27</v>
      </c>
      <c r="C29" t="s">
        <v>53</v>
      </c>
      <c r="D29">
        <v>3</v>
      </c>
      <c r="E29">
        <v>2</v>
      </c>
      <c r="F29">
        <v>3</v>
      </c>
      <c r="G29" t="s">
        <v>112</v>
      </c>
      <c r="H29" t="s">
        <v>113</v>
      </c>
      <c r="I29" t="s">
        <v>114</v>
      </c>
      <c r="J29" t="s">
        <v>116</v>
      </c>
      <c r="K29" t="s">
        <v>48</v>
      </c>
      <c r="L29">
        <v>3</v>
      </c>
      <c r="N29">
        <v>3</v>
      </c>
      <c r="O29" t="s">
        <v>126</v>
      </c>
      <c r="P29" t="s">
        <v>50</v>
      </c>
      <c r="Q29" t="s">
        <v>51</v>
      </c>
      <c r="R29" t="s">
        <v>129</v>
      </c>
      <c r="S29" t="s">
        <v>33</v>
      </c>
      <c r="T29">
        <v>2</v>
      </c>
      <c r="V29">
        <v>2</v>
      </c>
      <c r="W29" t="s">
        <v>34</v>
      </c>
      <c r="X29" t="s">
        <v>130</v>
      </c>
      <c r="AA29" t="s">
        <v>43</v>
      </c>
      <c r="AB29">
        <v>3</v>
      </c>
      <c r="AD29">
        <v>3</v>
      </c>
      <c r="AE29" t="s">
        <v>135</v>
      </c>
      <c r="AF29" t="s">
        <v>99</v>
      </c>
      <c r="AG29" t="s">
        <v>100</v>
      </c>
      <c r="AH29" t="s">
        <v>101</v>
      </c>
      <c r="AI29">
        <v>0</v>
      </c>
      <c r="AJ29">
        <v>30</v>
      </c>
    </row>
    <row r="30" spans="1:36" x14ac:dyDescent="0.25">
      <c r="A30" t="s">
        <v>1293</v>
      </c>
      <c r="B30">
        <v>28</v>
      </c>
      <c r="C30" t="s">
        <v>33</v>
      </c>
      <c r="D30">
        <v>2</v>
      </c>
      <c r="F30">
        <v>3</v>
      </c>
      <c r="G30" t="s">
        <v>34</v>
      </c>
      <c r="H30" t="s">
        <v>130</v>
      </c>
      <c r="I30" t="s">
        <v>132</v>
      </c>
      <c r="J30" t="s">
        <v>37</v>
      </c>
      <c r="K30" t="s">
        <v>45</v>
      </c>
      <c r="L30">
        <v>2</v>
      </c>
      <c r="N30">
        <v>2</v>
      </c>
      <c r="O30" t="s">
        <v>140</v>
      </c>
      <c r="P30" t="s">
        <v>141</v>
      </c>
      <c r="Q30" t="s">
        <v>102</v>
      </c>
      <c r="R30" t="s">
        <v>94</v>
      </c>
      <c r="S30" t="s">
        <v>53</v>
      </c>
      <c r="T30">
        <v>1</v>
      </c>
      <c r="U30">
        <v>3</v>
      </c>
      <c r="V30">
        <v>3</v>
      </c>
      <c r="W30" t="s">
        <v>112</v>
      </c>
      <c r="X30" t="s">
        <v>113</v>
      </c>
      <c r="AA30" t="s">
        <v>48</v>
      </c>
      <c r="AB30">
        <v>1</v>
      </c>
      <c r="AD30">
        <v>1</v>
      </c>
      <c r="AE30" t="s">
        <v>126</v>
      </c>
      <c r="AF30" t="s">
        <v>50</v>
      </c>
      <c r="AI30">
        <v>0</v>
      </c>
      <c r="AJ30">
        <v>21</v>
      </c>
    </row>
    <row r="31" spans="1:36" x14ac:dyDescent="0.25">
      <c r="A31" t="s">
        <v>1532</v>
      </c>
      <c r="B31">
        <v>29</v>
      </c>
      <c r="C31" t="s">
        <v>53</v>
      </c>
      <c r="D31">
        <v>3</v>
      </c>
      <c r="E31">
        <v>3</v>
      </c>
      <c r="F31">
        <v>3</v>
      </c>
      <c r="G31" t="s">
        <v>111</v>
      </c>
      <c r="H31" t="s">
        <v>83</v>
      </c>
      <c r="I31" t="s">
        <v>97</v>
      </c>
      <c r="J31" t="s">
        <v>116</v>
      </c>
      <c r="K31" t="s">
        <v>48</v>
      </c>
      <c r="L31">
        <v>3</v>
      </c>
      <c r="N31">
        <v>3</v>
      </c>
      <c r="O31" t="s">
        <v>89</v>
      </c>
      <c r="P31" t="s">
        <v>84</v>
      </c>
      <c r="Q31" t="s">
        <v>51</v>
      </c>
      <c r="R31" t="s">
        <v>129</v>
      </c>
      <c r="S31" t="s">
        <v>33</v>
      </c>
      <c r="T31">
        <v>1</v>
      </c>
      <c r="V31">
        <v>2</v>
      </c>
      <c r="W31" t="s">
        <v>34</v>
      </c>
      <c r="AA31" t="s">
        <v>63</v>
      </c>
      <c r="AB31">
        <v>3</v>
      </c>
      <c r="AD31">
        <v>3</v>
      </c>
      <c r="AE31" t="s">
        <v>103</v>
      </c>
      <c r="AF31" t="s">
        <v>91</v>
      </c>
      <c r="AG31" t="s">
        <v>147</v>
      </c>
      <c r="AH31" t="s">
        <v>151</v>
      </c>
      <c r="AI31">
        <v>0</v>
      </c>
      <c r="AJ31">
        <v>36</v>
      </c>
    </row>
    <row r="32" spans="1:36" x14ac:dyDescent="0.25">
      <c r="A32" t="s">
        <v>1533</v>
      </c>
      <c r="B32">
        <v>30</v>
      </c>
      <c r="C32" t="s">
        <v>53</v>
      </c>
      <c r="D32">
        <v>1</v>
      </c>
      <c r="E32">
        <v>1</v>
      </c>
      <c r="F32">
        <v>2</v>
      </c>
      <c r="G32" t="s">
        <v>111</v>
      </c>
      <c r="H32" t="s">
        <v>113</v>
      </c>
      <c r="I32" t="s">
        <v>97</v>
      </c>
      <c r="J32" t="s">
        <v>98</v>
      </c>
      <c r="K32" t="s">
        <v>48</v>
      </c>
      <c r="L32">
        <v>2</v>
      </c>
      <c r="N32">
        <v>1</v>
      </c>
      <c r="O32" t="s">
        <v>89</v>
      </c>
      <c r="P32" t="s">
        <v>50</v>
      </c>
      <c r="Q32" t="s">
        <v>51</v>
      </c>
      <c r="R32" t="s">
        <v>129</v>
      </c>
      <c r="S32" t="s">
        <v>33</v>
      </c>
      <c r="T32">
        <v>1</v>
      </c>
      <c r="V32">
        <v>2</v>
      </c>
      <c r="W32" t="s">
        <v>34</v>
      </c>
      <c r="X32" t="s">
        <v>130</v>
      </c>
      <c r="AA32" t="s">
        <v>38</v>
      </c>
      <c r="AB32">
        <v>2</v>
      </c>
      <c r="AC32">
        <v>2</v>
      </c>
      <c r="AD32">
        <v>1</v>
      </c>
      <c r="AE32" t="s">
        <v>39</v>
      </c>
      <c r="AF32" t="s">
        <v>96</v>
      </c>
      <c r="AG32" t="s">
        <v>41</v>
      </c>
      <c r="AI32">
        <v>0</v>
      </c>
      <c r="AJ32">
        <v>18</v>
      </c>
    </row>
    <row r="33" spans="1:36" x14ac:dyDescent="0.25">
      <c r="A33" t="s">
        <v>1534</v>
      </c>
      <c r="B33">
        <v>31</v>
      </c>
      <c r="C33" t="s">
        <v>53</v>
      </c>
      <c r="D33">
        <v>2</v>
      </c>
      <c r="E33">
        <v>1</v>
      </c>
      <c r="F33">
        <v>1</v>
      </c>
      <c r="G33" t="s">
        <v>111</v>
      </c>
      <c r="H33" t="s">
        <v>83</v>
      </c>
      <c r="I33" t="s">
        <v>97</v>
      </c>
      <c r="J33" t="s">
        <v>116</v>
      </c>
      <c r="K33" t="s">
        <v>48</v>
      </c>
      <c r="L33">
        <v>1</v>
      </c>
      <c r="N33">
        <v>1</v>
      </c>
      <c r="O33" t="s">
        <v>89</v>
      </c>
      <c r="P33" t="s">
        <v>50</v>
      </c>
      <c r="Q33" t="s">
        <v>51</v>
      </c>
      <c r="R33" t="s">
        <v>128</v>
      </c>
      <c r="S33" t="s">
        <v>33</v>
      </c>
      <c r="T33">
        <v>1</v>
      </c>
      <c r="V33">
        <v>2</v>
      </c>
      <c r="W33" t="s">
        <v>34</v>
      </c>
      <c r="AA33" t="s">
        <v>227</v>
      </c>
      <c r="AB33">
        <v>2</v>
      </c>
      <c r="AC33">
        <v>1</v>
      </c>
      <c r="AD33">
        <v>3</v>
      </c>
      <c r="AE33" t="s">
        <v>228</v>
      </c>
      <c r="AF33" t="s">
        <v>231</v>
      </c>
      <c r="AI33">
        <v>0</v>
      </c>
      <c r="AJ33">
        <v>16</v>
      </c>
    </row>
    <row r="34" spans="1:36" x14ac:dyDescent="0.25">
      <c r="A34" t="s">
        <v>1535</v>
      </c>
      <c r="B34">
        <v>32</v>
      </c>
      <c r="C34" t="s">
        <v>53</v>
      </c>
      <c r="D34">
        <v>3</v>
      </c>
      <c r="E34">
        <v>3</v>
      </c>
      <c r="F34">
        <v>3</v>
      </c>
      <c r="G34" t="s">
        <v>112</v>
      </c>
      <c r="H34" t="s">
        <v>83</v>
      </c>
      <c r="I34" t="s">
        <v>114</v>
      </c>
      <c r="J34" t="s">
        <v>98</v>
      </c>
      <c r="K34" t="s">
        <v>48</v>
      </c>
      <c r="L34">
        <v>1</v>
      </c>
      <c r="N34">
        <v>1</v>
      </c>
      <c r="O34" t="s">
        <v>126</v>
      </c>
      <c r="P34" t="s">
        <v>84</v>
      </c>
      <c r="S34" t="s">
        <v>43</v>
      </c>
      <c r="T34">
        <v>3</v>
      </c>
      <c r="V34">
        <v>3</v>
      </c>
      <c r="W34" t="s">
        <v>73</v>
      </c>
      <c r="X34" t="s">
        <v>99</v>
      </c>
      <c r="Y34" t="s">
        <v>75</v>
      </c>
      <c r="Z34" t="s">
        <v>101</v>
      </c>
      <c r="AA34" t="s">
        <v>45</v>
      </c>
      <c r="AB34">
        <v>3</v>
      </c>
      <c r="AD34">
        <v>3</v>
      </c>
      <c r="AE34" t="s">
        <v>86</v>
      </c>
      <c r="AF34" t="s">
        <v>141</v>
      </c>
      <c r="AG34" t="s">
        <v>93</v>
      </c>
      <c r="AH34" t="s">
        <v>94</v>
      </c>
      <c r="AI34">
        <v>0</v>
      </c>
      <c r="AJ34">
        <v>35</v>
      </c>
    </row>
    <row r="35" spans="1:36" x14ac:dyDescent="0.25">
      <c r="A35" t="s">
        <v>1536</v>
      </c>
      <c r="B35">
        <v>33</v>
      </c>
      <c r="C35" t="s">
        <v>43</v>
      </c>
      <c r="D35">
        <v>3</v>
      </c>
      <c r="F35">
        <v>3</v>
      </c>
      <c r="G35" t="s">
        <v>135</v>
      </c>
      <c r="H35" t="s">
        <v>74</v>
      </c>
      <c r="I35" t="s">
        <v>75</v>
      </c>
      <c r="J35" t="s">
        <v>139</v>
      </c>
      <c r="K35" t="s">
        <v>63</v>
      </c>
      <c r="L35">
        <v>3</v>
      </c>
      <c r="N35">
        <v>3</v>
      </c>
      <c r="O35" t="s">
        <v>103</v>
      </c>
      <c r="P35" t="s">
        <v>91</v>
      </c>
      <c r="Q35" t="s">
        <v>148</v>
      </c>
      <c r="R35" t="s">
        <v>150</v>
      </c>
      <c r="S35" t="s">
        <v>53</v>
      </c>
      <c r="T35">
        <v>3</v>
      </c>
      <c r="U35">
        <v>3</v>
      </c>
      <c r="V35">
        <v>3</v>
      </c>
      <c r="W35" t="s">
        <v>112</v>
      </c>
      <c r="X35" t="s">
        <v>83</v>
      </c>
      <c r="Y35" t="s">
        <v>97</v>
      </c>
      <c r="Z35" t="s">
        <v>115</v>
      </c>
      <c r="AA35" t="s">
        <v>48</v>
      </c>
      <c r="AB35">
        <v>1</v>
      </c>
      <c r="AD35">
        <v>1</v>
      </c>
      <c r="AE35" t="s">
        <v>126</v>
      </c>
      <c r="AF35" t="s">
        <v>84</v>
      </c>
      <c r="AG35" t="s">
        <v>127</v>
      </c>
      <c r="AI35">
        <v>0</v>
      </c>
      <c r="AJ35">
        <v>34</v>
      </c>
    </row>
    <row r="36" spans="1:36" x14ac:dyDescent="0.25">
      <c r="A36" t="s">
        <v>1537</v>
      </c>
      <c r="B36">
        <v>34</v>
      </c>
      <c r="C36" t="s">
        <v>53</v>
      </c>
      <c r="D36">
        <v>3</v>
      </c>
      <c r="E36">
        <v>3</v>
      </c>
      <c r="F36">
        <v>3</v>
      </c>
      <c r="G36" t="s">
        <v>112</v>
      </c>
      <c r="H36" t="s">
        <v>55</v>
      </c>
      <c r="I36" t="s">
        <v>97</v>
      </c>
      <c r="J36" t="s">
        <v>115</v>
      </c>
      <c r="K36" t="s">
        <v>48</v>
      </c>
      <c r="L36">
        <v>1</v>
      </c>
      <c r="N36">
        <v>1</v>
      </c>
      <c r="O36" t="s">
        <v>126</v>
      </c>
      <c r="P36" t="s">
        <v>84</v>
      </c>
      <c r="Q36" t="s">
        <v>127</v>
      </c>
      <c r="R36" t="s">
        <v>129</v>
      </c>
      <c r="S36" t="s">
        <v>43</v>
      </c>
      <c r="T36">
        <v>3</v>
      </c>
      <c r="V36">
        <v>2</v>
      </c>
      <c r="W36" t="s">
        <v>73</v>
      </c>
      <c r="X36" t="s">
        <v>74</v>
      </c>
      <c r="Y36" t="s">
        <v>75</v>
      </c>
      <c r="Z36" t="s">
        <v>139</v>
      </c>
      <c r="AA36" t="s">
        <v>38</v>
      </c>
      <c r="AB36">
        <v>3</v>
      </c>
      <c r="AC36">
        <v>3</v>
      </c>
      <c r="AD36">
        <v>3</v>
      </c>
      <c r="AE36" t="s">
        <v>39</v>
      </c>
      <c r="AF36" t="s">
        <v>96</v>
      </c>
      <c r="AG36" t="s">
        <v>153</v>
      </c>
      <c r="AH36" t="s">
        <v>42</v>
      </c>
      <c r="AI36">
        <v>0</v>
      </c>
      <c r="AJ36">
        <v>43</v>
      </c>
    </row>
    <row r="37" spans="1:36" x14ac:dyDescent="0.25">
      <c r="A37" t="s">
        <v>1538</v>
      </c>
      <c r="B37">
        <v>35</v>
      </c>
      <c r="C37" t="s">
        <v>43</v>
      </c>
      <c r="D37">
        <v>3</v>
      </c>
      <c r="F37">
        <v>1</v>
      </c>
      <c r="G37" t="s">
        <v>135</v>
      </c>
      <c r="H37" t="s">
        <v>74</v>
      </c>
      <c r="I37" t="s">
        <v>75</v>
      </c>
      <c r="J37" t="s">
        <v>138</v>
      </c>
      <c r="K37" t="s">
        <v>227</v>
      </c>
      <c r="L37">
        <v>3</v>
      </c>
      <c r="M37">
        <v>1</v>
      </c>
      <c r="N37">
        <v>1</v>
      </c>
      <c r="O37" t="s">
        <v>228</v>
      </c>
      <c r="P37" t="s">
        <v>231</v>
      </c>
      <c r="Q37" t="s">
        <v>236</v>
      </c>
      <c r="R37" t="s">
        <v>238</v>
      </c>
      <c r="S37" t="s">
        <v>53</v>
      </c>
      <c r="T37">
        <v>1</v>
      </c>
      <c r="U37">
        <v>2</v>
      </c>
      <c r="V37">
        <v>2</v>
      </c>
      <c r="W37" t="s">
        <v>112</v>
      </c>
      <c r="X37" t="s">
        <v>83</v>
      </c>
      <c r="Y37" t="s">
        <v>97</v>
      </c>
      <c r="AA37" t="s">
        <v>48</v>
      </c>
      <c r="AB37">
        <v>1</v>
      </c>
      <c r="AD37">
        <v>1</v>
      </c>
      <c r="AE37" t="s">
        <v>126</v>
      </c>
      <c r="AF37" t="s">
        <v>84</v>
      </c>
      <c r="AI37">
        <v>0</v>
      </c>
      <c r="AJ37">
        <v>19</v>
      </c>
    </row>
    <row r="38" spans="1:36" x14ac:dyDescent="0.25">
      <c r="A38" t="s">
        <v>1294</v>
      </c>
      <c r="B38">
        <v>36</v>
      </c>
      <c r="C38" t="s">
        <v>45</v>
      </c>
      <c r="D38">
        <v>3</v>
      </c>
      <c r="F38">
        <v>1</v>
      </c>
      <c r="G38" t="s">
        <v>86</v>
      </c>
      <c r="H38" t="s">
        <v>76</v>
      </c>
      <c r="I38" t="s">
        <v>93</v>
      </c>
      <c r="K38" t="s">
        <v>63</v>
      </c>
      <c r="L38">
        <v>1</v>
      </c>
      <c r="N38">
        <v>2</v>
      </c>
      <c r="O38" t="s">
        <v>103</v>
      </c>
      <c r="P38" t="s">
        <v>95</v>
      </c>
      <c r="Q38" t="s">
        <v>148</v>
      </c>
      <c r="R38" t="s">
        <v>150</v>
      </c>
      <c r="S38" t="s">
        <v>53</v>
      </c>
      <c r="T38">
        <v>1</v>
      </c>
      <c r="U38">
        <v>3</v>
      </c>
      <c r="V38">
        <v>3</v>
      </c>
      <c r="W38" t="s">
        <v>112</v>
      </c>
      <c r="AA38" t="s">
        <v>48</v>
      </c>
      <c r="AB38">
        <v>1</v>
      </c>
      <c r="AD38">
        <v>1</v>
      </c>
      <c r="AE38" t="s">
        <v>126</v>
      </c>
      <c r="AF38" t="s">
        <v>84</v>
      </c>
      <c r="AG38" t="s">
        <v>90</v>
      </c>
      <c r="AI38">
        <v>0</v>
      </c>
      <c r="AJ38">
        <v>19</v>
      </c>
    </row>
    <row r="39" spans="1:36" x14ac:dyDescent="0.25">
      <c r="A39" t="s">
        <v>1295</v>
      </c>
      <c r="B39">
        <v>37</v>
      </c>
      <c r="C39" t="s">
        <v>53</v>
      </c>
      <c r="D39">
        <v>3</v>
      </c>
      <c r="E39">
        <v>2</v>
      </c>
      <c r="F39">
        <v>3</v>
      </c>
      <c r="G39" t="s">
        <v>112</v>
      </c>
      <c r="H39" t="s">
        <v>55</v>
      </c>
      <c r="I39" t="s">
        <v>114</v>
      </c>
      <c r="J39" t="s">
        <v>98</v>
      </c>
      <c r="K39" t="s">
        <v>48</v>
      </c>
      <c r="L39">
        <v>3</v>
      </c>
      <c r="N39">
        <v>3</v>
      </c>
      <c r="O39" t="s">
        <v>126</v>
      </c>
      <c r="P39" t="s">
        <v>84</v>
      </c>
      <c r="Q39" t="s">
        <v>90</v>
      </c>
      <c r="R39" t="s">
        <v>129</v>
      </c>
      <c r="S39" t="s">
        <v>45</v>
      </c>
      <c r="T39">
        <v>3</v>
      </c>
      <c r="V39">
        <v>3</v>
      </c>
      <c r="W39" t="s">
        <v>86</v>
      </c>
      <c r="X39" t="s">
        <v>76</v>
      </c>
      <c r="Y39" t="s">
        <v>102</v>
      </c>
      <c r="Z39" t="s">
        <v>144</v>
      </c>
      <c r="AA39" t="s">
        <v>38</v>
      </c>
      <c r="AB39">
        <v>3</v>
      </c>
      <c r="AC39">
        <v>3</v>
      </c>
      <c r="AD39">
        <v>1</v>
      </c>
      <c r="AE39" t="s">
        <v>39</v>
      </c>
      <c r="AF39" t="s">
        <v>40</v>
      </c>
      <c r="AG39" t="s">
        <v>154</v>
      </c>
      <c r="AH39" t="s">
        <v>42</v>
      </c>
      <c r="AI39">
        <v>0</v>
      </c>
      <c r="AJ39">
        <v>35</v>
      </c>
    </row>
    <row r="40" spans="1:36" x14ac:dyDescent="0.25">
      <c r="A40" t="s">
        <v>1296</v>
      </c>
      <c r="B40">
        <v>38</v>
      </c>
      <c r="C40" t="s">
        <v>45</v>
      </c>
      <c r="D40">
        <v>3</v>
      </c>
      <c r="F40">
        <v>1</v>
      </c>
      <c r="G40" t="s">
        <v>47</v>
      </c>
      <c r="K40" t="s">
        <v>227</v>
      </c>
      <c r="L40">
        <v>2</v>
      </c>
      <c r="M40">
        <v>1</v>
      </c>
      <c r="N40">
        <v>2</v>
      </c>
      <c r="O40" t="s">
        <v>228</v>
      </c>
      <c r="P40" t="s">
        <v>231</v>
      </c>
      <c r="Q40" t="s">
        <v>234</v>
      </c>
      <c r="R40" t="s">
        <v>238</v>
      </c>
      <c r="S40" t="s">
        <v>53</v>
      </c>
      <c r="T40">
        <v>2</v>
      </c>
      <c r="U40">
        <v>1</v>
      </c>
      <c r="V40">
        <v>2</v>
      </c>
      <c r="W40" t="s">
        <v>112</v>
      </c>
      <c r="X40" t="s">
        <v>83</v>
      </c>
      <c r="Y40" t="s">
        <v>105</v>
      </c>
      <c r="Z40" t="s">
        <v>98</v>
      </c>
      <c r="AA40" t="s">
        <v>48</v>
      </c>
      <c r="AB40">
        <v>1</v>
      </c>
      <c r="AD40">
        <v>1</v>
      </c>
      <c r="AE40" t="s">
        <v>126</v>
      </c>
      <c r="AF40" t="s">
        <v>50</v>
      </c>
      <c r="AI40">
        <v>0</v>
      </c>
      <c r="AJ40">
        <v>18</v>
      </c>
    </row>
    <row r="41" spans="1:36" x14ac:dyDescent="0.25">
      <c r="A41" t="s">
        <v>1539</v>
      </c>
      <c r="B41">
        <v>39</v>
      </c>
      <c r="C41" t="s">
        <v>53</v>
      </c>
      <c r="D41">
        <v>3</v>
      </c>
      <c r="E41">
        <v>3</v>
      </c>
      <c r="F41">
        <v>2</v>
      </c>
      <c r="G41" t="s">
        <v>112</v>
      </c>
      <c r="H41" t="s">
        <v>83</v>
      </c>
      <c r="I41" t="s">
        <v>114</v>
      </c>
      <c r="J41" t="s">
        <v>116</v>
      </c>
      <c r="K41" t="s">
        <v>48</v>
      </c>
      <c r="L41">
        <v>3</v>
      </c>
      <c r="N41">
        <v>3</v>
      </c>
      <c r="O41" t="s">
        <v>49</v>
      </c>
      <c r="P41" t="s">
        <v>71</v>
      </c>
      <c r="Q41" t="s">
        <v>51</v>
      </c>
      <c r="R41" t="s">
        <v>129</v>
      </c>
      <c r="S41" t="s">
        <v>63</v>
      </c>
      <c r="T41">
        <v>2</v>
      </c>
      <c r="V41">
        <v>1</v>
      </c>
      <c r="W41" t="s">
        <v>145</v>
      </c>
      <c r="X41" t="s">
        <v>91</v>
      </c>
      <c r="Y41" t="s">
        <v>147</v>
      </c>
      <c r="AA41" t="s">
        <v>38</v>
      </c>
      <c r="AB41">
        <v>3</v>
      </c>
      <c r="AC41">
        <v>2</v>
      </c>
      <c r="AD41">
        <v>3</v>
      </c>
      <c r="AE41" t="s">
        <v>39</v>
      </c>
      <c r="AF41" t="s">
        <v>40</v>
      </c>
      <c r="AG41" t="s">
        <v>153</v>
      </c>
      <c r="AH41" t="s">
        <v>155</v>
      </c>
      <c r="AI41">
        <v>0</v>
      </c>
      <c r="AJ41">
        <v>31</v>
      </c>
    </row>
    <row r="42" spans="1:36" x14ac:dyDescent="0.25">
      <c r="A42" t="s">
        <v>1540</v>
      </c>
      <c r="B42">
        <v>40</v>
      </c>
      <c r="C42" t="s">
        <v>53</v>
      </c>
      <c r="D42">
        <v>3</v>
      </c>
      <c r="E42">
        <v>3</v>
      </c>
      <c r="F42">
        <v>1</v>
      </c>
      <c r="G42" t="s">
        <v>112</v>
      </c>
      <c r="H42" t="s">
        <v>83</v>
      </c>
      <c r="I42" t="s">
        <v>97</v>
      </c>
      <c r="J42" t="s">
        <v>116</v>
      </c>
      <c r="K42" t="s">
        <v>48</v>
      </c>
      <c r="L42">
        <v>3</v>
      </c>
      <c r="N42">
        <v>3</v>
      </c>
      <c r="O42" t="s">
        <v>126</v>
      </c>
      <c r="P42" t="s">
        <v>50</v>
      </c>
      <c r="Q42" t="s">
        <v>127</v>
      </c>
      <c r="R42" t="s">
        <v>52</v>
      </c>
      <c r="S42" t="s">
        <v>63</v>
      </c>
      <c r="T42">
        <v>1</v>
      </c>
      <c r="V42">
        <v>1</v>
      </c>
      <c r="W42" t="s">
        <v>103</v>
      </c>
      <c r="X42" t="s">
        <v>91</v>
      </c>
      <c r="Y42" t="s">
        <v>148</v>
      </c>
      <c r="AA42" t="s">
        <v>227</v>
      </c>
      <c r="AB42">
        <v>3</v>
      </c>
      <c r="AC42">
        <v>2</v>
      </c>
      <c r="AD42">
        <v>3</v>
      </c>
      <c r="AE42" t="s">
        <v>229</v>
      </c>
      <c r="AF42" t="s">
        <v>231</v>
      </c>
      <c r="AG42" t="s">
        <v>234</v>
      </c>
      <c r="AH42" t="s">
        <v>238</v>
      </c>
      <c r="AI42">
        <v>0</v>
      </c>
      <c r="AJ42">
        <v>29</v>
      </c>
    </row>
    <row r="43" spans="1:36" x14ac:dyDescent="0.25">
      <c r="A43" t="s">
        <v>1541</v>
      </c>
      <c r="B43">
        <v>41</v>
      </c>
      <c r="C43" t="s">
        <v>53</v>
      </c>
      <c r="D43">
        <v>2</v>
      </c>
      <c r="E43">
        <v>1</v>
      </c>
      <c r="F43">
        <v>2</v>
      </c>
      <c r="G43" t="s">
        <v>112</v>
      </c>
      <c r="H43" t="s">
        <v>83</v>
      </c>
      <c r="I43" t="s">
        <v>97</v>
      </c>
      <c r="J43" t="s">
        <v>115</v>
      </c>
      <c r="K43" t="s">
        <v>48</v>
      </c>
      <c r="L43">
        <v>1</v>
      </c>
      <c r="N43">
        <v>2</v>
      </c>
      <c r="O43" t="s">
        <v>89</v>
      </c>
      <c r="P43" t="s">
        <v>71</v>
      </c>
      <c r="Q43" t="s">
        <v>51</v>
      </c>
      <c r="R43" t="s">
        <v>52</v>
      </c>
      <c r="S43" t="s">
        <v>38</v>
      </c>
      <c r="T43">
        <v>1</v>
      </c>
      <c r="U43">
        <v>2</v>
      </c>
      <c r="V43">
        <v>2</v>
      </c>
      <c r="W43" t="s">
        <v>39</v>
      </c>
      <c r="X43" t="s">
        <v>40</v>
      </c>
      <c r="Y43" t="s">
        <v>153</v>
      </c>
      <c r="Z43" t="s">
        <v>155</v>
      </c>
      <c r="AA43" t="s">
        <v>227</v>
      </c>
      <c r="AB43">
        <v>3</v>
      </c>
      <c r="AC43">
        <v>1</v>
      </c>
      <c r="AD43">
        <v>1</v>
      </c>
      <c r="AE43" t="s">
        <v>228</v>
      </c>
      <c r="AF43" t="s">
        <v>233</v>
      </c>
      <c r="AI43">
        <v>0</v>
      </c>
      <c r="AJ43">
        <v>21</v>
      </c>
    </row>
    <row r="44" spans="1:36" x14ac:dyDescent="0.25">
      <c r="A44" t="s">
        <v>1297</v>
      </c>
      <c r="B44">
        <v>42</v>
      </c>
      <c r="C44" t="s">
        <v>56</v>
      </c>
      <c r="D44">
        <v>3</v>
      </c>
      <c r="F44">
        <v>1</v>
      </c>
      <c r="G44" t="s">
        <v>120</v>
      </c>
      <c r="H44" t="s">
        <v>69</v>
      </c>
      <c r="I44" t="s">
        <v>87</v>
      </c>
      <c r="K44" t="s">
        <v>48</v>
      </c>
      <c r="L44">
        <v>1</v>
      </c>
      <c r="N44">
        <v>1</v>
      </c>
      <c r="O44" t="s">
        <v>126</v>
      </c>
      <c r="P44" t="s">
        <v>50</v>
      </c>
      <c r="Q44" t="s">
        <v>127</v>
      </c>
      <c r="R44" t="s">
        <v>129</v>
      </c>
      <c r="S44" t="s">
        <v>53</v>
      </c>
      <c r="T44">
        <v>3</v>
      </c>
      <c r="U44">
        <v>1</v>
      </c>
      <c r="V44">
        <v>2</v>
      </c>
      <c r="W44" t="s">
        <v>112</v>
      </c>
      <c r="AA44" t="s">
        <v>33</v>
      </c>
      <c r="AB44">
        <v>2</v>
      </c>
      <c r="AD44">
        <v>1</v>
      </c>
      <c r="AE44" t="s">
        <v>34</v>
      </c>
      <c r="AF44" t="s">
        <v>130</v>
      </c>
      <c r="AG44" t="s">
        <v>132</v>
      </c>
      <c r="AH44" t="s">
        <v>133</v>
      </c>
      <c r="AI44">
        <v>0</v>
      </c>
      <c r="AJ44">
        <v>19</v>
      </c>
    </row>
    <row r="45" spans="1:36" x14ac:dyDescent="0.25">
      <c r="A45" t="s">
        <v>1542</v>
      </c>
      <c r="B45">
        <v>43</v>
      </c>
      <c r="C45" t="s">
        <v>56</v>
      </c>
      <c r="D45">
        <v>3</v>
      </c>
      <c r="F45">
        <v>1</v>
      </c>
      <c r="G45" t="s">
        <v>57</v>
      </c>
      <c r="H45" t="s">
        <v>121</v>
      </c>
      <c r="I45" t="s">
        <v>85</v>
      </c>
      <c r="J45" t="s">
        <v>124</v>
      </c>
      <c r="K45" t="s">
        <v>43</v>
      </c>
      <c r="L45">
        <v>3</v>
      </c>
      <c r="N45">
        <v>2</v>
      </c>
      <c r="O45" t="s">
        <v>44</v>
      </c>
      <c r="P45" t="s">
        <v>99</v>
      </c>
      <c r="Q45" t="s">
        <v>75</v>
      </c>
      <c r="S45" t="s">
        <v>53</v>
      </c>
      <c r="T45">
        <v>2</v>
      </c>
      <c r="U45">
        <v>3</v>
      </c>
      <c r="V45">
        <v>3</v>
      </c>
      <c r="W45" t="s">
        <v>112</v>
      </c>
      <c r="AA45" t="s">
        <v>33</v>
      </c>
      <c r="AB45">
        <v>1</v>
      </c>
      <c r="AD45">
        <v>2</v>
      </c>
      <c r="AE45" t="s">
        <v>34</v>
      </c>
      <c r="AI45">
        <v>0</v>
      </c>
      <c r="AJ45">
        <v>21</v>
      </c>
    </row>
    <row r="46" spans="1:36" x14ac:dyDescent="0.25">
      <c r="A46" t="s">
        <v>1298</v>
      </c>
      <c r="B46">
        <v>44</v>
      </c>
      <c r="C46" t="s">
        <v>56</v>
      </c>
      <c r="D46">
        <v>3</v>
      </c>
      <c r="F46">
        <v>2</v>
      </c>
      <c r="G46" t="s">
        <v>120</v>
      </c>
      <c r="H46" t="s">
        <v>69</v>
      </c>
      <c r="I46" t="s">
        <v>87</v>
      </c>
      <c r="J46" t="s">
        <v>124</v>
      </c>
      <c r="K46" t="s">
        <v>45</v>
      </c>
      <c r="L46">
        <v>3</v>
      </c>
      <c r="N46">
        <v>3</v>
      </c>
      <c r="O46" t="s">
        <v>86</v>
      </c>
      <c r="P46" t="s">
        <v>141</v>
      </c>
      <c r="Q46" t="s">
        <v>93</v>
      </c>
      <c r="R46" t="s">
        <v>94</v>
      </c>
      <c r="S46" t="s">
        <v>53</v>
      </c>
      <c r="T46">
        <v>2</v>
      </c>
      <c r="U46">
        <v>3</v>
      </c>
      <c r="V46">
        <v>3</v>
      </c>
      <c r="W46" t="s">
        <v>112</v>
      </c>
      <c r="X46" t="s">
        <v>55</v>
      </c>
      <c r="Y46" t="s">
        <v>97</v>
      </c>
      <c r="AA46" t="s">
        <v>33</v>
      </c>
      <c r="AB46">
        <v>1</v>
      </c>
      <c r="AD46">
        <v>2</v>
      </c>
      <c r="AE46" t="s">
        <v>46</v>
      </c>
      <c r="AI46">
        <v>0</v>
      </c>
      <c r="AJ46">
        <v>26</v>
      </c>
    </row>
    <row r="47" spans="1:36" x14ac:dyDescent="0.25">
      <c r="A47" t="s">
        <v>1299</v>
      </c>
      <c r="B47">
        <v>45</v>
      </c>
      <c r="C47" t="s">
        <v>53</v>
      </c>
      <c r="D47">
        <v>2</v>
      </c>
      <c r="E47">
        <v>2</v>
      </c>
      <c r="F47">
        <v>2</v>
      </c>
      <c r="G47" t="s">
        <v>112</v>
      </c>
      <c r="H47" t="s">
        <v>113</v>
      </c>
      <c r="I47" t="s">
        <v>114</v>
      </c>
      <c r="J47" t="s">
        <v>116</v>
      </c>
      <c r="K47" t="s">
        <v>33</v>
      </c>
      <c r="L47">
        <v>2</v>
      </c>
      <c r="N47">
        <v>3</v>
      </c>
      <c r="O47" t="s">
        <v>34</v>
      </c>
      <c r="P47" t="s">
        <v>35</v>
      </c>
      <c r="Q47" t="s">
        <v>132</v>
      </c>
      <c r="R47" t="s">
        <v>133</v>
      </c>
      <c r="S47" t="s">
        <v>56</v>
      </c>
      <c r="T47">
        <v>2</v>
      </c>
      <c r="V47">
        <v>1</v>
      </c>
      <c r="W47" t="s">
        <v>57</v>
      </c>
      <c r="AA47" t="s">
        <v>63</v>
      </c>
      <c r="AB47">
        <v>3</v>
      </c>
      <c r="AD47">
        <v>2</v>
      </c>
      <c r="AE47" t="s">
        <v>103</v>
      </c>
      <c r="AF47" t="s">
        <v>91</v>
      </c>
      <c r="AG47" t="s">
        <v>147</v>
      </c>
      <c r="AH47" t="s">
        <v>151</v>
      </c>
      <c r="AI47">
        <v>0</v>
      </c>
      <c r="AJ47">
        <v>24</v>
      </c>
    </row>
    <row r="48" spans="1:36" x14ac:dyDescent="0.25">
      <c r="A48" t="s">
        <v>1543</v>
      </c>
      <c r="B48">
        <v>46</v>
      </c>
      <c r="C48" t="s">
        <v>53</v>
      </c>
      <c r="D48">
        <v>3</v>
      </c>
      <c r="E48">
        <v>3</v>
      </c>
      <c r="F48">
        <v>3</v>
      </c>
      <c r="G48" t="s">
        <v>112</v>
      </c>
      <c r="H48" t="s">
        <v>113</v>
      </c>
      <c r="I48" t="s">
        <v>97</v>
      </c>
      <c r="J48" t="s">
        <v>115</v>
      </c>
      <c r="K48" t="s">
        <v>33</v>
      </c>
      <c r="L48">
        <v>2</v>
      </c>
      <c r="N48">
        <v>2</v>
      </c>
      <c r="O48" t="s">
        <v>46</v>
      </c>
      <c r="P48" t="s">
        <v>66</v>
      </c>
      <c r="Q48" t="s">
        <v>131</v>
      </c>
      <c r="R48" t="s">
        <v>133</v>
      </c>
      <c r="S48" t="s">
        <v>56</v>
      </c>
      <c r="T48">
        <v>3</v>
      </c>
      <c r="V48">
        <v>3</v>
      </c>
      <c r="W48" t="s">
        <v>120</v>
      </c>
      <c r="X48" t="s">
        <v>69</v>
      </c>
      <c r="Y48" t="s">
        <v>123</v>
      </c>
      <c r="Z48" t="s">
        <v>125</v>
      </c>
      <c r="AA48" t="s">
        <v>38</v>
      </c>
      <c r="AB48">
        <v>1</v>
      </c>
      <c r="AC48">
        <v>1</v>
      </c>
      <c r="AD48">
        <v>2</v>
      </c>
      <c r="AE48" t="s">
        <v>39</v>
      </c>
      <c r="AF48" t="s">
        <v>40</v>
      </c>
      <c r="AG48" t="s">
        <v>153</v>
      </c>
      <c r="AH48" t="s">
        <v>156</v>
      </c>
      <c r="AI48">
        <v>0</v>
      </c>
      <c r="AJ48">
        <v>36</v>
      </c>
    </row>
    <row r="49" spans="1:36" x14ac:dyDescent="0.25">
      <c r="A49" t="s">
        <v>1300</v>
      </c>
      <c r="B49">
        <v>47</v>
      </c>
      <c r="C49" t="s">
        <v>56</v>
      </c>
      <c r="D49">
        <v>3</v>
      </c>
      <c r="F49">
        <v>1</v>
      </c>
      <c r="G49" t="s">
        <v>57</v>
      </c>
      <c r="H49" t="s">
        <v>122</v>
      </c>
      <c r="I49" t="s">
        <v>123</v>
      </c>
      <c r="K49" t="s">
        <v>227</v>
      </c>
      <c r="L49">
        <v>1</v>
      </c>
      <c r="M49">
        <v>1</v>
      </c>
      <c r="N49">
        <v>2</v>
      </c>
      <c r="O49" t="s">
        <v>228</v>
      </c>
      <c r="S49" t="s">
        <v>53</v>
      </c>
      <c r="T49">
        <v>1</v>
      </c>
      <c r="U49">
        <v>1</v>
      </c>
      <c r="V49">
        <v>2</v>
      </c>
      <c r="W49" t="s">
        <v>112</v>
      </c>
      <c r="X49" t="s">
        <v>113</v>
      </c>
      <c r="AA49" t="s">
        <v>33</v>
      </c>
      <c r="AB49">
        <v>3</v>
      </c>
      <c r="AD49">
        <v>3</v>
      </c>
      <c r="AE49" t="s">
        <v>46</v>
      </c>
      <c r="AI49">
        <v>0</v>
      </c>
      <c r="AJ49">
        <v>15</v>
      </c>
    </row>
    <row r="50" spans="1:36" x14ac:dyDescent="0.25">
      <c r="A50" s="39" t="s">
        <v>1544</v>
      </c>
      <c r="B50">
        <v>48</v>
      </c>
      <c r="C50" t="s">
        <v>53</v>
      </c>
      <c r="D50">
        <v>3</v>
      </c>
      <c r="E50">
        <v>3</v>
      </c>
      <c r="F50">
        <v>3</v>
      </c>
      <c r="G50" t="s">
        <v>112</v>
      </c>
      <c r="H50" t="s">
        <v>113</v>
      </c>
      <c r="I50" t="s">
        <v>114</v>
      </c>
      <c r="J50" t="s">
        <v>116</v>
      </c>
      <c r="K50" t="s">
        <v>33</v>
      </c>
      <c r="L50">
        <v>3</v>
      </c>
      <c r="N50">
        <v>3</v>
      </c>
      <c r="O50" t="s">
        <v>34</v>
      </c>
      <c r="P50" t="s">
        <v>130</v>
      </c>
      <c r="Q50" t="s">
        <v>36</v>
      </c>
      <c r="R50" t="s">
        <v>133</v>
      </c>
      <c r="S50" t="s">
        <v>48</v>
      </c>
      <c r="T50">
        <v>3</v>
      </c>
      <c r="V50">
        <v>3</v>
      </c>
      <c r="W50" t="s">
        <v>126</v>
      </c>
      <c r="X50" t="s">
        <v>50</v>
      </c>
      <c r="Y50" t="s">
        <v>127</v>
      </c>
      <c r="Z50" t="s">
        <v>129</v>
      </c>
      <c r="AA50" t="s">
        <v>43</v>
      </c>
      <c r="AB50">
        <v>2</v>
      </c>
      <c r="AD50">
        <v>1</v>
      </c>
      <c r="AE50" t="s">
        <v>135</v>
      </c>
      <c r="AI50">
        <v>0</v>
      </c>
      <c r="AJ50">
        <v>33</v>
      </c>
    </row>
    <row r="51" spans="1:36" x14ac:dyDescent="0.25">
      <c r="A51" t="s">
        <v>1301</v>
      </c>
      <c r="B51">
        <v>49</v>
      </c>
      <c r="C51" t="s">
        <v>48</v>
      </c>
      <c r="D51">
        <v>3</v>
      </c>
      <c r="F51">
        <v>3</v>
      </c>
      <c r="G51" t="s">
        <v>89</v>
      </c>
      <c r="H51" t="s">
        <v>84</v>
      </c>
      <c r="I51" t="s">
        <v>127</v>
      </c>
      <c r="J51" t="s">
        <v>52</v>
      </c>
      <c r="K51" t="s">
        <v>45</v>
      </c>
      <c r="L51">
        <v>3</v>
      </c>
      <c r="N51">
        <v>3</v>
      </c>
      <c r="O51" t="s">
        <v>140</v>
      </c>
      <c r="P51" t="s">
        <v>141</v>
      </c>
      <c r="Q51" t="s">
        <v>93</v>
      </c>
      <c r="R51" t="s">
        <v>94</v>
      </c>
      <c r="S51" t="s">
        <v>53</v>
      </c>
      <c r="T51">
        <v>3</v>
      </c>
      <c r="U51">
        <v>3</v>
      </c>
      <c r="V51">
        <v>3</v>
      </c>
      <c r="W51" t="s">
        <v>112</v>
      </c>
      <c r="X51" t="s">
        <v>83</v>
      </c>
      <c r="Y51" t="s">
        <v>114</v>
      </c>
      <c r="Z51" t="s">
        <v>98</v>
      </c>
      <c r="AA51" t="s">
        <v>33</v>
      </c>
      <c r="AB51">
        <v>1</v>
      </c>
      <c r="AD51">
        <v>2</v>
      </c>
      <c r="AE51" t="s">
        <v>34</v>
      </c>
      <c r="AI51">
        <v>0</v>
      </c>
      <c r="AJ51">
        <v>41</v>
      </c>
    </row>
    <row r="52" spans="1:36" x14ac:dyDescent="0.25">
      <c r="A52" t="s">
        <v>1545</v>
      </c>
      <c r="B52">
        <v>50</v>
      </c>
      <c r="C52" t="s">
        <v>53</v>
      </c>
      <c r="D52">
        <v>1</v>
      </c>
      <c r="E52">
        <v>1</v>
      </c>
      <c r="F52">
        <v>3</v>
      </c>
      <c r="G52" t="s">
        <v>112</v>
      </c>
      <c r="H52" t="s">
        <v>113</v>
      </c>
      <c r="I52" t="s">
        <v>97</v>
      </c>
      <c r="K52" t="s">
        <v>33</v>
      </c>
      <c r="L52">
        <v>2</v>
      </c>
      <c r="N52">
        <v>3</v>
      </c>
      <c r="O52" t="s">
        <v>34</v>
      </c>
      <c r="P52" t="s">
        <v>35</v>
      </c>
      <c r="Q52" t="s">
        <v>132</v>
      </c>
      <c r="S52" t="s">
        <v>48</v>
      </c>
      <c r="T52">
        <v>1</v>
      </c>
      <c r="V52">
        <v>1</v>
      </c>
      <c r="W52" t="s">
        <v>89</v>
      </c>
      <c r="X52" t="s">
        <v>50</v>
      </c>
      <c r="AA52" t="s">
        <v>63</v>
      </c>
      <c r="AB52">
        <v>2</v>
      </c>
      <c r="AD52">
        <v>1</v>
      </c>
      <c r="AE52" t="s">
        <v>72</v>
      </c>
      <c r="AF52" t="s">
        <v>91</v>
      </c>
      <c r="AG52" t="s">
        <v>147</v>
      </c>
      <c r="AH52" t="s">
        <v>151</v>
      </c>
      <c r="AI52">
        <v>0</v>
      </c>
      <c r="AJ52">
        <v>18</v>
      </c>
    </row>
    <row r="53" spans="1:36" x14ac:dyDescent="0.25">
      <c r="A53" t="s">
        <v>1546</v>
      </c>
      <c r="B53">
        <v>51</v>
      </c>
      <c r="C53" t="s">
        <v>53</v>
      </c>
      <c r="D53">
        <v>3</v>
      </c>
      <c r="E53">
        <v>3</v>
      </c>
      <c r="F53">
        <v>3</v>
      </c>
      <c r="G53" t="s">
        <v>112</v>
      </c>
      <c r="H53" t="s">
        <v>55</v>
      </c>
      <c r="I53" t="s">
        <v>105</v>
      </c>
      <c r="J53" t="s">
        <v>115</v>
      </c>
      <c r="K53" t="s">
        <v>33</v>
      </c>
      <c r="L53">
        <v>1</v>
      </c>
      <c r="N53">
        <v>1</v>
      </c>
      <c r="O53" t="s">
        <v>46</v>
      </c>
      <c r="S53" t="s">
        <v>48</v>
      </c>
      <c r="T53">
        <v>3</v>
      </c>
      <c r="V53">
        <v>3</v>
      </c>
      <c r="W53" t="s">
        <v>89</v>
      </c>
      <c r="X53" t="s">
        <v>84</v>
      </c>
      <c r="Y53" t="s">
        <v>90</v>
      </c>
      <c r="Z53" t="s">
        <v>129</v>
      </c>
      <c r="AA53" t="s">
        <v>38</v>
      </c>
      <c r="AB53">
        <v>3</v>
      </c>
      <c r="AC53">
        <v>3</v>
      </c>
      <c r="AD53">
        <v>3</v>
      </c>
      <c r="AE53" t="s">
        <v>67</v>
      </c>
      <c r="AF53" t="s">
        <v>40</v>
      </c>
      <c r="AG53" t="s">
        <v>154</v>
      </c>
      <c r="AH53" t="s">
        <v>156</v>
      </c>
      <c r="AI53">
        <v>0</v>
      </c>
      <c r="AJ53">
        <v>35</v>
      </c>
    </row>
    <row r="54" spans="1:36" x14ac:dyDescent="0.25">
      <c r="A54" t="s">
        <v>1547</v>
      </c>
      <c r="B54">
        <v>52</v>
      </c>
      <c r="C54" t="s">
        <v>53</v>
      </c>
      <c r="D54">
        <v>1</v>
      </c>
      <c r="E54">
        <v>3</v>
      </c>
      <c r="F54">
        <v>3</v>
      </c>
      <c r="G54" t="s">
        <v>112</v>
      </c>
      <c r="H54" t="s">
        <v>113</v>
      </c>
      <c r="I54" t="s">
        <v>114</v>
      </c>
      <c r="K54" t="s">
        <v>33</v>
      </c>
      <c r="L54">
        <v>3</v>
      </c>
      <c r="N54">
        <v>3</v>
      </c>
      <c r="O54" t="s">
        <v>34</v>
      </c>
      <c r="P54" t="s">
        <v>35</v>
      </c>
      <c r="Q54" t="s">
        <v>132</v>
      </c>
      <c r="R54" t="s">
        <v>37</v>
      </c>
      <c r="S54" t="s">
        <v>48</v>
      </c>
      <c r="T54">
        <v>3</v>
      </c>
      <c r="V54">
        <v>2</v>
      </c>
      <c r="W54" t="s">
        <v>89</v>
      </c>
      <c r="X54" t="s">
        <v>50</v>
      </c>
      <c r="Y54" t="s">
        <v>127</v>
      </c>
      <c r="Z54" t="s">
        <v>129</v>
      </c>
      <c r="AA54" t="s">
        <v>227</v>
      </c>
      <c r="AB54">
        <v>2</v>
      </c>
      <c r="AC54">
        <v>1</v>
      </c>
      <c r="AD54">
        <v>1</v>
      </c>
      <c r="AE54" t="s">
        <v>228</v>
      </c>
      <c r="AI54">
        <v>0</v>
      </c>
      <c r="AJ54">
        <v>24</v>
      </c>
    </row>
    <row r="55" spans="1:36" x14ac:dyDescent="0.25">
      <c r="A55" s="39" t="s">
        <v>1548</v>
      </c>
      <c r="B55">
        <v>53</v>
      </c>
      <c r="C55" t="s">
        <v>53</v>
      </c>
      <c r="D55">
        <v>3</v>
      </c>
      <c r="E55">
        <v>3</v>
      </c>
      <c r="F55">
        <v>3</v>
      </c>
      <c r="G55" t="s">
        <v>112</v>
      </c>
      <c r="H55" t="s">
        <v>55</v>
      </c>
      <c r="I55" t="s">
        <v>97</v>
      </c>
      <c r="J55" t="s">
        <v>98</v>
      </c>
      <c r="K55" t="s">
        <v>33</v>
      </c>
      <c r="L55">
        <v>1</v>
      </c>
      <c r="N55">
        <v>2</v>
      </c>
      <c r="O55" t="s">
        <v>34</v>
      </c>
      <c r="S55" t="s">
        <v>43</v>
      </c>
      <c r="T55">
        <v>1</v>
      </c>
      <c r="V55">
        <v>1</v>
      </c>
      <c r="W55" t="s">
        <v>44</v>
      </c>
      <c r="X55" t="s">
        <v>99</v>
      </c>
      <c r="Y55" t="s">
        <v>75</v>
      </c>
      <c r="Z55" t="s">
        <v>101</v>
      </c>
      <c r="AA55" t="s">
        <v>45</v>
      </c>
      <c r="AB55">
        <v>3</v>
      </c>
      <c r="AD55">
        <v>3</v>
      </c>
      <c r="AE55" t="s">
        <v>140</v>
      </c>
      <c r="AF55" t="s">
        <v>141</v>
      </c>
      <c r="AG55" t="s">
        <v>102</v>
      </c>
      <c r="AH55" t="s">
        <v>143</v>
      </c>
      <c r="AI55">
        <v>0</v>
      </c>
      <c r="AJ55">
        <v>30</v>
      </c>
    </row>
    <row r="56" spans="1:36" x14ac:dyDescent="0.25">
      <c r="A56" t="s">
        <v>1302</v>
      </c>
      <c r="B56">
        <v>54</v>
      </c>
      <c r="C56" t="s">
        <v>53</v>
      </c>
      <c r="D56">
        <v>2</v>
      </c>
      <c r="E56">
        <v>1</v>
      </c>
      <c r="F56">
        <v>1</v>
      </c>
      <c r="G56" t="s">
        <v>112</v>
      </c>
      <c r="H56" t="s">
        <v>113</v>
      </c>
      <c r="I56" t="s">
        <v>114</v>
      </c>
      <c r="J56" t="s">
        <v>98</v>
      </c>
      <c r="K56" t="s">
        <v>33</v>
      </c>
      <c r="L56">
        <v>2</v>
      </c>
      <c r="N56">
        <v>2</v>
      </c>
      <c r="O56" t="s">
        <v>34</v>
      </c>
      <c r="P56" t="s">
        <v>66</v>
      </c>
      <c r="Q56" t="s">
        <v>132</v>
      </c>
      <c r="R56" t="s">
        <v>37</v>
      </c>
      <c r="S56" t="s">
        <v>43</v>
      </c>
      <c r="T56">
        <v>2</v>
      </c>
      <c r="V56">
        <v>1</v>
      </c>
      <c r="W56" t="s">
        <v>135</v>
      </c>
      <c r="X56" t="s">
        <v>136</v>
      </c>
      <c r="AA56" t="s">
        <v>63</v>
      </c>
      <c r="AB56">
        <v>2</v>
      </c>
      <c r="AD56">
        <v>1</v>
      </c>
      <c r="AE56" t="s">
        <v>72</v>
      </c>
      <c r="AF56" t="s">
        <v>91</v>
      </c>
      <c r="AG56" t="s">
        <v>148</v>
      </c>
      <c r="AH56" t="s">
        <v>149</v>
      </c>
      <c r="AI56">
        <v>0</v>
      </c>
      <c r="AJ56">
        <v>19</v>
      </c>
    </row>
    <row r="57" spans="1:36" x14ac:dyDescent="0.25">
      <c r="A57" t="s">
        <v>1549</v>
      </c>
      <c r="B57">
        <v>55</v>
      </c>
      <c r="C57" t="s">
        <v>53</v>
      </c>
      <c r="D57">
        <v>3</v>
      </c>
      <c r="E57">
        <v>3</v>
      </c>
      <c r="F57">
        <v>3</v>
      </c>
      <c r="G57" t="s">
        <v>112</v>
      </c>
      <c r="H57" t="s">
        <v>83</v>
      </c>
      <c r="I57" t="s">
        <v>97</v>
      </c>
      <c r="J57" t="s">
        <v>98</v>
      </c>
      <c r="K57" t="s">
        <v>33</v>
      </c>
      <c r="L57">
        <v>2</v>
      </c>
      <c r="N57">
        <v>2</v>
      </c>
      <c r="O57" t="s">
        <v>46</v>
      </c>
      <c r="S57" t="s">
        <v>43</v>
      </c>
      <c r="T57">
        <v>3</v>
      </c>
      <c r="V57">
        <v>3</v>
      </c>
      <c r="W57" t="s">
        <v>135</v>
      </c>
      <c r="X57" t="s">
        <v>74</v>
      </c>
      <c r="Y57" t="s">
        <v>137</v>
      </c>
      <c r="Z57" t="s">
        <v>139</v>
      </c>
      <c r="AA57" t="s">
        <v>38</v>
      </c>
      <c r="AB57">
        <v>3</v>
      </c>
      <c r="AC57">
        <v>1</v>
      </c>
      <c r="AD57">
        <v>1</v>
      </c>
      <c r="AE57" t="s">
        <v>67</v>
      </c>
      <c r="AI57">
        <v>0</v>
      </c>
      <c r="AJ57">
        <v>32</v>
      </c>
    </row>
    <row r="58" spans="1:36" x14ac:dyDescent="0.25">
      <c r="A58" t="s">
        <v>1550</v>
      </c>
      <c r="B58">
        <v>56</v>
      </c>
      <c r="C58" t="s">
        <v>53</v>
      </c>
      <c r="D58">
        <v>2</v>
      </c>
      <c r="E58">
        <v>1</v>
      </c>
      <c r="F58">
        <v>2</v>
      </c>
      <c r="G58" t="s">
        <v>112</v>
      </c>
      <c r="H58" t="s">
        <v>113</v>
      </c>
      <c r="K58" t="s">
        <v>33</v>
      </c>
      <c r="L58">
        <v>2</v>
      </c>
      <c r="N58">
        <v>3</v>
      </c>
      <c r="O58" t="s">
        <v>34</v>
      </c>
      <c r="S58" t="s">
        <v>43</v>
      </c>
      <c r="T58">
        <v>3</v>
      </c>
      <c r="V58">
        <v>1</v>
      </c>
      <c r="W58" t="s">
        <v>135</v>
      </c>
      <c r="X58" t="s">
        <v>74</v>
      </c>
      <c r="AA58" t="s">
        <v>227</v>
      </c>
      <c r="AB58">
        <v>2</v>
      </c>
      <c r="AC58">
        <v>1</v>
      </c>
      <c r="AD58">
        <v>1</v>
      </c>
      <c r="AE58" t="s">
        <v>228</v>
      </c>
      <c r="AI58">
        <v>0</v>
      </c>
      <c r="AJ58">
        <v>15</v>
      </c>
    </row>
    <row r="59" spans="1:36" x14ac:dyDescent="0.25">
      <c r="A59" t="s">
        <v>1303</v>
      </c>
      <c r="B59">
        <v>57</v>
      </c>
      <c r="C59" t="s">
        <v>45</v>
      </c>
      <c r="D59">
        <v>3</v>
      </c>
      <c r="F59">
        <v>3</v>
      </c>
      <c r="G59" t="s">
        <v>140</v>
      </c>
      <c r="H59" t="s">
        <v>76</v>
      </c>
      <c r="I59" t="s">
        <v>102</v>
      </c>
      <c r="J59" t="s">
        <v>144</v>
      </c>
      <c r="K59" t="s">
        <v>63</v>
      </c>
      <c r="L59">
        <v>3</v>
      </c>
      <c r="N59">
        <v>2</v>
      </c>
      <c r="O59" t="s">
        <v>145</v>
      </c>
      <c r="P59" t="s">
        <v>95</v>
      </c>
      <c r="Q59" t="s">
        <v>148</v>
      </c>
      <c r="R59" t="s">
        <v>150</v>
      </c>
      <c r="S59" t="s">
        <v>53</v>
      </c>
      <c r="T59">
        <v>1</v>
      </c>
      <c r="U59">
        <v>3</v>
      </c>
      <c r="V59">
        <v>3</v>
      </c>
      <c r="W59" t="s">
        <v>112</v>
      </c>
      <c r="X59" t="s">
        <v>55</v>
      </c>
      <c r="Y59" t="s">
        <v>97</v>
      </c>
      <c r="Z59" t="s">
        <v>115</v>
      </c>
      <c r="AA59" t="s">
        <v>33</v>
      </c>
      <c r="AB59">
        <v>1</v>
      </c>
      <c r="AD59">
        <v>2</v>
      </c>
      <c r="AE59" t="s">
        <v>34</v>
      </c>
      <c r="AI59">
        <v>0</v>
      </c>
      <c r="AJ59">
        <v>27</v>
      </c>
    </row>
    <row r="60" spans="1:36" x14ac:dyDescent="0.25">
      <c r="A60" t="s">
        <v>1304</v>
      </c>
      <c r="B60">
        <v>58</v>
      </c>
      <c r="C60" t="s">
        <v>53</v>
      </c>
      <c r="D60">
        <v>3</v>
      </c>
      <c r="E60">
        <v>3</v>
      </c>
      <c r="F60">
        <v>3</v>
      </c>
      <c r="G60" t="s">
        <v>112</v>
      </c>
      <c r="H60" t="s">
        <v>83</v>
      </c>
      <c r="I60" t="s">
        <v>114</v>
      </c>
      <c r="J60" t="s">
        <v>98</v>
      </c>
      <c r="K60" t="s">
        <v>33</v>
      </c>
      <c r="L60">
        <v>1</v>
      </c>
      <c r="N60">
        <v>2</v>
      </c>
      <c r="O60" t="s">
        <v>65</v>
      </c>
      <c r="S60" t="s">
        <v>45</v>
      </c>
      <c r="T60">
        <v>3</v>
      </c>
      <c r="V60">
        <v>3</v>
      </c>
      <c r="W60" t="s">
        <v>86</v>
      </c>
      <c r="X60" t="s">
        <v>76</v>
      </c>
      <c r="Y60" t="s">
        <v>93</v>
      </c>
      <c r="Z60" t="s">
        <v>94</v>
      </c>
      <c r="AA60" t="s">
        <v>38</v>
      </c>
      <c r="AB60">
        <v>3</v>
      </c>
      <c r="AC60">
        <v>3</v>
      </c>
      <c r="AD60">
        <v>3</v>
      </c>
      <c r="AE60" t="s">
        <v>39</v>
      </c>
      <c r="AF60" t="s">
        <v>40</v>
      </c>
      <c r="AG60" t="s">
        <v>153</v>
      </c>
      <c r="AH60" t="s">
        <v>42</v>
      </c>
      <c r="AI60">
        <v>0</v>
      </c>
      <c r="AJ60">
        <v>38</v>
      </c>
    </row>
    <row r="61" spans="1:36" x14ac:dyDescent="0.25">
      <c r="A61" t="s">
        <v>1305</v>
      </c>
      <c r="B61">
        <v>59</v>
      </c>
      <c r="C61" t="s">
        <v>45</v>
      </c>
      <c r="D61">
        <v>3</v>
      </c>
      <c r="F61">
        <v>1</v>
      </c>
      <c r="G61" t="s">
        <v>140</v>
      </c>
      <c r="H61" t="s">
        <v>141</v>
      </c>
      <c r="K61" t="s">
        <v>227</v>
      </c>
      <c r="L61">
        <v>2</v>
      </c>
      <c r="M61">
        <v>1</v>
      </c>
      <c r="N61">
        <v>1</v>
      </c>
      <c r="O61" t="s">
        <v>228</v>
      </c>
      <c r="P61" t="s">
        <v>231</v>
      </c>
      <c r="Q61" t="s">
        <v>234</v>
      </c>
      <c r="S61" t="s">
        <v>53</v>
      </c>
      <c r="T61">
        <v>1</v>
      </c>
      <c r="U61">
        <v>3</v>
      </c>
      <c r="V61">
        <v>1</v>
      </c>
      <c r="W61" t="s">
        <v>112</v>
      </c>
      <c r="AA61" t="s">
        <v>33</v>
      </c>
      <c r="AB61">
        <v>1</v>
      </c>
      <c r="AD61">
        <v>2</v>
      </c>
      <c r="AE61" t="s">
        <v>34</v>
      </c>
      <c r="AF61" t="s">
        <v>35</v>
      </c>
      <c r="AI61">
        <v>0</v>
      </c>
      <c r="AJ61">
        <v>14</v>
      </c>
    </row>
    <row r="62" spans="1:36" x14ac:dyDescent="0.25">
      <c r="A62" t="s">
        <v>1551</v>
      </c>
      <c r="B62">
        <v>60</v>
      </c>
      <c r="C62" t="s">
        <v>63</v>
      </c>
      <c r="D62">
        <v>1</v>
      </c>
      <c r="F62">
        <v>2</v>
      </c>
      <c r="G62" t="s">
        <v>145</v>
      </c>
      <c r="H62" t="s">
        <v>91</v>
      </c>
      <c r="I62" t="s">
        <v>147</v>
      </c>
      <c r="J62" t="s">
        <v>151</v>
      </c>
      <c r="K62" t="s">
        <v>38</v>
      </c>
      <c r="L62">
        <v>2</v>
      </c>
      <c r="M62">
        <v>2</v>
      </c>
      <c r="N62">
        <v>1</v>
      </c>
      <c r="O62" t="s">
        <v>152</v>
      </c>
      <c r="P62" t="s">
        <v>70</v>
      </c>
      <c r="Q62" t="s">
        <v>154</v>
      </c>
      <c r="R62" t="s">
        <v>42</v>
      </c>
      <c r="S62" t="s">
        <v>53</v>
      </c>
      <c r="T62">
        <v>2</v>
      </c>
      <c r="U62">
        <v>1</v>
      </c>
      <c r="V62">
        <v>1</v>
      </c>
      <c r="W62" t="s">
        <v>112</v>
      </c>
      <c r="X62" t="s">
        <v>83</v>
      </c>
      <c r="Y62" t="s">
        <v>97</v>
      </c>
      <c r="Z62" t="s">
        <v>115</v>
      </c>
      <c r="AA62" t="s">
        <v>33</v>
      </c>
      <c r="AB62">
        <v>1</v>
      </c>
      <c r="AD62">
        <v>1</v>
      </c>
      <c r="AE62" t="s">
        <v>46</v>
      </c>
      <c r="AI62">
        <v>0</v>
      </c>
      <c r="AJ62">
        <v>17</v>
      </c>
    </row>
    <row r="63" spans="1:36" x14ac:dyDescent="0.25">
      <c r="A63" t="s">
        <v>1552</v>
      </c>
      <c r="B63">
        <v>61</v>
      </c>
      <c r="C63" t="s">
        <v>53</v>
      </c>
      <c r="D63">
        <v>3</v>
      </c>
      <c r="E63">
        <v>3</v>
      </c>
      <c r="F63">
        <v>3</v>
      </c>
      <c r="G63" t="s">
        <v>112</v>
      </c>
      <c r="H63" t="s">
        <v>83</v>
      </c>
      <c r="I63" t="s">
        <v>97</v>
      </c>
      <c r="J63" t="s">
        <v>115</v>
      </c>
      <c r="K63" t="s">
        <v>33</v>
      </c>
      <c r="L63">
        <v>2</v>
      </c>
      <c r="N63">
        <v>2</v>
      </c>
      <c r="O63" t="s">
        <v>34</v>
      </c>
      <c r="S63" t="s">
        <v>63</v>
      </c>
      <c r="T63">
        <v>3</v>
      </c>
      <c r="V63">
        <v>3</v>
      </c>
      <c r="W63" t="s">
        <v>72</v>
      </c>
      <c r="X63" t="s">
        <v>95</v>
      </c>
      <c r="Y63" t="s">
        <v>147</v>
      </c>
      <c r="Z63" t="s">
        <v>150</v>
      </c>
      <c r="AA63" t="s">
        <v>227</v>
      </c>
      <c r="AB63">
        <v>2</v>
      </c>
      <c r="AC63">
        <v>1</v>
      </c>
      <c r="AD63">
        <v>1</v>
      </c>
      <c r="AE63" t="s">
        <v>228</v>
      </c>
      <c r="AI63">
        <v>0</v>
      </c>
      <c r="AJ63">
        <v>26</v>
      </c>
    </row>
    <row r="64" spans="1:36" x14ac:dyDescent="0.25">
      <c r="A64" t="s">
        <v>1306</v>
      </c>
      <c r="B64">
        <v>62</v>
      </c>
      <c r="C64" t="s">
        <v>38</v>
      </c>
      <c r="D64">
        <v>3</v>
      </c>
      <c r="E64">
        <v>3</v>
      </c>
      <c r="F64">
        <v>3</v>
      </c>
      <c r="G64" t="s">
        <v>67</v>
      </c>
      <c r="H64" t="s">
        <v>70</v>
      </c>
      <c r="I64" t="s">
        <v>154</v>
      </c>
      <c r="J64" t="s">
        <v>156</v>
      </c>
      <c r="K64" t="s">
        <v>227</v>
      </c>
      <c r="L64">
        <v>1</v>
      </c>
      <c r="M64">
        <v>1</v>
      </c>
      <c r="N64">
        <v>2</v>
      </c>
      <c r="O64" t="s">
        <v>228</v>
      </c>
      <c r="P64" t="s">
        <v>233</v>
      </c>
      <c r="Q64" t="s">
        <v>235</v>
      </c>
      <c r="R64" t="s">
        <v>238</v>
      </c>
      <c r="S64" t="s">
        <v>53</v>
      </c>
      <c r="T64">
        <v>3</v>
      </c>
      <c r="U64">
        <v>3</v>
      </c>
      <c r="V64">
        <v>3</v>
      </c>
      <c r="W64" t="s">
        <v>112</v>
      </c>
      <c r="X64" t="s">
        <v>83</v>
      </c>
      <c r="Y64" t="s">
        <v>97</v>
      </c>
      <c r="Z64" t="s">
        <v>98</v>
      </c>
      <c r="AA64" t="s">
        <v>33</v>
      </c>
      <c r="AB64">
        <v>1</v>
      </c>
      <c r="AD64">
        <v>1</v>
      </c>
      <c r="AE64" t="s">
        <v>65</v>
      </c>
      <c r="AF64" t="s">
        <v>35</v>
      </c>
      <c r="AI64">
        <v>0</v>
      </c>
      <c r="AJ64">
        <v>45</v>
      </c>
    </row>
    <row r="65" spans="1:36" x14ac:dyDescent="0.25">
      <c r="A65" t="s">
        <v>1307</v>
      </c>
      <c r="B65">
        <v>63</v>
      </c>
      <c r="C65" t="s">
        <v>56</v>
      </c>
      <c r="D65">
        <v>3</v>
      </c>
      <c r="F65">
        <v>3</v>
      </c>
      <c r="G65" t="s">
        <v>120</v>
      </c>
      <c r="H65" t="s">
        <v>122</v>
      </c>
      <c r="I65" t="s">
        <v>85</v>
      </c>
      <c r="J65" t="s">
        <v>124</v>
      </c>
      <c r="K65" t="s">
        <v>48</v>
      </c>
      <c r="L65">
        <v>3</v>
      </c>
      <c r="N65">
        <v>3</v>
      </c>
      <c r="O65" t="s">
        <v>126</v>
      </c>
      <c r="P65" t="s">
        <v>84</v>
      </c>
      <c r="Q65" t="s">
        <v>90</v>
      </c>
      <c r="R65" t="s">
        <v>129</v>
      </c>
      <c r="S65" t="s">
        <v>53</v>
      </c>
      <c r="T65">
        <v>3</v>
      </c>
      <c r="U65">
        <v>3</v>
      </c>
      <c r="V65">
        <v>3</v>
      </c>
      <c r="W65" t="s">
        <v>112</v>
      </c>
      <c r="X65" t="s">
        <v>55</v>
      </c>
      <c r="Y65" t="s">
        <v>97</v>
      </c>
      <c r="Z65" t="s">
        <v>115</v>
      </c>
      <c r="AA65" t="s">
        <v>43</v>
      </c>
      <c r="AB65">
        <v>2</v>
      </c>
      <c r="AD65">
        <v>1</v>
      </c>
      <c r="AE65" t="s">
        <v>73</v>
      </c>
      <c r="AF65" t="s">
        <v>74</v>
      </c>
      <c r="AG65" t="s">
        <v>137</v>
      </c>
      <c r="AH65" t="s">
        <v>101</v>
      </c>
      <c r="AI65">
        <v>0</v>
      </c>
      <c r="AJ65">
        <v>44</v>
      </c>
    </row>
    <row r="66" spans="1:36" x14ac:dyDescent="0.25">
      <c r="A66" t="s">
        <v>1308</v>
      </c>
      <c r="B66">
        <v>64</v>
      </c>
      <c r="C66" t="s">
        <v>53</v>
      </c>
      <c r="D66">
        <v>2</v>
      </c>
      <c r="E66">
        <v>1</v>
      </c>
      <c r="F66">
        <v>1</v>
      </c>
      <c r="G66" t="s">
        <v>111</v>
      </c>
      <c r="H66" t="s">
        <v>83</v>
      </c>
      <c r="I66" t="s">
        <v>97</v>
      </c>
      <c r="K66" t="s">
        <v>43</v>
      </c>
      <c r="L66">
        <v>3</v>
      </c>
      <c r="N66">
        <v>1</v>
      </c>
      <c r="O66" t="s">
        <v>135</v>
      </c>
      <c r="P66" t="s">
        <v>99</v>
      </c>
      <c r="Q66" t="s">
        <v>137</v>
      </c>
      <c r="S66" t="s">
        <v>56</v>
      </c>
      <c r="T66">
        <v>3</v>
      </c>
      <c r="V66">
        <v>1</v>
      </c>
      <c r="W66" t="s">
        <v>120</v>
      </c>
      <c r="X66" t="s">
        <v>69</v>
      </c>
      <c r="AA66" t="s">
        <v>33</v>
      </c>
      <c r="AB66">
        <v>1</v>
      </c>
      <c r="AD66">
        <v>2</v>
      </c>
      <c r="AE66" t="s">
        <v>34</v>
      </c>
      <c r="AI66">
        <v>0</v>
      </c>
      <c r="AJ66">
        <v>15</v>
      </c>
    </row>
    <row r="67" spans="1:36" x14ac:dyDescent="0.25">
      <c r="A67" t="s">
        <v>1309</v>
      </c>
      <c r="B67">
        <v>65</v>
      </c>
      <c r="C67" t="s">
        <v>56</v>
      </c>
      <c r="D67">
        <v>3</v>
      </c>
      <c r="F67">
        <v>1</v>
      </c>
      <c r="G67" t="s">
        <v>57</v>
      </c>
      <c r="H67" t="s">
        <v>122</v>
      </c>
      <c r="I67" t="s">
        <v>85</v>
      </c>
      <c r="J67" t="s">
        <v>124</v>
      </c>
      <c r="K67" t="s">
        <v>45</v>
      </c>
      <c r="L67">
        <v>3</v>
      </c>
      <c r="N67">
        <v>1</v>
      </c>
      <c r="O67" t="s">
        <v>140</v>
      </c>
      <c r="P67" t="s">
        <v>141</v>
      </c>
      <c r="Q67" t="s">
        <v>102</v>
      </c>
      <c r="R67" t="s">
        <v>143</v>
      </c>
      <c r="S67" t="s">
        <v>53</v>
      </c>
      <c r="T67">
        <v>2</v>
      </c>
      <c r="U67">
        <v>3</v>
      </c>
      <c r="V67">
        <v>3</v>
      </c>
      <c r="W67" t="s">
        <v>112</v>
      </c>
      <c r="AA67" t="s">
        <v>43</v>
      </c>
      <c r="AB67">
        <v>1</v>
      </c>
      <c r="AD67">
        <v>1</v>
      </c>
      <c r="AE67" t="s">
        <v>73</v>
      </c>
      <c r="AI67">
        <v>0</v>
      </c>
      <c r="AJ67">
        <v>20</v>
      </c>
    </row>
    <row r="68" spans="1:36" x14ac:dyDescent="0.25">
      <c r="A68" t="s">
        <v>1310</v>
      </c>
      <c r="B68">
        <v>66</v>
      </c>
      <c r="C68" t="s">
        <v>56</v>
      </c>
      <c r="D68">
        <v>3</v>
      </c>
      <c r="F68">
        <v>3</v>
      </c>
      <c r="G68" t="s">
        <v>120</v>
      </c>
      <c r="H68" t="s">
        <v>122</v>
      </c>
      <c r="I68" t="s">
        <v>87</v>
      </c>
      <c r="J68" t="s">
        <v>125</v>
      </c>
      <c r="K68" t="s">
        <v>63</v>
      </c>
      <c r="L68">
        <v>3</v>
      </c>
      <c r="N68">
        <v>3</v>
      </c>
      <c r="O68" t="s">
        <v>145</v>
      </c>
      <c r="P68" t="s">
        <v>91</v>
      </c>
      <c r="Q68" t="s">
        <v>147</v>
      </c>
      <c r="R68" t="s">
        <v>151</v>
      </c>
      <c r="S68" t="s">
        <v>53</v>
      </c>
      <c r="T68">
        <v>2</v>
      </c>
      <c r="U68">
        <v>3</v>
      </c>
      <c r="V68">
        <v>3</v>
      </c>
      <c r="W68" t="s">
        <v>112</v>
      </c>
      <c r="X68" t="s">
        <v>83</v>
      </c>
      <c r="Y68" t="s">
        <v>97</v>
      </c>
      <c r="Z68" t="s">
        <v>115</v>
      </c>
      <c r="AA68" t="s">
        <v>43</v>
      </c>
      <c r="AB68">
        <v>1</v>
      </c>
      <c r="AD68">
        <v>1</v>
      </c>
      <c r="AE68" t="s">
        <v>73</v>
      </c>
      <c r="AF68" t="s">
        <v>74</v>
      </c>
      <c r="AG68" t="s">
        <v>75</v>
      </c>
      <c r="AI68">
        <v>0</v>
      </c>
      <c r="AJ68">
        <v>29</v>
      </c>
    </row>
    <row r="69" spans="1:36" x14ac:dyDescent="0.25">
      <c r="A69" t="s">
        <v>1311</v>
      </c>
      <c r="B69">
        <v>67</v>
      </c>
      <c r="C69" t="s">
        <v>53</v>
      </c>
      <c r="D69">
        <v>1</v>
      </c>
      <c r="E69">
        <v>1</v>
      </c>
      <c r="F69">
        <v>2</v>
      </c>
      <c r="G69" t="s">
        <v>112</v>
      </c>
      <c r="H69" t="s">
        <v>113</v>
      </c>
      <c r="I69" t="s">
        <v>97</v>
      </c>
      <c r="J69" t="s">
        <v>98</v>
      </c>
      <c r="K69" t="s">
        <v>43</v>
      </c>
      <c r="L69">
        <v>3</v>
      </c>
      <c r="N69">
        <v>3</v>
      </c>
      <c r="O69" t="s">
        <v>73</v>
      </c>
      <c r="P69" t="s">
        <v>74</v>
      </c>
      <c r="Q69" t="s">
        <v>75</v>
      </c>
      <c r="R69" t="s">
        <v>139</v>
      </c>
      <c r="S69" t="s">
        <v>56</v>
      </c>
      <c r="T69">
        <v>3</v>
      </c>
      <c r="V69">
        <v>2</v>
      </c>
      <c r="W69" t="s">
        <v>120</v>
      </c>
      <c r="X69" t="s">
        <v>69</v>
      </c>
      <c r="AA69" t="s">
        <v>38</v>
      </c>
      <c r="AB69">
        <v>3</v>
      </c>
      <c r="AC69">
        <v>3</v>
      </c>
      <c r="AD69">
        <v>3</v>
      </c>
      <c r="AE69" t="s">
        <v>39</v>
      </c>
      <c r="AF69" t="s">
        <v>70</v>
      </c>
      <c r="AG69" t="s">
        <v>153</v>
      </c>
      <c r="AH69" t="s">
        <v>156</v>
      </c>
      <c r="AI69">
        <v>0</v>
      </c>
      <c r="AJ69">
        <v>32</v>
      </c>
    </row>
    <row r="70" spans="1:36" x14ac:dyDescent="0.25">
      <c r="A70" t="s">
        <v>1312</v>
      </c>
      <c r="B70">
        <v>68</v>
      </c>
      <c r="C70" t="s">
        <v>53</v>
      </c>
      <c r="D70">
        <v>3</v>
      </c>
      <c r="E70">
        <v>3</v>
      </c>
      <c r="F70">
        <v>3</v>
      </c>
      <c r="G70" t="s">
        <v>112</v>
      </c>
      <c r="H70" t="s">
        <v>113</v>
      </c>
      <c r="I70" t="s">
        <v>97</v>
      </c>
      <c r="J70" t="s">
        <v>116</v>
      </c>
      <c r="K70" t="s">
        <v>43</v>
      </c>
      <c r="L70">
        <v>3</v>
      </c>
      <c r="N70">
        <v>3</v>
      </c>
      <c r="O70" t="s">
        <v>73</v>
      </c>
      <c r="P70" t="s">
        <v>99</v>
      </c>
      <c r="Q70" t="s">
        <v>75</v>
      </c>
      <c r="R70" t="s">
        <v>101</v>
      </c>
      <c r="S70" t="s">
        <v>56</v>
      </c>
      <c r="T70">
        <v>3</v>
      </c>
      <c r="V70">
        <v>3</v>
      </c>
      <c r="W70" t="s">
        <v>120</v>
      </c>
      <c r="X70" t="s">
        <v>69</v>
      </c>
      <c r="Y70" t="s">
        <v>87</v>
      </c>
      <c r="Z70" t="s">
        <v>124</v>
      </c>
      <c r="AA70" t="s">
        <v>227</v>
      </c>
      <c r="AB70">
        <v>1</v>
      </c>
      <c r="AC70">
        <v>1</v>
      </c>
      <c r="AD70">
        <v>2</v>
      </c>
      <c r="AE70" t="s">
        <v>228</v>
      </c>
      <c r="AF70" t="s">
        <v>231</v>
      </c>
      <c r="AI70">
        <v>0</v>
      </c>
      <c r="AJ70">
        <v>40</v>
      </c>
    </row>
    <row r="71" spans="1:36" x14ac:dyDescent="0.25">
      <c r="A71" t="s">
        <v>1313</v>
      </c>
      <c r="B71">
        <v>69</v>
      </c>
      <c r="C71" t="s">
        <v>48</v>
      </c>
      <c r="D71">
        <v>1</v>
      </c>
      <c r="F71">
        <v>1</v>
      </c>
      <c r="G71" t="s">
        <v>126</v>
      </c>
      <c r="H71" t="s">
        <v>84</v>
      </c>
      <c r="I71" t="s">
        <v>127</v>
      </c>
      <c r="J71" t="s">
        <v>129</v>
      </c>
      <c r="K71" t="s">
        <v>33</v>
      </c>
      <c r="L71">
        <v>2</v>
      </c>
      <c r="N71">
        <v>3</v>
      </c>
      <c r="O71" t="s">
        <v>34</v>
      </c>
      <c r="P71" t="s">
        <v>35</v>
      </c>
      <c r="S71" t="s">
        <v>53</v>
      </c>
      <c r="T71">
        <v>1</v>
      </c>
      <c r="U71">
        <v>1</v>
      </c>
      <c r="V71">
        <v>1</v>
      </c>
      <c r="W71" t="s">
        <v>111</v>
      </c>
      <c r="X71" t="s">
        <v>83</v>
      </c>
      <c r="Y71" t="s">
        <v>97</v>
      </c>
      <c r="AA71" t="s">
        <v>43</v>
      </c>
      <c r="AB71">
        <v>3</v>
      </c>
      <c r="AD71">
        <v>1</v>
      </c>
      <c r="AE71" t="s">
        <v>44</v>
      </c>
      <c r="AF71" t="s">
        <v>74</v>
      </c>
      <c r="AI71">
        <v>0</v>
      </c>
      <c r="AJ71">
        <v>16</v>
      </c>
    </row>
    <row r="72" spans="1:36" x14ac:dyDescent="0.25">
      <c r="A72" t="s">
        <v>1314</v>
      </c>
      <c r="B72">
        <v>70</v>
      </c>
      <c r="C72" t="s">
        <v>53</v>
      </c>
      <c r="D72">
        <v>2</v>
      </c>
      <c r="E72">
        <v>3</v>
      </c>
      <c r="F72">
        <v>3</v>
      </c>
      <c r="G72" t="s">
        <v>112</v>
      </c>
      <c r="H72" t="s">
        <v>83</v>
      </c>
      <c r="I72" t="s">
        <v>97</v>
      </c>
      <c r="J72" t="s">
        <v>98</v>
      </c>
      <c r="K72" t="s">
        <v>43</v>
      </c>
      <c r="L72">
        <v>3</v>
      </c>
      <c r="N72">
        <v>3</v>
      </c>
      <c r="O72" t="s">
        <v>44</v>
      </c>
      <c r="P72" t="s">
        <v>136</v>
      </c>
      <c r="Q72" t="s">
        <v>100</v>
      </c>
      <c r="R72" t="s">
        <v>138</v>
      </c>
      <c r="S72" t="s">
        <v>48</v>
      </c>
      <c r="T72">
        <v>1</v>
      </c>
      <c r="V72">
        <v>1</v>
      </c>
      <c r="W72" t="s">
        <v>126</v>
      </c>
      <c r="X72" t="s">
        <v>84</v>
      </c>
      <c r="Y72" t="s">
        <v>127</v>
      </c>
      <c r="Z72" t="s">
        <v>129</v>
      </c>
      <c r="AA72" t="s">
        <v>45</v>
      </c>
      <c r="AB72">
        <v>3</v>
      </c>
      <c r="AD72">
        <v>3</v>
      </c>
      <c r="AE72" t="s">
        <v>140</v>
      </c>
      <c r="AF72" t="s">
        <v>141</v>
      </c>
      <c r="AG72" t="s">
        <v>102</v>
      </c>
      <c r="AH72" t="s">
        <v>143</v>
      </c>
      <c r="AI72">
        <v>0</v>
      </c>
      <c r="AJ72">
        <v>33</v>
      </c>
    </row>
    <row r="73" spans="1:36" x14ac:dyDescent="0.25">
      <c r="A73" t="s">
        <v>1315</v>
      </c>
      <c r="B73">
        <v>71</v>
      </c>
      <c r="C73" t="s">
        <v>53</v>
      </c>
      <c r="D73">
        <v>3</v>
      </c>
      <c r="E73">
        <v>3</v>
      </c>
      <c r="F73">
        <v>3</v>
      </c>
      <c r="G73" t="s">
        <v>112</v>
      </c>
      <c r="H73" t="s">
        <v>83</v>
      </c>
      <c r="I73" t="s">
        <v>97</v>
      </c>
      <c r="J73" t="s">
        <v>115</v>
      </c>
      <c r="K73" t="s">
        <v>43</v>
      </c>
      <c r="L73">
        <v>3</v>
      </c>
      <c r="N73">
        <v>3</v>
      </c>
      <c r="O73" t="s">
        <v>44</v>
      </c>
      <c r="P73" t="s">
        <v>74</v>
      </c>
      <c r="Q73" t="s">
        <v>137</v>
      </c>
      <c r="R73" t="s">
        <v>139</v>
      </c>
      <c r="S73" t="s">
        <v>48</v>
      </c>
      <c r="T73">
        <v>3</v>
      </c>
      <c r="V73">
        <v>3</v>
      </c>
      <c r="W73" t="s">
        <v>126</v>
      </c>
      <c r="X73" t="s">
        <v>84</v>
      </c>
      <c r="Y73" t="s">
        <v>90</v>
      </c>
      <c r="Z73" t="s">
        <v>129</v>
      </c>
      <c r="AA73" t="s">
        <v>63</v>
      </c>
      <c r="AB73">
        <v>2</v>
      </c>
      <c r="AD73">
        <v>2</v>
      </c>
      <c r="AE73" t="s">
        <v>103</v>
      </c>
      <c r="AF73" t="s">
        <v>146</v>
      </c>
      <c r="AG73" t="s">
        <v>148</v>
      </c>
      <c r="AH73" t="s">
        <v>150</v>
      </c>
      <c r="AI73">
        <v>0</v>
      </c>
      <c r="AJ73">
        <v>53</v>
      </c>
    </row>
    <row r="74" spans="1:36" x14ac:dyDescent="0.25">
      <c r="A74" t="s">
        <v>1553</v>
      </c>
      <c r="B74">
        <v>72</v>
      </c>
      <c r="C74" t="s">
        <v>53</v>
      </c>
      <c r="D74">
        <v>3</v>
      </c>
      <c r="E74">
        <v>3</v>
      </c>
      <c r="F74">
        <v>3</v>
      </c>
      <c r="G74" t="s">
        <v>112</v>
      </c>
      <c r="H74" t="s">
        <v>83</v>
      </c>
      <c r="I74" t="s">
        <v>97</v>
      </c>
      <c r="J74" t="s">
        <v>116</v>
      </c>
      <c r="K74" t="s">
        <v>43</v>
      </c>
      <c r="L74">
        <v>3</v>
      </c>
      <c r="N74">
        <v>3</v>
      </c>
      <c r="O74" t="s">
        <v>73</v>
      </c>
      <c r="P74" t="s">
        <v>74</v>
      </c>
      <c r="Q74" t="s">
        <v>75</v>
      </c>
      <c r="R74" t="s">
        <v>138</v>
      </c>
      <c r="S74" t="s">
        <v>48</v>
      </c>
      <c r="T74">
        <v>3</v>
      </c>
      <c r="V74">
        <v>3</v>
      </c>
      <c r="W74" t="s">
        <v>126</v>
      </c>
      <c r="X74" t="s">
        <v>84</v>
      </c>
      <c r="Y74" t="s">
        <v>90</v>
      </c>
      <c r="Z74" t="s">
        <v>129</v>
      </c>
      <c r="AA74" t="s">
        <v>38</v>
      </c>
      <c r="AB74">
        <v>1</v>
      </c>
      <c r="AC74">
        <v>1</v>
      </c>
      <c r="AD74">
        <v>3</v>
      </c>
      <c r="AE74" t="s">
        <v>39</v>
      </c>
      <c r="AF74" t="s">
        <v>40</v>
      </c>
      <c r="AG74" t="s">
        <v>154</v>
      </c>
      <c r="AH74" t="s">
        <v>156</v>
      </c>
      <c r="AI74">
        <v>0</v>
      </c>
      <c r="AJ74">
        <v>57</v>
      </c>
    </row>
    <row r="75" spans="1:36" x14ac:dyDescent="0.25">
      <c r="A75" t="s">
        <v>1316</v>
      </c>
      <c r="B75">
        <v>73</v>
      </c>
      <c r="C75" t="s">
        <v>48</v>
      </c>
      <c r="D75">
        <v>2</v>
      </c>
      <c r="F75">
        <v>1</v>
      </c>
      <c r="G75" t="s">
        <v>126</v>
      </c>
      <c r="H75" t="s">
        <v>84</v>
      </c>
      <c r="I75" t="s">
        <v>127</v>
      </c>
      <c r="J75" t="s">
        <v>129</v>
      </c>
      <c r="K75" t="s">
        <v>227</v>
      </c>
      <c r="L75">
        <v>2</v>
      </c>
      <c r="M75">
        <v>1</v>
      </c>
      <c r="N75">
        <v>2</v>
      </c>
      <c r="O75" t="s">
        <v>229</v>
      </c>
      <c r="P75" t="s">
        <v>231</v>
      </c>
      <c r="Q75" t="s">
        <v>234</v>
      </c>
      <c r="R75" t="s">
        <v>238</v>
      </c>
      <c r="S75" t="s">
        <v>53</v>
      </c>
      <c r="T75">
        <v>3</v>
      </c>
      <c r="U75">
        <v>1</v>
      </c>
      <c r="V75">
        <v>1</v>
      </c>
      <c r="W75" t="s">
        <v>111</v>
      </c>
      <c r="X75" t="s">
        <v>83</v>
      </c>
      <c r="Y75" t="s">
        <v>105</v>
      </c>
      <c r="Z75" t="s">
        <v>98</v>
      </c>
      <c r="AA75" t="s">
        <v>43</v>
      </c>
      <c r="AB75">
        <v>2</v>
      </c>
      <c r="AD75">
        <v>1</v>
      </c>
      <c r="AE75" t="s">
        <v>73</v>
      </c>
      <c r="AF75" t="s">
        <v>74</v>
      </c>
      <c r="AI75">
        <v>0</v>
      </c>
      <c r="AJ75">
        <v>22</v>
      </c>
    </row>
    <row r="76" spans="1:36" x14ac:dyDescent="0.25">
      <c r="A76" t="s">
        <v>1554</v>
      </c>
      <c r="B76">
        <v>74</v>
      </c>
      <c r="C76" t="s">
        <v>53</v>
      </c>
      <c r="D76">
        <v>1</v>
      </c>
      <c r="E76">
        <v>3</v>
      </c>
      <c r="F76">
        <v>3</v>
      </c>
      <c r="G76" t="s">
        <v>111</v>
      </c>
      <c r="K76" t="s">
        <v>43</v>
      </c>
      <c r="L76">
        <v>3</v>
      </c>
      <c r="N76">
        <v>1</v>
      </c>
      <c r="O76" t="s">
        <v>44</v>
      </c>
      <c r="P76" t="s">
        <v>136</v>
      </c>
      <c r="Q76" t="s">
        <v>100</v>
      </c>
      <c r="S76" t="s">
        <v>33</v>
      </c>
      <c r="T76">
        <v>1</v>
      </c>
      <c r="V76">
        <v>2</v>
      </c>
      <c r="W76" t="s">
        <v>34</v>
      </c>
      <c r="AA76" t="s">
        <v>45</v>
      </c>
      <c r="AB76">
        <v>3</v>
      </c>
      <c r="AD76">
        <v>1</v>
      </c>
      <c r="AE76" t="s">
        <v>140</v>
      </c>
      <c r="AF76" t="s">
        <v>141</v>
      </c>
      <c r="AG76" t="s">
        <v>102</v>
      </c>
      <c r="AH76" t="s">
        <v>94</v>
      </c>
      <c r="AI76">
        <v>0</v>
      </c>
      <c r="AJ76">
        <v>19</v>
      </c>
    </row>
    <row r="77" spans="1:36" x14ac:dyDescent="0.25">
      <c r="A77" t="s">
        <v>1555</v>
      </c>
      <c r="B77">
        <v>75</v>
      </c>
      <c r="C77" t="s">
        <v>53</v>
      </c>
      <c r="D77">
        <v>3</v>
      </c>
      <c r="E77">
        <v>3</v>
      </c>
      <c r="F77">
        <v>3</v>
      </c>
      <c r="G77" t="s">
        <v>111</v>
      </c>
      <c r="H77" t="s">
        <v>83</v>
      </c>
      <c r="I77" t="s">
        <v>97</v>
      </c>
      <c r="J77" t="s">
        <v>116</v>
      </c>
      <c r="K77" t="s">
        <v>43</v>
      </c>
      <c r="L77">
        <v>3</v>
      </c>
      <c r="N77">
        <v>3</v>
      </c>
      <c r="O77" t="s">
        <v>135</v>
      </c>
      <c r="P77" t="s">
        <v>136</v>
      </c>
      <c r="Q77" t="s">
        <v>137</v>
      </c>
      <c r="R77" t="s">
        <v>139</v>
      </c>
      <c r="S77" t="s">
        <v>33</v>
      </c>
      <c r="T77">
        <v>1</v>
      </c>
      <c r="V77">
        <v>2</v>
      </c>
      <c r="W77" t="s">
        <v>34</v>
      </c>
      <c r="AA77" t="s">
        <v>63</v>
      </c>
      <c r="AB77">
        <v>3</v>
      </c>
      <c r="AD77">
        <v>3</v>
      </c>
      <c r="AE77" t="s">
        <v>103</v>
      </c>
      <c r="AF77" t="s">
        <v>146</v>
      </c>
      <c r="AG77" t="s">
        <v>104</v>
      </c>
      <c r="AH77" t="s">
        <v>149</v>
      </c>
      <c r="AI77">
        <v>0</v>
      </c>
      <c r="AJ77">
        <v>48</v>
      </c>
    </row>
    <row r="78" spans="1:36" x14ac:dyDescent="0.25">
      <c r="A78" t="s">
        <v>1556</v>
      </c>
      <c r="B78">
        <v>76</v>
      </c>
      <c r="C78" t="s">
        <v>53</v>
      </c>
      <c r="D78">
        <v>3</v>
      </c>
      <c r="E78">
        <v>1</v>
      </c>
      <c r="F78">
        <v>1</v>
      </c>
      <c r="G78" t="s">
        <v>111</v>
      </c>
      <c r="H78" t="s">
        <v>83</v>
      </c>
      <c r="I78" t="s">
        <v>105</v>
      </c>
      <c r="J78" t="s">
        <v>115</v>
      </c>
      <c r="K78" t="s">
        <v>43</v>
      </c>
      <c r="L78">
        <v>1</v>
      </c>
      <c r="N78">
        <v>1</v>
      </c>
      <c r="O78" t="s">
        <v>44</v>
      </c>
      <c r="S78" t="s">
        <v>33</v>
      </c>
      <c r="T78">
        <v>2</v>
      </c>
      <c r="V78">
        <v>2</v>
      </c>
      <c r="W78" t="s">
        <v>34</v>
      </c>
      <c r="X78" t="s">
        <v>130</v>
      </c>
      <c r="AA78" t="s">
        <v>38</v>
      </c>
      <c r="AB78">
        <v>1</v>
      </c>
      <c r="AC78">
        <v>1</v>
      </c>
      <c r="AD78">
        <v>2</v>
      </c>
      <c r="AE78" t="s">
        <v>39</v>
      </c>
      <c r="AF78" t="s">
        <v>96</v>
      </c>
      <c r="AG78" t="s">
        <v>154</v>
      </c>
      <c r="AH78" t="s">
        <v>155</v>
      </c>
      <c r="AI78">
        <v>0</v>
      </c>
      <c r="AJ78">
        <v>17</v>
      </c>
    </row>
    <row r="79" spans="1:36" x14ac:dyDescent="0.25">
      <c r="A79" t="s">
        <v>1317</v>
      </c>
      <c r="B79">
        <v>77</v>
      </c>
      <c r="C79" t="s">
        <v>33</v>
      </c>
      <c r="D79">
        <v>2</v>
      </c>
      <c r="F79">
        <v>2</v>
      </c>
      <c r="G79" t="s">
        <v>34</v>
      </c>
      <c r="K79" t="s">
        <v>227</v>
      </c>
      <c r="L79">
        <v>3</v>
      </c>
      <c r="M79">
        <v>1</v>
      </c>
      <c r="N79">
        <v>3</v>
      </c>
      <c r="O79" t="s">
        <v>229</v>
      </c>
      <c r="P79" t="s">
        <v>231</v>
      </c>
      <c r="Q79" t="s">
        <v>234</v>
      </c>
      <c r="S79" t="s">
        <v>53</v>
      </c>
      <c r="T79">
        <v>3</v>
      </c>
      <c r="U79">
        <v>1</v>
      </c>
      <c r="V79">
        <v>2</v>
      </c>
      <c r="W79" t="s">
        <v>111</v>
      </c>
      <c r="X79" t="s">
        <v>83</v>
      </c>
      <c r="Y79" t="s">
        <v>97</v>
      </c>
      <c r="Z79" t="s">
        <v>115</v>
      </c>
      <c r="AA79" t="s">
        <v>43</v>
      </c>
      <c r="AB79">
        <v>3</v>
      </c>
      <c r="AD79">
        <v>1</v>
      </c>
      <c r="AE79" t="s">
        <v>135</v>
      </c>
      <c r="AF79" t="s">
        <v>136</v>
      </c>
      <c r="AG79" t="s">
        <v>100</v>
      </c>
      <c r="AI79">
        <v>0</v>
      </c>
      <c r="AJ79">
        <v>23</v>
      </c>
    </row>
    <row r="80" spans="1:36" x14ac:dyDescent="0.25">
      <c r="A80" t="s">
        <v>1318</v>
      </c>
      <c r="B80">
        <v>78</v>
      </c>
      <c r="C80" t="s">
        <v>45</v>
      </c>
      <c r="D80">
        <v>3</v>
      </c>
      <c r="F80">
        <v>1</v>
      </c>
      <c r="G80" t="s">
        <v>140</v>
      </c>
      <c r="H80" t="s">
        <v>141</v>
      </c>
      <c r="I80" t="s">
        <v>102</v>
      </c>
      <c r="J80" t="s">
        <v>143</v>
      </c>
      <c r="K80" t="s">
        <v>63</v>
      </c>
      <c r="L80">
        <v>1</v>
      </c>
      <c r="N80">
        <v>2</v>
      </c>
      <c r="O80" t="s">
        <v>72</v>
      </c>
      <c r="P80" t="s">
        <v>95</v>
      </c>
      <c r="Q80" t="s">
        <v>148</v>
      </c>
      <c r="R80" t="s">
        <v>150</v>
      </c>
      <c r="S80" t="s">
        <v>53</v>
      </c>
      <c r="T80">
        <v>2</v>
      </c>
      <c r="U80">
        <v>3</v>
      </c>
      <c r="V80">
        <v>3</v>
      </c>
      <c r="W80" t="s">
        <v>112</v>
      </c>
      <c r="AA80" t="s">
        <v>43</v>
      </c>
      <c r="AB80">
        <v>1</v>
      </c>
      <c r="AD80">
        <v>1</v>
      </c>
      <c r="AE80" t="s">
        <v>73</v>
      </c>
      <c r="AF80" t="s">
        <v>136</v>
      </c>
      <c r="AI80">
        <v>0</v>
      </c>
      <c r="AJ80">
        <v>19</v>
      </c>
    </row>
    <row r="81" spans="1:36" x14ac:dyDescent="0.25">
      <c r="A81" t="s">
        <v>1319</v>
      </c>
      <c r="B81">
        <v>79</v>
      </c>
      <c r="C81" t="s">
        <v>53</v>
      </c>
      <c r="D81">
        <v>3</v>
      </c>
      <c r="E81">
        <v>3</v>
      </c>
      <c r="F81">
        <v>3</v>
      </c>
      <c r="G81" t="s">
        <v>112</v>
      </c>
      <c r="H81" t="s">
        <v>83</v>
      </c>
      <c r="I81" t="s">
        <v>97</v>
      </c>
      <c r="J81" t="s">
        <v>98</v>
      </c>
      <c r="K81" t="s">
        <v>43</v>
      </c>
      <c r="L81">
        <v>1</v>
      </c>
      <c r="N81">
        <v>1</v>
      </c>
      <c r="O81" t="s">
        <v>73</v>
      </c>
      <c r="P81" t="s">
        <v>136</v>
      </c>
      <c r="Q81" t="s">
        <v>137</v>
      </c>
      <c r="R81" t="s">
        <v>101</v>
      </c>
      <c r="S81" t="s">
        <v>45</v>
      </c>
      <c r="T81">
        <v>3</v>
      </c>
      <c r="V81">
        <v>3</v>
      </c>
      <c r="W81" t="s">
        <v>86</v>
      </c>
      <c r="X81" t="s">
        <v>141</v>
      </c>
      <c r="Y81" t="s">
        <v>93</v>
      </c>
      <c r="Z81" t="s">
        <v>143</v>
      </c>
      <c r="AA81" t="s">
        <v>38</v>
      </c>
      <c r="AB81">
        <v>1</v>
      </c>
      <c r="AC81">
        <v>1</v>
      </c>
      <c r="AD81">
        <v>2</v>
      </c>
      <c r="AE81" t="s">
        <v>39</v>
      </c>
      <c r="AF81" t="s">
        <v>40</v>
      </c>
      <c r="AG81" t="s">
        <v>153</v>
      </c>
      <c r="AH81" t="s">
        <v>42</v>
      </c>
      <c r="AI81">
        <v>0</v>
      </c>
      <c r="AJ81">
        <v>32</v>
      </c>
    </row>
    <row r="82" spans="1:36" x14ac:dyDescent="0.25">
      <c r="A82" t="s">
        <v>1320</v>
      </c>
      <c r="B82">
        <v>80</v>
      </c>
      <c r="C82" t="s">
        <v>45</v>
      </c>
      <c r="D82">
        <v>3</v>
      </c>
      <c r="F82">
        <v>1</v>
      </c>
      <c r="G82" t="s">
        <v>140</v>
      </c>
      <c r="H82" t="s">
        <v>76</v>
      </c>
      <c r="I82" t="s">
        <v>93</v>
      </c>
      <c r="J82" t="s">
        <v>94</v>
      </c>
      <c r="K82" t="s">
        <v>227</v>
      </c>
      <c r="L82">
        <v>2</v>
      </c>
      <c r="M82">
        <v>1</v>
      </c>
      <c r="N82">
        <v>2</v>
      </c>
      <c r="O82" t="s">
        <v>228</v>
      </c>
      <c r="P82" t="s">
        <v>231</v>
      </c>
      <c r="Q82" t="s">
        <v>235</v>
      </c>
      <c r="R82" t="s">
        <v>238</v>
      </c>
      <c r="S82" t="s">
        <v>53</v>
      </c>
      <c r="T82">
        <v>1</v>
      </c>
      <c r="U82">
        <v>1</v>
      </c>
      <c r="V82">
        <v>2</v>
      </c>
      <c r="W82" t="s">
        <v>112</v>
      </c>
      <c r="X82" t="s">
        <v>83</v>
      </c>
      <c r="Y82" t="s">
        <v>97</v>
      </c>
      <c r="Z82" t="s">
        <v>98</v>
      </c>
      <c r="AA82" t="s">
        <v>43</v>
      </c>
      <c r="AB82">
        <v>1</v>
      </c>
      <c r="AD82">
        <v>1</v>
      </c>
      <c r="AE82" t="s">
        <v>73</v>
      </c>
      <c r="AI82">
        <v>0</v>
      </c>
      <c r="AJ82">
        <v>18</v>
      </c>
    </row>
    <row r="83" spans="1:36" x14ac:dyDescent="0.25">
      <c r="A83" t="s">
        <v>1321</v>
      </c>
      <c r="B83">
        <v>81</v>
      </c>
      <c r="C83" t="s">
        <v>63</v>
      </c>
      <c r="D83">
        <v>3</v>
      </c>
      <c r="F83">
        <v>3</v>
      </c>
      <c r="G83" t="s">
        <v>103</v>
      </c>
      <c r="H83" t="s">
        <v>91</v>
      </c>
      <c r="I83" t="s">
        <v>147</v>
      </c>
      <c r="J83" t="s">
        <v>151</v>
      </c>
      <c r="K83" t="s">
        <v>38</v>
      </c>
      <c r="L83">
        <v>3</v>
      </c>
      <c r="M83">
        <v>3</v>
      </c>
      <c r="N83">
        <v>3</v>
      </c>
      <c r="O83" t="s">
        <v>39</v>
      </c>
      <c r="P83" t="s">
        <v>70</v>
      </c>
      <c r="Q83" t="s">
        <v>41</v>
      </c>
      <c r="R83" t="s">
        <v>156</v>
      </c>
      <c r="S83" t="s">
        <v>53</v>
      </c>
      <c r="T83">
        <v>3</v>
      </c>
      <c r="U83">
        <v>3</v>
      </c>
      <c r="V83">
        <v>3</v>
      </c>
      <c r="W83" t="s">
        <v>112</v>
      </c>
      <c r="X83" t="s">
        <v>83</v>
      </c>
      <c r="Y83" t="s">
        <v>97</v>
      </c>
      <c r="Z83" t="s">
        <v>115</v>
      </c>
      <c r="AA83" t="s">
        <v>43</v>
      </c>
      <c r="AB83">
        <v>1</v>
      </c>
      <c r="AD83">
        <v>1</v>
      </c>
      <c r="AE83" t="s">
        <v>73</v>
      </c>
      <c r="AF83" t="s">
        <v>74</v>
      </c>
      <c r="AG83" t="s">
        <v>137</v>
      </c>
      <c r="AI83">
        <v>0</v>
      </c>
      <c r="AJ83">
        <v>47</v>
      </c>
    </row>
    <row r="84" spans="1:36" x14ac:dyDescent="0.25">
      <c r="A84" t="s">
        <v>1557</v>
      </c>
      <c r="B84">
        <v>82</v>
      </c>
      <c r="C84" t="s">
        <v>53</v>
      </c>
      <c r="D84">
        <v>3</v>
      </c>
      <c r="E84">
        <v>3</v>
      </c>
      <c r="F84">
        <v>1</v>
      </c>
      <c r="G84" t="s">
        <v>112</v>
      </c>
      <c r="H84" t="s">
        <v>83</v>
      </c>
      <c r="I84" t="s">
        <v>114</v>
      </c>
      <c r="J84" t="s">
        <v>116</v>
      </c>
      <c r="K84" t="s">
        <v>43</v>
      </c>
      <c r="L84">
        <v>3</v>
      </c>
      <c r="N84">
        <v>3</v>
      </c>
      <c r="O84" t="s">
        <v>73</v>
      </c>
      <c r="P84" t="s">
        <v>99</v>
      </c>
      <c r="Q84" t="s">
        <v>75</v>
      </c>
      <c r="R84" t="s">
        <v>101</v>
      </c>
      <c r="S84" t="s">
        <v>63</v>
      </c>
      <c r="T84">
        <v>3</v>
      </c>
      <c r="V84">
        <v>3</v>
      </c>
      <c r="W84" t="s">
        <v>145</v>
      </c>
      <c r="X84" t="s">
        <v>91</v>
      </c>
      <c r="Y84" t="s">
        <v>148</v>
      </c>
      <c r="Z84" t="s">
        <v>151</v>
      </c>
      <c r="AA84" t="s">
        <v>227</v>
      </c>
      <c r="AB84">
        <v>1</v>
      </c>
      <c r="AC84">
        <v>2</v>
      </c>
      <c r="AD84">
        <v>3</v>
      </c>
      <c r="AE84" t="s">
        <v>229</v>
      </c>
      <c r="AF84" t="s">
        <v>231</v>
      </c>
      <c r="AG84" t="s">
        <v>234</v>
      </c>
      <c r="AI84">
        <v>0</v>
      </c>
      <c r="AJ84">
        <v>32</v>
      </c>
    </row>
    <row r="85" spans="1:36" x14ac:dyDescent="0.25">
      <c r="A85" t="s">
        <v>1558</v>
      </c>
      <c r="B85">
        <v>83</v>
      </c>
      <c r="C85" t="s">
        <v>53</v>
      </c>
      <c r="D85">
        <v>3</v>
      </c>
      <c r="E85">
        <v>3</v>
      </c>
      <c r="F85">
        <v>3</v>
      </c>
      <c r="G85" t="s">
        <v>112</v>
      </c>
      <c r="H85" t="s">
        <v>83</v>
      </c>
      <c r="I85" t="s">
        <v>105</v>
      </c>
      <c r="J85" t="s">
        <v>98</v>
      </c>
      <c r="K85" t="s">
        <v>43</v>
      </c>
      <c r="L85">
        <v>1</v>
      </c>
      <c r="N85">
        <v>1</v>
      </c>
      <c r="O85" t="s">
        <v>73</v>
      </c>
      <c r="S85" t="s">
        <v>38</v>
      </c>
      <c r="T85">
        <v>3</v>
      </c>
      <c r="U85">
        <v>3</v>
      </c>
      <c r="V85">
        <v>3</v>
      </c>
      <c r="W85" t="s">
        <v>39</v>
      </c>
      <c r="X85" t="s">
        <v>70</v>
      </c>
      <c r="Y85" t="s">
        <v>154</v>
      </c>
      <c r="Z85" t="s">
        <v>156</v>
      </c>
      <c r="AA85" t="s">
        <v>227</v>
      </c>
      <c r="AB85">
        <v>1</v>
      </c>
      <c r="AC85">
        <v>1</v>
      </c>
      <c r="AD85">
        <v>1</v>
      </c>
      <c r="AE85" t="s">
        <v>228</v>
      </c>
      <c r="AF85" t="s">
        <v>231</v>
      </c>
      <c r="AG85" t="s">
        <v>235</v>
      </c>
      <c r="AH85" t="s">
        <v>238</v>
      </c>
      <c r="AI85">
        <v>0</v>
      </c>
      <c r="AJ85">
        <v>41</v>
      </c>
    </row>
    <row r="86" spans="1:36" x14ac:dyDescent="0.25">
      <c r="A86" t="s">
        <v>1322</v>
      </c>
      <c r="B86">
        <v>84</v>
      </c>
      <c r="C86" t="s">
        <v>56</v>
      </c>
      <c r="D86">
        <v>2</v>
      </c>
      <c r="F86">
        <v>1</v>
      </c>
      <c r="G86" t="s">
        <v>57</v>
      </c>
      <c r="K86" t="s">
        <v>48</v>
      </c>
      <c r="L86">
        <v>3</v>
      </c>
      <c r="N86">
        <v>3</v>
      </c>
      <c r="O86" t="s">
        <v>126</v>
      </c>
      <c r="P86" t="s">
        <v>84</v>
      </c>
      <c r="Q86" t="s">
        <v>90</v>
      </c>
      <c r="R86" t="s">
        <v>128</v>
      </c>
      <c r="S86" t="s">
        <v>53</v>
      </c>
      <c r="T86">
        <v>3</v>
      </c>
      <c r="U86">
        <v>3</v>
      </c>
      <c r="V86">
        <v>3</v>
      </c>
      <c r="W86" t="s">
        <v>112</v>
      </c>
      <c r="X86" t="s">
        <v>55</v>
      </c>
      <c r="Y86" t="s">
        <v>97</v>
      </c>
      <c r="Z86" t="s">
        <v>98</v>
      </c>
      <c r="AA86" t="s">
        <v>45</v>
      </c>
      <c r="AB86">
        <v>3</v>
      </c>
      <c r="AD86">
        <v>1</v>
      </c>
      <c r="AE86" t="s">
        <v>86</v>
      </c>
      <c r="AF86" t="s">
        <v>141</v>
      </c>
      <c r="AG86" t="s">
        <v>93</v>
      </c>
      <c r="AH86" t="s">
        <v>94</v>
      </c>
      <c r="AI86">
        <v>0</v>
      </c>
      <c r="AJ86">
        <v>46</v>
      </c>
    </row>
    <row r="87" spans="1:36" x14ac:dyDescent="0.25">
      <c r="A87" t="s">
        <v>1323</v>
      </c>
      <c r="B87">
        <v>85</v>
      </c>
      <c r="C87" t="s">
        <v>56</v>
      </c>
      <c r="D87">
        <v>3</v>
      </c>
      <c r="F87">
        <v>2</v>
      </c>
      <c r="G87" t="s">
        <v>57</v>
      </c>
      <c r="H87" t="s">
        <v>122</v>
      </c>
      <c r="I87" t="s">
        <v>85</v>
      </c>
      <c r="J87" t="s">
        <v>124</v>
      </c>
      <c r="K87" t="s">
        <v>33</v>
      </c>
      <c r="L87">
        <v>1</v>
      </c>
      <c r="N87">
        <v>2</v>
      </c>
      <c r="O87" t="s">
        <v>34</v>
      </c>
      <c r="S87" t="s">
        <v>53</v>
      </c>
      <c r="T87">
        <v>1</v>
      </c>
      <c r="U87">
        <v>3</v>
      </c>
      <c r="V87">
        <v>3</v>
      </c>
      <c r="W87" t="s">
        <v>111</v>
      </c>
      <c r="X87" t="s">
        <v>83</v>
      </c>
      <c r="Y87" t="s">
        <v>97</v>
      </c>
      <c r="AA87" t="s">
        <v>45</v>
      </c>
      <c r="AB87">
        <v>3</v>
      </c>
      <c r="AD87">
        <v>1</v>
      </c>
      <c r="AE87" t="s">
        <v>140</v>
      </c>
      <c r="AI87">
        <v>0</v>
      </c>
      <c r="AJ87">
        <v>19</v>
      </c>
    </row>
    <row r="88" spans="1:36" x14ac:dyDescent="0.25">
      <c r="A88" t="s">
        <v>1324</v>
      </c>
      <c r="B88">
        <v>86</v>
      </c>
      <c r="C88" t="s">
        <v>53</v>
      </c>
      <c r="D88">
        <v>3</v>
      </c>
      <c r="E88">
        <v>1</v>
      </c>
      <c r="F88">
        <v>2</v>
      </c>
      <c r="G88" t="s">
        <v>112</v>
      </c>
      <c r="H88" t="s">
        <v>55</v>
      </c>
      <c r="I88" t="s">
        <v>97</v>
      </c>
      <c r="J88" t="s">
        <v>98</v>
      </c>
      <c r="K88" t="s">
        <v>45</v>
      </c>
      <c r="L88">
        <v>3</v>
      </c>
      <c r="N88">
        <v>1</v>
      </c>
      <c r="O88" t="s">
        <v>140</v>
      </c>
      <c r="S88" t="s">
        <v>56</v>
      </c>
      <c r="T88">
        <v>3</v>
      </c>
      <c r="V88">
        <v>1</v>
      </c>
      <c r="W88" t="s">
        <v>120</v>
      </c>
      <c r="X88" t="s">
        <v>69</v>
      </c>
      <c r="Y88" t="s">
        <v>87</v>
      </c>
      <c r="AA88" t="s">
        <v>43</v>
      </c>
      <c r="AB88">
        <v>1</v>
      </c>
      <c r="AD88">
        <v>1</v>
      </c>
      <c r="AE88" t="s">
        <v>73</v>
      </c>
      <c r="AF88" t="s">
        <v>136</v>
      </c>
      <c r="AG88" t="s">
        <v>75</v>
      </c>
      <c r="AI88">
        <v>0</v>
      </c>
      <c r="AJ88">
        <v>18</v>
      </c>
    </row>
    <row r="89" spans="1:36" x14ac:dyDescent="0.25">
      <c r="A89" t="s">
        <v>1559</v>
      </c>
      <c r="B89">
        <v>87</v>
      </c>
      <c r="C89" t="s">
        <v>56</v>
      </c>
      <c r="D89">
        <v>3</v>
      </c>
      <c r="F89">
        <v>3</v>
      </c>
      <c r="G89" t="s">
        <v>57</v>
      </c>
      <c r="H89" t="s">
        <v>122</v>
      </c>
      <c r="I89" t="s">
        <v>85</v>
      </c>
      <c r="J89" t="s">
        <v>125</v>
      </c>
      <c r="K89" t="s">
        <v>63</v>
      </c>
      <c r="L89">
        <v>3</v>
      </c>
      <c r="N89">
        <v>3</v>
      </c>
      <c r="O89" t="s">
        <v>103</v>
      </c>
      <c r="P89" t="s">
        <v>91</v>
      </c>
      <c r="Q89" t="s">
        <v>148</v>
      </c>
      <c r="R89" t="s">
        <v>150</v>
      </c>
      <c r="S89" t="s">
        <v>53</v>
      </c>
      <c r="T89">
        <v>3</v>
      </c>
      <c r="U89">
        <v>3</v>
      </c>
      <c r="V89">
        <v>3</v>
      </c>
      <c r="W89" t="s">
        <v>112</v>
      </c>
      <c r="X89" t="s">
        <v>83</v>
      </c>
      <c r="Y89" t="s">
        <v>97</v>
      </c>
      <c r="Z89" t="s">
        <v>115</v>
      </c>
      <c r="AA89" t="s">
        <v>45</v>
      </c>
      <c r="AB89">
        <v>3</v>
      </c>
      <c r="AD89">
        <v>1</v>
      </c>
      <c r="AE89" t="s">
        <v>86</v>
      </c>
      <c r="AI89">
        <v>0</v>
      </c>
      <c r="AJ89">
        <v>33</v>
      </c>
    </row>
    <row r="90" spans="1:36" x14ac:dyDescent="0.25">
      <c r="A90" t="s">
        <v>1560</v>
      </c>
      <c r="B90">
        <v>88</v>
      </c>
      <c r="C90" t="s">
        <v>53</v>
      </c>
      <c r="D90">
        <v>1</v>
      </c>
      <c r="E90">
        <v>1</v>
      </c>
      <c r="F90">
        <v>3</v>
      </c>
      <c r="G90" t="s">
        <v>112</v>
      </c>
      <c r="H90" t="s">
        <v>113</v>
      </c>
      <c r="I90" t="s">
        <v>97</v>
      </c>
      <c r="K90" t="s">
        <v>45</v>
      </c>
      <c r="L90">
        <v>3</v>
      </c>
      <c r="N90">
        <v>1</v>
      </c>
      <c r="O90" t="s">
        <v>140</v>
      </c>
      <c r="P90" t="s">
        <v>76</v>
      </c>
      <c r="Q90" t="s">
        <v>102</v>
      </c>
      <c r="S90" t="s">
        <v>56</v>
      </c>
      <c r="T90">
        <v>3</v>
      </c>
      <c r="V90">
        <v>2</v>
      </c>
      <c r="W90" t="s">
        <v>68</v>
      </c>
      <c r="AA90" t="s">
        <v>38</v>
      </c>
      <c r="AB90">
        <v>3</v>
      </c>
      <c r="AC90">
        <v>1</v>
      </c>
      <c r="AD90">
        <v>3</v>
      </c>
      <c r="AE90" t="s">
        <v>39</v>
      </c>
      <c r="AF90" t="s">
        <v>40</v>
      </c>
      <c r="AI90">
        <v>0</v>
      </c>
      <c r="AJ90">
        <v>21</v>
      </c>
    </row>
    <row r="91" spans="1:36" x14ac:dyDescent="0.25">
      <c r="A91" t="s">
        <v>1325</v>
      </c>
      <c r="B91">
        <v>89</v>
      </c>
      <c r="C91" t="s">
        <v>56</v>
      </c>
      <c r="D91">
        <v>2</v>
      </c>
      <c r="F91">
        <v>1</v>
      </c>
      <c r="G91" t="s">
        <v>57</v>
      </c>
      <c r="H91" t="s">
        <v>122</v>
      </c>
      <c r="I91" t="s">
        <v>123</v>
      </c>
      <c r="J91" t="s">
        <v>124</v>
      </c>
      <c r="K91" t="s">
        <v>227</v>
      </c>
      <c r="L91">
        <v>1</v>
      </c>
      <c r="M91">
        <v>1</v>
      </c>
      <c r="N91">
        <v>2</v>
      </c>
      <c r="O91" t="s">
        <v>228</v>
      </c>
      <c r="P91" t="s">
        <v>231</v>
      </c>
      <c r="Q91" t="s">
        <v>235</v>
      </c>
      <c r="R91" t="s">
        <v>238</v>
      </c>
      <c r="S91" t="s">
        <v>53</v>
      </c>
      <c r="T91">
        <v>1</v>
      </c>
      <c r="U91">
        <v>1</v>
      </c>
      <c r="V91">
        <v>2</v>
      </c>
      <c r="W91" t="s">
        <v>112</v>
      </c>
      <c r="X91" t="s">
        <v>83</v>
      </c>
      <c r="Y91" t="s">
        <v>97</v>
      </c>
      <c r="Z91" t="s">
        <v>98</v>
      </c>
      <c r="AA91" t="s">
        <v>45</v>
      </c>
      <c r="AB91">
        <v>2</v>
      </c>
      <c r="AD91">
        <v>1</v>
      </c>
      <c r="AE91" t="s">
        <v>47</v>
      </c>
      <c r="AI91">
        <v>0</v>
      </c>
      <c r="AJ91">
        <v>18</v>
      </c>
    </row>
    <row r="92" spans="1:36" x14ac:dyDescent="0.25">
      <c r="A92" t="s">
        <v>1326</v>
      </c>
      <c r="B92">
        <v>90</v>
      </c>
      <c r="C92" t="s">
        <v>53</v>
      </c>
      <c r="D92">
        <v>3</v>
      </c>
      <c r="E92">
        <v>2</v>
      </c>
      <c r="F92">
        <v>1</v>
      </c>
      <c r="G92" t="s">
        <v>111</v>
      </c>
      <c r="H92" t="s">
        <v>55</v>
      </c>
      <c r="K92" t="s">
        <v>45</v>
      </c>
      <c r="L92">
        <v>3</v>
      </c>
      <c r="N92">
        <v>1</v>
      </c>
      <c r="O92" t="s">
        <v>86</v>
      </c>
      <c r="P92" t="s">
        <v>76</v>
      </c>
      <c r="S92" t="s">
        <v>48</v>
      </c>
      <c r="T92">
        <v>1</v>
      </c>
      <c r="V92">
        <v>1</v>
      </c>
      <c r="W92" t="s">
        <v>126</v>
      </c>
      <c r="X92" t="s">
        <v>50</v>
      </c>
      <c r="Y92" t="s">
        <v>127</v>
      </c>
      <c r="Z92" t="s">
        <v>129</v>
      </c>
      <c r="AA92" t="s">
        <v>33</v>
      </c>
      <c r="AB92">
        <v>1</v>
      </c>
      <c r="AD92">
        <v>3</v>
      </c>
      <c r="AE92" t="s">
        <v>34</v>
      </c>
      <c r="AI92">
        <v>0</v>
      </c>
      <c r="AJ92">
        <v>16</v>
      </c>
    </row>
    <row r="93" spans="1:36" x14ac:dyDescent="0.25">
      <c r="A93" t="s">
        <v>1561</v>
      </c>
      <c r="B93">
        <v>91</v>
      </c>
      <c r="C93" t="s">
        <v>53</v>
      </c>
      <c r="D93">
        <v>3</v>
      </c>
      <c r="E93">
        <v>3</v>
      </c>
      <c r="F93">
        <v>3</v>
      </c>
      <c r="G93" t="s">
        <v>112</v>
      </c>
      <c r="H93" t="s">
        <v>55</v>
      </c>
      <c r="I93" t="s">
        <v>97</v>
      </c>
      <c r="J93" t="s">
        <v>115</v>
      </c>
      <c r="K93" t="s">
        <v>45</v>
      </c>
      <c r="L93">
        <v>3</v>
      </c>
      <c r="N93">
        <v>3</v>
      </c>
      <c r="O93" t="s">
        <v>86</v>
      </c>
      <c r="P93" t="s">
        <v>141</v>
      </c>
      <c r="Q93" t="s">
        <v>102</v>
      </c>
      <c r="R93" t="s">
        <v>144</v>
      </c>
      <c r="S93" t="s">
        <v>48</v>
      </c>
      <c r="T93">
        <v>3</v>
      </c>
      <c r="V93">
        <v>3</v>
      </c>
      <c r="W93" t="s">
        <v>126</v>
      </c>
      <c r="X93" t="s">
        <v>84</v>
      </c>
      <c r="Y93" t="s">
        <v>90</v>
      </c>
      <c r="Z93" t="s">
        <v>129</v>
      </c>
      <c r="AA93" t="s">
        <v>43</v>
      </c>
      <c r="AB93">
        <v>1</v>
      </c>
      <c r="AD93">
        <v>1</v>
      </c>
      <c r="AE93" t="s">
        <v>135</v>
      </c>
      <c r="AF93" t="s">
        <v>136</v>
      </c>
      <c r="AG93" t="s">
        <v>100</v>
      </c>
      <c r="AH93" t="s">
        <v>138</v>
      </c>
      <c r="AI93">
        <v>0</v>
      </c>
      <c r="AJ93">
        <v>56</v>
      </c>
    </row>
    <row r="94" spans="1:36" x14ac:dyDescent="0.25">
      <c r="A94" t="s">
        <v>1562</v>
      </c>
      <c r="B94">
        <v>92</v>
      </c>
      <c r="C94" t="s">
        <v>48</v>
      </c>
      <c r="D94">
        <v>3</v>
      </c>
      <c r="F94">
        <v>3</v>
      </c>
      <c r="G94" t="s">
        <v>126</v>
      </c>
      <c r="H94" t="s">
        <v>84</v>
      </c>
      <c r="I94" t="s">
        <v>90</v>
      </c>
      <c r="J94" t="s">
        <v>129</v>
      </c>
      <c r="K94" t="s">
        <v>63</v>
      </c>
      <c r="L94">
        <v>3</v>
      </c>
      <c r="N94">
        <v>3</v>
      </c>
      <c r="O94" t="s">
        <v>103</v>
      </c>
      <c r="P94" t="s">
        <v>91</v>
      </c>
      <c r="Q94" t="s">
        <v>148</v>
      </c>
      <c r="R94" t="s">
        <v>151</v>
      </c>
      <c r="S94" t="s">
        <v>53</v>
      </c>
      <c r="T94">
        <v>3</v>
      </c>
      <c r="U94">
        <v>3</v>
      </c>
      <c r="V94">
        <v>3</v>
      </c>
      <c r="W94" t="s">
        <v>112</v>
      </c>
      <c r="X94" t="s">
        <v>83</v>
      </c>
      <c r="Y94" t="s">
        <v>114</v>
      </c>
      <c r="Z94" t="s">
        <v>116</v>
      </c>
      <c r="AA94" t="s">
        <v>45</v>
      </c>
      <c r="AB94">
        <v>3</v>
      </c>
      <c r="AD94">
        <v>3</v>
      </c>
      <c r="AE94" t="s">
        <v>47</v>
      </c>
      <c r="AF94" t="s">
        <v>76</v>
      </c>
      <c r="AG94" t="s">
        <v>93</v>
      </c>
      <c r="AH94" t="s">
        <v>144</v>
      </c>
      <c r="AI94">
        <v>0</v>
      </c>
      <c r="AJ94">
        <v>64</v>
      </c>
    </row>
    <row r="95" spans="1:36" x14ac:dyDescent="0.25">
      <c r="A95" t="s">
        <v>1327</v>
      </c>
      <c r="B95">
        <v>93</v>
      </c>
      <c r="C95" t="s">
        <v>53</v>
      </c>
      <c r="D95">
        <v>3</v>
      </c>
      <c r="E95">
        <v>1</v>
      </c>
      <c r="F95">
        <v>1</v>
      </c>
      <c r="G95" t="s">
        <v>111</v>
      </c>
      <c r="H95" t="s">
        <v>83</v>
      </c>
      <c r="I95" t="s">
        <v>105</v>
      </c>
      <c r="J95" t="s">
        <v>116</v>
      </c>
      <c r="K95" t="s">
        <v>45</v>
      </c>
      <c r="L95">
        <v>3</v>
      </c>
      <c r="N95">
        <v>2</v>
      </c>
      <c r="O95" t="s">
        <v>86</v>
      </c>
      <c r="P95" t="s">
        <v>141</v>
      </c>
      <c r="Q95" t="s">
        <v>102</v>
      </c>
      <c r="R95" t="s">
        <v>144</v>
      </c>
      <c r="S95" t="s">
        <v>48</v>
      </c>
      <c r="T95">
        <v>1</v>
      </c>
      <c r="V95">
        <v>1</v>
      </c>
      <c r="W95" t="s">
        <v>126</v>
      </c>
      <c r="X95" t="s">
        <v>84</v>
      </c>
      <c r="Y95" t="s">
        <v>90</v>
      </c>
      <c r="Z95" t="s">
        <v>129</v>
      </c>
      <c r="AA95" t="s">
        <v>38</v>
      </c>
      <c r="AB95">
        <v>2</v>
      </c>
      <c r="AC95">
        <v>2</v>
      </c>
      <c r="AD95">
        <v>2</v>
      </c>
      <c r="AE95" t="s">
        <v>39</v>
      </c>
      <c r="AF95" t="s">
        <v>96</v>
      </c>
      <c r="AG95" t="s">
        <v>153</v>
      </c>
      <c r="AH95" t="s">
        <v>42</v>
      </c>
      <c r="AI95">
        <v>0</v>
      </c>
      <c r="AJ95">
        <v>24</v>
      </c>
    </row>
    <row r="96" spans="1:36" x14ac:dyDescent="0.25">
      <c r="A96" t="s">
        <v>1328</v>
      </c>
      <c r="B96">
        <v>94</v>
      </c>
      <c r="C96" t="s">
        <v>48</v>
      </c>
      <c r="D96">
        <v>3</v>
      </c>
      <c r="F96">
        <v>2</v>
      </c>
      <c r="G96" t="s">
        <v>126</v>
      </c>
      <c r="H96" t="s">
        <v>84</v>
      </c>
      <c r="I96" t="s">
        <v>127</v>
      </c>
      <c r="J96" t="s">
        <v>129</v>
      </c>
      <c r="K96" t="s">
        <v>227</v>
      </c>
      <c r="L96">
        <v>3</v>
      </c>
      <c r="M96">
        <v>1</v>
      </c>
      <c r="N96">
        <v>3</v>
      </c>
      <c r="O96" t="s">
        <v>228</v>
      </c>
      <c r="P96" t="s">
        <v>231</v>
      </c>
      <c r="Q96" t="s">
        <v>236</v>
      </c>
      <c r="R96" t="s">
        <v>238</v>
      </c>
      <c r="S96" t="s">
        <v>53</v>
      </c>
      <c r="T96">
        <v>3</v>
      </c>
      <c r="U96">
        <v>1</v>
      </c>
      <c r="V96">
        <v>2</v>
      </c>
      <c r="W96" t="s">
        <v>112</v>
      </c>
      <c r="X96" t="s">
        <v>83</v>
      </c>
      <c r="Y96" t="s">
        <v>97</v>
      </c>
      <c r="Z96" t="s">
        <v>98</v>
      </c>
      <c r="AA96" t="s">
        <v>45</v>
      </c>
      <c r="AB96">
        <v>3</v>
      </c>
      <c r="AD96">
        <v>1</v>
      </c>
      <c r="AE96" t="s">
        <v>47</v>
      </c>
      <c r="AI96">
        <v>0</v>
      </c>
      <c r="AJ96">
        <v>25</v>
      </c>
    </row>
    <row r="97" spans="1:36" x14ac:dyDescent="0.25">
      <c r="A97" t="s">
        <v>1329</v>
      </c>
      <c r="B97">
        <v>95</v>
      </c>
      <c r="C97" t="s">
        <v>53</v>
      </c>
      <c r="D97">
        <v>1</v>
      </c>
      <c r="E97">
        <v>1</v>
      </c>
      <c r="F97">
        <v>1</v>
      </c>
      <c r="G97" t="s">
        <v>111</v>
      </c>
      <c r="H97" t="s">
        <v>113</v>
      </c>
      <c r="I97" t="s">
        <v>114</v>
      </c>
      <c r="K97" t="s">
        <v>45</v>
      </c>
      <c r="L97">
        <v>3</v>
      </c>
      <c r="N97">
        <v>1</v>
      </c>
      <c r="O97" t="s">
        <v>140</v>
      </c>
      <c r="S97" t="s">
        <v>33</v>
      </c>
      <c r="T97">
        <v>3</v>
      </c>
      <c r="V97">
        <v>2</v>
      </c>
      <c r="W97" t="s">
        <v>34</v>
      </c>
      <c r="AA97" t="s">
        <v>43</v>
      </c>
      <c r="AB97">
        <v>2</v>
      </c>
      <c r="AD97">
        <v>1</v>
      </c>
      <c r="AE97" t="s">
        <v>135</v>
      </c>
      <c r="AI97">
        <v>0</v>
      </c>
      <c r="AJ97">
        <v>13</v>
      </c>
    </row>
    <row r="98" spans="1:36" x14ac:dyDescent="0.25">
      <c r="A98" t="s">
        <v>1330</v>
      </c>
      <c r="B98">
        <v>96</v>
      </c>
      <c r="C98" t="s">
        <v>53</v>
      </c>
      <c r="D98">
        <v>2</v>
      </c>
      <c r="E98">
        <v>3</v>
      </c>
      <c r="F98">
        <v>1</v>
      </c>
      <c r="G98" t="s">
        <v>54</v>
      </c>
      <c r="K98" t="s">
        <v>45</v>
      </c>
      <c r="L98">
        <v>3</v>
      </c>
      <c r="N98">
        <v>1</v>
      </c>
      <c r="O98" t="s">
        <v>140</v>
      </c>
      <c r="P98" t="s">
        <v>76</v>
      </c>
      <c r="S98" t="s">
        <v>33</v>
      </c>
      <c r="T98">
        <v>1</v>
      </c>
      <c r="V98">
        <v>2</v>
      </c>
      <c r="W98" t="s">
        <v>34</v>
      </c>
      <c r="AA98" t="s">
        <v>63</v>
      </c>
      <c r="AB98">
        <v>2</v>
      </c>
      <c r="AD98">
        <v>1</v>
      </c>
      <c r="AE98" t="s">
        <v>103</v>
      </c>
      <c r="AF98" t="s">
        <v>91</v>
      </c>
      <c r="AI98">
        <v>0</v>
      </c>
      <c r="AJ98">
        <v>13</v>
      </c>
    </row>
    <row r="99" spans="1:36" x14ac:dyDescent="0.25">
      <c r="A99" t="s">
        <v>1331</v>
      </c>
      <c r="B99">
        <v>97</v>
      </c>
      <c r="C99" t="s">
        <v>53</v>
      </c>
      <c r="D99">
        <v>1</v>
      </c>
      <c r="E99">
        <v>1</v>
      </c>
      <c r="F99">
        <v>1</v>
      </c>
      <c r="G99" t="s">
        <v>111</v>
      </c>
      <c r="H99" t="s">
        <v>113</v>
      </c>
      <c r="I99" t="s">
        <v>97</v>
      </c>
      <c r="J99" t="s">
        <v>116</v>
      </c>
      <c r="K99" t="s">
        <v>45</v>
      </c>
      <c r="L99">
        <v>3</v>
      </c>
      <c r="N99">
        <v>1</v>
      </c>
      <c r="O99" t="s">
        <v>140</v>
      </c>
      <c r="P99" t="s">
        <v>76</v>
      </c>
      <c r="S99" t="s">
        <v>33</v>
      </c>
      <c r="T99">
        <v>2</v>
      </c>
      <c r="V99">
        <v>2</v>
      </c>
      <c r="W99" t="s">
        <v>34</v>
      </c>
      <c r="AA99" t="s">
        <v>38</v>
      </c>
      <c r="AB99">
        <v>3</v>
      </c>
      <c r="AC99">
        <v>1</v>
      </c>
      <c r="AD99">
        <v>2</v>
      </c>
      <c r="AE99" t="s">
        <v>39</v>
      </c>
      <c r="AI99">
        <v>0</v>
      </c>
      <c r="AJ99">
        <v>15</v>
      </c>
    </row>
    <row r="100" spans="1:36" x14ac:dyDescent="0.25">
      <c r="A100" t="s">
        <v>1563</v>
      </c>
      <c r="B100">
        <v>98</v>
      </c>
      <c r="C100" t="s">
        <v>53</v>
      </c>
      <c r="D100">
        <v>1</v>
      </c>
      <c r="E100">
        <v>1</v>
      </c>
      <c r="F100">
        <v>1</v>
      </c>
      <c r="G100" t="s">
        <v>111</v>
      </c>
      <c r="H100" t="s">
        <v>113</v>
      </c>
      <c r="I100" t="s">
        <v>97</v>
      </c>
      <c r="J100" t="s">
        <v>98</v>
      </c>
      <c r="K100" t="s">
        <v>45</v>
      </c>
      <c r="L100">
        <v>3</v>
      </c>
      <c r="N100">
        <v>2</v>
      </c>
      <c r="O100" t="s">
        <v>140</v>
      </c>
      <c r="P100" t="s">
        <v>76</v>
      </c>
      <c r="S100" t="s">
        <v>33</v>
      </c>
      <c r="T100">
        <v>1</v>
      </c>
      <c r="V100">
        <v>2</v>
      </c>
      <c r="W100" t="s">
        <v>34</v>
      </c>
      <c r="AA100" t="s">
        <v>227</v>
      </c>
      <c r="AB100">
        <v>2</v>
      </c>
      <c r="AC100">
        <v>1</v>
      </c>
      <c r="AD100">
        <v>2</v>
      </c>
      <c r="AE100" t="s">
        <v>228</v>
      </c>
      <c r="AF100" t="s">
        <v>231</v>
      </c>
      <c r="AG100" t="s">
        <v>235</v>
      </c>
      <c r="AI100">
        <v>0</v>
      </c>
      <c r="AJ100">
        <v>16</v>
      </c>
    </row>
    <row r="101" spans="1:36" x14ac:dyDescent="0.25">
      <c r="A101" t="s">
        <v>1332</v>
      </c>
      <c r="B101">
        <v>99</v>
      </c>
      <c r="C101" t="s">
        <v>43</v>
      </c>
      <c r="D101">
        <v>3</v>
      </c>
      <c r="F101">
        <v>3</v>
      </c>
      <c r="G101" t="s">
        <v>135</v>
      </c>
      <c r="H101" t="s">
        <v>74</v>
      </c>
      <c r="I101" t="s">
        <v>100</v>
      </c>
      <c r="J101" t="s">
        <v>138</v>
      </c>
      <c r="K101" t="s">
        <v>63</v>
      </c>
      <c r="L101">
        <v>1</v>
      </c>
      <c r="N101">
        <v>1</v>
      </c>
      <c r="O101" t="s">
        <v>145</v>
      </c>
      <c r="P101" t="s">
        <v>91</v>
      </c>
      <c r="Q101" t="s">
        <v>148</v>
      </c>
      <c r="R101" t="s">
        <v>151</v>
      </c>
      <c r="S101" t="s">
        <v>53</v>
      </c>
      <c r="T101">
        <v>3</v>
      </c>
      <c r="U101">
        <v>3</v>
      </c>
      <c r="V101">
        <v>3</v>
      </c>
      <c r="W101" t="s">
        <v>112</v>
      </c>
      <c r="X101" t="s">
        <v>83</v>
      </c>
      <c r="Y101" t="s">
        <v>97</v>
      </c>
      <c r="Z101" t="s">
        <v>115</v>
      </c>
      <c r="AA101" t="s">
        <v>45</v>
      </c>
      <c r="AB101">
        <v>3</v>
      </c>
      <c r="AD101">
        <v>1</v>
      </c>
      <c r="AE101" t="s">
        <v>140</v>
      </c>
      <c r="AF101" t="s">
        <v>141</v>
      </c>
      <c r="AG101" t="s">
        <v>102</v>
      </c>
      <c r="AI101">
        <v>0</v>
      </c>
      <c r="AJ101">
        <v>30</v>
      </c>
    </row>
    <row r="102" spans="1:36" x14ac:dyDescent="0.25">
      <c r="A102" t="s">
        <v>1333</v>
      </c>
      <c r="B102">
        <v>100</v>
      </c>
      <c r="C102" t="s">
        <v>43</v>
      </c>
      <c r="D102">
        <v>3</v>
      </c>
      <c r="F102">
        <v>3</v>
      </c>
      <c r="G102" t="s">
        <v>73</v>
      </c>
      <c r="H102" t="s">
        <v>136</v>
      </c>
      <c r="I102" t="s">
        <v>75</v>
      </c>
      <c r="J102" t="s">
        <v>138</v>
      </c>
      <c r="K102" t="s">
        <v>38</v>
      </c>
      <c r="L102">
        <v>3</v>
      </c>
      <c r="M102">
        <v>3</v>
      </c>
      <c r="N102">
        <v>3</v>
      </c>
      <c r="O102" t="s">
        <v>39</v>
      </c>
      <c r="P102" t="s">
        <v>96</v>
      </c>
      <c r="Q102" t="s">
        <v>153</v>
      </c>
      <c r="R102" t="s">
        <v>42</v>
      </c>
      <c r="S102" t="s">
        <v>53</v>
      </c>
      <c r="T102">
        <v>3</v>
      </c>
      <c r="U102">
        <v>3</v>
      </c>
      <c r="V102">
        <v>3</v>
      </c>
      <c r="W102" t="s">
        <v>112</v>
      </c>
      <c r="X102" t="s">
        <v>55</v>
      </c>
      <c r="Y102" t="s">
        <v>97</v>
      </c>
      <c r="Z102" t="s">
        <v>115</v>
      </c>
      <c r="AA102" t="s">
        <v>45</v>
      </c>
      <c r="AB102">
        <v>2</v>
      </c>
      <c r="AD102">
        <v>1</v>
      </c>
      <c r="AE102" t="s">
        <v>140</v>
      </c>
      <c r="AF102" t="s">
        <v>76</v>
      </c>
      <c r="AI102">
        <v>0</v>
      </c>
      <c r="AJ102">
        <v>52</v>
      </c>
    </row>
    <row r="103" spans="1:36" x14ac:dyDescent="0.25">
      <c r="A103" t="s">
        <v>1334</v>
      </c>
      <c r="B103">
        <v>101</v>
      </c>
      <c r="C103" t="s">
        <v>53</v>
      </c>
      <c r="D103">
        <v>1</v>
      </c>
      <c r="E103">
        <v>1</v>
      </c>
      <c r="F103">
        <v>3</v>
      </c>
      <c r="G103" t="s">
        <v>112</v>
      </c>
      <c r="H103" t="s">
        <v>113</v>
      </c>
      <c r="I103" t="s">
        <v>97</v>
      </c>
      <c r="J103" t="s">
        <v>98</v>
      </c>
      <c r="K103" t="s">
        <v>45</v>
      </c>
      <c r="L103">
        <v>3</v>
      </c>
      <c r="N103">
        <v>1</v>
      </c>
      <c r="O103" t="s">
        <v>140</v>
      </c>
      <c r="P103" t="s">
        <v>76</v>
      </c>
      <c r="Q103" t="s">
        <v>102</v>
      </c>
      <c r="R103" t="s">
        <v>94</v>
      </c>
      <c r="S103" t="s">
        <v>43</v>
      </c>
      <c r="T103">
        <v>2</v>
      </c>
      <c r="V103">
        <v>1</v>
      </c>
      <c r="W103" t="s">
        <v>135</v>
      </c>
      <c r="AA103" t="s">
        <v>227</v>
      </c>
      <c r="AB103">
        <v>3</v>
      </c>
      <c r="AC103">
        <v>1</v>
      </c>
      <c r="AD103">
        <v>2</v>
      </c>
      <c r="AE103" t="s">
        <v>228</v>
      </c>
      <c r="AF103" t="s">
        <v>231</v>
      </c>
      <c r="AG103" t="s">
        <v>235</v>
      </c>
      <c r="AH103" t="s">
        <v>238</v>
      </c>
      <c r="AI103">
        <v>0</v>
      </c>
      <c r="AJ103">
        <v>22</v>
      </c>
    </row>
    <row r="104" spans="1:36" x14ac:dyDescent="0.25">
      <c r="A104" t="s">
        <v>1335</v>
      </c>
      <c r="B104">
        <v>102</v>
      </c>
      <c r="C104" t="s">
        <v>53</v>
      </c>
      <c r="D104">
        <v>3</v>
      </c>
      <c r="E104">
        <v>3</v>
      </c>
      <c r="F104">
        <v>3</v>
      </c>
      <c r="G104" t="s">
        <v>112</v>
      </c>
      <c r="H104" t="s">
        <v>83</v>
      </c>
      <c r="I104" t="s">
        <v>97</v>
      </c>
      <c r="J104" t="s">
        <v>115</v>
      </c>
      <c r="K104" t="s">
        <v>45</v>
      </c>
      <c r="L104">
        <v>3</v>
      </c>
      <c r="N104">
        <v>3</v>
      </c>
      <c r="O104" t="s">
        <v>86</v>
      </c>
      <c r="P104" t="s">
        <v>76</v>
      </c>
      <c r="Q104" t="s">
        <v>102</v>
      </c>
      <c r="R104" t="s">
        <v>144</v>
      </c>
      <c r="S104" t="s">
        <v>63</v>
      </c>
      <c r="T104">
        <v>3</v>
      </c>
      <c r="V104">
        <v>2</v>
      </c>
      <c r="W104" t="s">
        <v>103</v>
      </c>
      <c r="X104" t="s">
        <v>91</v>
      </c>
      <c r="Y104" t="s">
        <v>148</v>
      </c>
      <c r="Z104" t="s">
        <v>151</v>
      </c>
      <c r="AA104" t="s">
        <v>38</v>
      </c>
      <c r="AB104">
        <v>3</v>
      </c>
      <c r="AC104">
        <v>3</v>
      </c>
      <c r="AD104">
        <v>3</v>
      </c>
      <c r="AE104" t="s">
        <v>39</v>
      </c>
      <c r="AF104" t="s">
        <v>96</v>
      </c>
      <c r="AG104" t="s">
        <v>153</v>
      </c>
      <c r="AH104" t="s">
        <v>156</v>
      </c>
      <c r="AI104">
        <v>0</v>
      </c>
      <c r="AJ104">
        <v>40</v>
      </c>
    </row>
    <row r="105" spans="1:36" x14ac:dyDescent="0.25">
      <c r="A105" t="s">
        <v>1564</v>
      </c>
      <c r="B105">
        <v>103</v>
      </c>
      <c r="C105" t="s">
        <v>63</v>
      </c>
      <c r="D105">
        <v>3</v>
      </c>
      <c r="F105">
        <v>1</v>
      </c>
      <c r="G105" t="s">
        <v>103</v>
      </c>
      <c r="H105" t="s">
        <v>95</v>
      </c>
      <c r="I105" t="s">
        <v>147</v>
      </c>
      <c r="J105" t="s">
        <v>151</v>
      </c>
      <c r="K105" t="s">
        <v>227</v>
      </c>
      <c r="L105">
        <v>2</v>
      </c>
      <c r="M105">
        <v>1</v>
      </c>
      <c r="N105">
        <v>3</v>
      </c>
      <c r="O105" t="s">
        <v>229</v>
      </c>
      <c r="P105" t="s">
        <v>231</v>
      </c>
      <c r="Q105" t="s">
        <v>236</v>
      </c>
      <c r="S105" t="s">
        <v>53</v>
      </c>
      <c r="T105">
        <v>1</v>
      </c>
      <c r="U105">
        <v>3</v>
      </c>
      <c r="V105">
        <v>1</v>
      </c>
      <c r="W105" t="s">
        <v>111</v>
      </c>
      <c r="X105" t="s">
        <v>83</v>
      </c>
      <c r="Y105" t="s">
        <v>97</v>
      </c>
      <c r="Z105" t="s">
        <v>115</v>
      </c>
      <c r="AA105" t="s">
        <v>45</v>
      </c>
      <c r="AB105">
        <v>2</v>
      </c>
      <c r="AD105">
        <v>1</v>
      </c>
      <c r="AE105" t="s">
        <v>86</v>
      </c>
      <c r="AI105">
        <v>0</v>
      </c>
      <c r="AJ105">
        <v>21</v>
      </c>
    </row>
    <row r="106" spans="1:36" x14ac:dyDescent="0.25">
      <c r="A106" t="s">
        <v>1565</v>
      </c>
      <c r="B106">
        <v>104</v>
      </c>
      <c r="C106" t="s">
        <v>53</v>
      </c>
      <c r="D106">
        <v>1</v>
      </c>
      <c r="E106">
        <v>1</v>
      </c>
      <c r="F106">
        <v>2</v>
      </c>
      <c r="G106" t="s">
        <v>112</v>
      </c>
      <c r="H106" t="s">
        <v>113</v>
      </c>
      <c r="I106" t="s">
        <v>97</v>
      </c>
      <c r="J106" t="s">
        <v>98</v>
      </c>
      <c r="K106" t="s">
        <v>45</v>
      </c>
      <c r="L106">
        <v>3</v>
      </c>
      <c r="N106">
        <v>1</v>
      </c>
      <c r="O106" t="s">
        <v>140</v>
      </c>
      <c r="P106" t="s">
        <v>141</v>
      </c>
      <c r="Q106" t="s">
        <v>93</v>
      </c>
      <c r="S106" t="s">
        <v>38</v>
      </c>
      <c r="T106">
        <v>3</v>
      </c>
      <c r="U106">
        <v>1</v>
      </c>
      <c r="V106">
        <v>2</v>
      </c>
      <c r="W106" t="s">
        <v>39</v>
      </c>
      <c r="X106" t="s">
        <v>40</v>
      </c>
      <c r="Y106" t="s">
        <v>153</v>
      </c>
      <c r="AA106" t="s">
        <v>227</v>
      </c>
      <c r="AB106">
        <v>1</v>
      </c>
      <c r="AC106">
        <v>1</v>
      </c>
      <c r="AD106">
        <v>1</v>
      </c>
      <c r="AE106" t="s">
        <v>228</v>
      </c>
      <c r="AF106" t="s">
        <v>231</v>
      </c>
      <c r="AG106" t="s">
        <v>235</v>
      </c>
      <c r="AH106" t="s">
        <v>238</v>
      </c>
      <c r="AI106">
        <v>0</v>
      </c>
      <c r="AJ106">
        <v>21</v>
      </c>
    </row>
    <row r="107" spans="1:36" x14ac:dyDescent="0.25">
      <c r="A107" t="s">
        <v>1566</v>
      </c>
      <c r="B107">
        <v>105</v>
      </c>
      <c r="C107" t="s">
        <v>53</v>
      </c>
      <c r="D107">
        <v>3</v>
      </c>
      <c r="E107">
        <v>3</v>
      </c>
      <c r="F107">
        <v>3</v>
      </c>
      <c r="G107" t="s">
        <v>112</v>
      </c>
      <c r="H107" t="s">
        <v>83</v>
      </c>
      <c r="I107" t="s">
        <v>97</v>
      </c>
      <c r="J107" t="s">
        <v>98</v>
      </c>
      <c r="K107" t="s">
        <v>63</v>
      </c>
      <c r="L107">
        <v>1</v>
      </c>
      <c r="N107">
        <v>1</v>
      </c>
      <c r="O107" t="s">
        <v>103</v>
      </c>
      <c r="P107" t="s">
        <v>91</v>
      </c>
      <c r="Q107" t="s">
        <v>148</v>
      </c>
      <c r="R107" t="s">
        <v>149</v>
      </c>
      <c r="S107" t="s">
        <v>56</v>
      </c>
      <c r="T107">
        <v>3</v>
      </c>
      <c r="V107">
        <v>1</v>
      </c>
      <c r="W107" t="s">
        <v>120</v>
      </c>
      <c r="X107" t="s">
        <v>122</v>
      </c>
      <c r="AA107" t="s">
        <v>48</v>
      </c>
      <c r="AB107">
        <v>3</v>
      </c>
      <c r="AD107">
        <v>3</v>
      </c>
      <c r="AE107" t="s">
        <v>126</v>
      </c>
      <c r="AF107" t="s">
        <v>84</v>
      </c>
      <c r="AG107" t="s">
        <v>127</v>
      </c>
      <c r="AH107" t="s">
        <v>129</v>
      </c>
      <c r="AI107">
        <v>0</v>
      </c>
      <c r="AJ107">
        <v>39</v>
      </c>
    </row>
    <row r="108" spans="1:36" x14ac:dyDescent="0.25">
      <c r="A108" t="s">
        <v>1336</v>
      </c>
      <c r="B108">
        <v>106</v>
      </c>
      <c r="C108" t="s">
        <v>56</v>
      </c>
      <c r="D108">
        <v>3</v>
      </c>
      <c r="F108">
        <v>2</v>
      </c>
      <c r="G108" t="s">
        <v>57</v>
      </c>
      <c r="H108" t="s">
        <v>121</v>
      </c>
      <c r="I108" t="s">
        <v>123</v>
      </c>
      <c r="J108" t="s">
        <v>124</v>
      </c>
      <c r="K108" t="s">
        <v>33</v>
      </c>
      <c r="L108">
        <v>1</v>
      </c>
      <c r="N108">
        <v>3</v>
      </c>
      <c r="O108" t="s">
        <v>34</v>
      </c>
      <c r="S108" t="s">
        <v>53</v>
      </c>
      <c r="T108">
        <v>3</v>
      </c>
      <c r="U108">
        <v>1</v>
      </c>
      <c r="V108">
        <v>1</v>
      </c>
      <c r="W108" t="s">
        <v>111</v>
      </c>
      <c r="AA108" t="s">
        <v>63</v>
      </c>
      <c r="AB108">
        <v>2</v>
      </c>
      <c r="AD108">
        <v>3</v>
      </c>
      <c r="AE108" t="s">
        <v>145</v>
      </c>
      <c r="AF108" t="s">
        <v>146</v>
      </c>
      <c r="AG108" t="s">
        <v>147</v>
      </c>
      <c r="AH108" t="s">
        <v>150</v>
      </c>
      <c r="AI108">
        <v>0</v>
      </c>
      <c r="AJ108">
        <v>21</v>
      </c>
    </row>
    <row r="109" spans="1:36" x14ac:dyDescent="0.25">
      <c r="A109" t="s">
        <v>1567</v>
      </c>
      <c r="B109">
        <v>107</v>
      </c>
      <c r="C109" t="s">
        <v>56</v>
      </c>
      <c r="D109">
        <v>3</v>
      </c>
      <c r="F109">
        <v>1</v>
      </c>
      <c r="G109" t="s">
        <v>57</v>
      </c>
      <c r="H109" t="s">
        <v>122</v>
      </c>
      <c r="I109" t="s">
        <v>123</v>
      </c>
      <c r="J109" t="s">
        <v>125</v>
      </c>
      <c r="K109" t="s">
        <v>43</v>
      </c>
      <c r="L109">
        <v>3</v>
      </c>
      <c r="N109">
        <v>3</v>
      </c>
      <c r="O109" t="s">
        <v>135</v>
      </c>
      <c r="P109" t="s">
        <v>136</v>
      </c>
      <c r="Q109" t="s">
        <v>137</v>
      </c>
      <c r="S109" t="s">
        <v>53</v>
      </c>
      <c r="T109">
        <v>1</v>
      </c>
      <c r="U109">
        <v>3</v>
      </c>
      <c r="V109">
        <v>3</v>
      </c>
      <c r="W109" t="s">
        <v>112</v>
      </c>
      <c r="X109" t="s">
        <v>83</v>
      </c>
      <c r="AA109" t="s">
        <v>63</v>
      </c>
      <c r="AB109">
        <v>1</v>
      </c>
      <c r="AD109">
        <v>2</v>
      </c>
      <c r="AE109" t="s">
        <v>145</v>
      </c>
      <c r="AF109" t="s">
        <v>146</v>
      </c>
      <c r="AG109" t="s">
        <v>104</v>
      </c>
      <c r="AI109">
        <v>0</v>
      </c>
      <c r="AJ109">
        <v>25</v>
      </c>
    </row>
    <row r="110" spans="1:36" x14ac:dyDescent="0.25">
      <c r="A110" t="s">
        <v>1337</v>
      </c>
      <c r="B110">
        <v>108</v>
      </c>
      <c r="C110" t="s">
        <v>53</v>
      </c>
      <c r="D110">
        <v>3</v>
      </c>
      <c r="E110">
        <v>3</v>
      </c>
      <c r="F110">
        <v>3</v>
      </c>
      <c r="G110" t="s">
        <v>112</v>
      </c>
      <c r="H110" t="s">
        <v>83</v>
      </c>
      <c r="I110" t="s">
        <v>97</v>
      </c>
      <c r="J110" t="s">
        <v>116</v>
      </c>
      <c r="K110" t="s">
        <v>63</v>
      </c>
      <c r="L110">
        <v>3</v>
      </c>
      <c r="N110">
        <v>3</v>
      </c>
      <c r="O110" t="s">
        <v>145</v>
      </c>
      <c r="P110" t="s">
        <v>146</v>
      </c>
      <c r="Q110" t="s">
        <v>104</v>
      </c>
      <c r="R110" t="s">
        <v>150</v>
      </c>
      <c r="S110" t="s">
        <v>56</v>
      </c>
      <c r="T110">
        <v>3</v>
      </c>
      <c r="V110">
        <v>3</v>
      </c>
      <c r="W110" t="s">
        <v>57</v>
      </c>
      <c r="X110" t="s">
        <v>122</v>
      </c>
      <c r="Y110" t="s">
        <v>123</v>
      </c>
      <c r="Z110" t="s">
        <v>124</v>
      </c>
      <c r="AA110" t="s">
        <v>45</v>
      </c>
      <c r="AB110">
        <v>3</v>
      </c>
      <c r="AD110">
        <v>1</v>
      </c>
      <c r="AE110" t="s">
        <v>86</v>
      </c>
      <c r="AF110" t="s">
        <v>76</v>
      </c>
      <c r="AI110">
        <v>0</v>
      </c>
      <c r="AJ110">
        <v>42</v>
      </c>
    </row>
    <row r="111" spans="1:36" x14ac:dyDescent="0.25">
      <c r="A111" t="s">
        <v>1338</v>
      </c>
      <c r="B111">
        <v>109</v>
      </c>
      <c r="C111" t="s">
        <v>53</v>
      </c>
      <c r="D111">
        <v>3</v>
      </c>
      <c r="E111">
        <v>3</v>
      </c>
      <c r="F111">
        <v>3</v>
      </c>
      <c r="G111" t="s">
        <v>112</v>
      </c>
      <c r="H111" t="s">
        <v>83</v>
      </c>
      <c r="I111" t="s">
        <v>97</v>
      </c>
      <c r="J111" t="s">
        <v>116</v>
      </c>
      <c r="K111" t="s">
        <v>63</v>
      </c>
      <c r="L111">
        <v>3</v>
      </c>
      <c r="N111">
        <v>3</v>
      </c>
      <c r="O111" t="s">
        <v>103</v>
      </c>
      <c r="P111" t="s">
        <v>91</v>
      </c>
      <c r="Q111" t="s">
        <v>147</v>
      </c>
      <c r="R111" t="s">
        <v>151</v>
      </c>
      <c r="S111" t="s">
        <v>56</v>
      </c>
      <c r="T111">
        <v>3</v>
      </c>
      <c r="V111">
        <v>1</v>
      </c>
      <c r="W111" t="s">
        <v>57</v>
      </c>
      <c r="X111" t="s">
        <v>122</v>
      </c>
      <c r="AA111" t="s">
        <v>38</v>
      </c>
      <c r="AB111">
        <v>3</v>
      </c>
      <c r="AC111">
        <v>3</v>
      </c>
      <c r="AD111">
        <v>3</v>
      </c>
      <c r="AE111" t="s">
        <v>39</v>
      </c>
      <c r="AF111" t="s">
        <v>40</v>
      </c>
      <c r="AG111" t="s">
        <v>153</v>
      </c>
      <c r="AH111" t="s">
        <v>42</v>
      </c>
      <c r="AI111">
        <v>0</v>
      </c>
      <c r="AJ111">
        <v>36</v>
      </c>
    </row>
    <row r="112" spans="1:36" x14ac:dyDescent="0.25">
      <c r="A112" t="s">
        <v>1339</v>
      </c>
      <c r="B112">
        <v>110</v>
      </c>
      <c r="C112" t="s">
        <v>53</v>
      </c>
      <c r="D112">
        <v>3</v>
      </c>
      <c r="E112">
        <v>3</v>
      </c>
      <c r="F112">
        <v>3</v>
      </c>
      <c r="G112" t="s">
        <v>112</v>
      </c>
      <c r="H112" t="s">
        <v>83</v>
      </c>
      <c r="I112" t="s">
        <v>97</v>
      </c>
      <c r="J112" t="s">
        <v>116</v>
      </c>
      <c r="K112" t="s">
        <v>63</v>
      </c>
      <c r="L112">
        <v>3</v>
      </c>
      <c r="N112">
        <v>3</v>
      </c>
      <c r="O112" t="s">
        <v>103</v>
      </c>
      <c r="P112" t="s">
        <v>91</v>
      </c>
      <c r="Q112" t="s">
        <v>147</v>
      </c>
      <c r="R112" t="s">
        <v>150</v>
      </c>
      <c r="S112" t="s">
        <v>56</v>
      </c>
      <c r="T112">
        <v>3</v>
      </c>
      <c r="V112">
        <v>3</v>
      </c>
      <c r="W112" t="s">
        <v>57</v>
      </c>
      <c r="X112" t="s">
        <v>122</v>
      </c>
      <c r="Y112" t="s">
        <v>123</v>
      </c>
      <c r="Z112" t="s">
        <v>124</v>
      </c>
      <c r="AA112" t="s">
        <v>227</v>
      </c>
      <c r="AB112">
        <v>2</v>
      </c>
      <c r="AC112">
        <v>2</v>
      </c>
      <c r="AD112">
        <v>2</v>
      </c>
      <c r="AE112" t="s">
        <v>229</v>
      </c>
      <c r="AF112" t="s">
        <v>233</v>
      </c>
      <c r="AG112" t="s">
        <v>236</v>
      </c>
      <c r="AH112" t="s">
        <v>239</v>
      </c>
      <c r="AI112">
        <v>0</v>
      </c>
      <c r="AJ112">
        <v>50</v>
      </c>
    </row>
    <row r="113" spans="1:36" x14ac:dyDescent="0.25">
      <c r="A113" t="s">
        <v>1340</v>
      </c>
      <c r="B113">
        <v>111</v>
      </c>
      <c r="C113" t="s">
        <v>53</v>
      </c>
      <c r="D113">
        <v>3</v>
      </c>
      <c r="E113">
        <v>1</v>
      </c>
      <c r="F113">
        <v>2</v>
      </c>
      <c r="G113" t="s">
        <v>111</v>
      </c>
      <c r="K113" t="s">
        <v>63</v>
      </c>
      <c r="L113">
        <v>3</v>
      </c>
      <c r="N113">
        <v>1</v>
      </c>
      <c r="O113" t="s">
        <v>72</v>
      </c>
      <c r="P113" t="s">
        <v>146</v>
      </c>
      <c r="S113" t="s">
        <v>48</v>
      </c>
      <c r="T113">
        <v>2</v>
      </c>
      <c r="V113">
        <v>1</v>
      </c>
      <c r="W113" t="s">
        <v>49</v>
      </c>
      <c r="X113" t="s">
        <v>84</v>
      </c>
      <c r="Y113" t="s">
        <v>127</v>
      </c>
      <c r="AA113" t="s">
        <v>33</v>
      </c>
      <c r="AB113">
        <v>1</v>
      </c>
      <c r="AD113">
        <v>3</v>
      </c>
      <c r="AE113" t="s">
        <v>34</v>
      </c>
      <c r="AI113">
        <v>0</v>
      </c>
      <c r="AJ113">
        <v>15</v>
      </c>
    </row>
    <row r="114" spans="1:36" x14ac:dyDescent="0.25">
      <c r="A114" t="s">
        <v>1568</v>
      </c>
      <c r="B114">
        <v>112</v>
      </c>
      <c r="C114" t="s">
        <v>53</v>
      </c>
      <c r="D114">
        <v>3</v>
      </c>
      <c r="E114">
        <v>3</v>
      </c>
      <c r="F114">
        <v>3</v>
      </c>
      <c r="G114" t="s">
        <v>112</v>
      </c>
      <c r="H114" t="s">
        <v>113</v>
      </c>
      <c r="I114" t="s">
        <v>97</v>
      </c>
      <c r="J114" t="s">
        <v>116</v>
      </c>
      <c r="K114" t="s">
        <v>63</v>
      </c>
      <c r="L114">
        <v>3</v>
      </c>
      <c r="N114">
        <v>3</v>
      </c>
      <c r="O114" t="s">
        <v>145</v>
      </c>
      <c r="P114" t="s">
        <v>91</v>
      </c>
      <c r="Q114" t="s">
        <v>148</v>
      </c>
      <c r="R114" t="s">
        <v>150</v>
      </c>
      <c r="S114" t="s">
        <v>48</v>
      </c>
      <c r="T114">
        <v>3</v>
      </c>
      <c r="V114">
        <v>3</v>
      </c>
      <c r="W114" t="s">
        <v>49</v>
      </c>
      <c r="X114" t="s">
        <v>50</v>
      </c>
      <c r="Y114" t="s">
        <v>127</v>
      </c>
      <c r="Z114" t="s">
        <v>129</v>
      </c>
      <c r="AA114" t="s">
        <v>43</v>
      </c>
      <c r="AB114">
        <v>3</v>
      </c>
      <c r="AD114">
        <v>3</v>
      </c>
      <c r="AE114" t="s">
        <v>73</v>
      </c>
      <c r="AF114" t="s">
        <v>99</v>
      </c>
      <c r="AG114" t="s">
        <v>75</v>
      </c>
      <c r="AH114" t="s">
        <v>139</v>
      </c>
      <c r="AI114">
        <v>0</v>
      </c>
      <c r="AJ114">
        <v>48</v>
      </c>
    </row>
    <row r="115" spans="1:36" x14ac:dyDescent="0.25">
      <c r="A115" t="s">
        <v>1341</v>
      </c>
      <c r="B115">
        <v>113</v>
      </c>
      <c r="C115" t="s">
        <v>53</v>
      </c>
      <c r="D115">
        <v>3</v>
      </c>
      <c r="E115">
        <v>3</v>
      </c>
      <c r="F115">
        <v>3</v>
      </c>
      <c r="G115" t="s">
        <v>112</v>
      </c>
      <c r="H115" t="s">
        <v>113</v>
      </c>
      <c r="I115" t="s">
        <v>97</v>
      </c>
      <c r="J115" t="s">
        <v>116</v>
      </c>
      <c r="K115" t="s">
        <v>63</v>
      </c>
      <c r="L115">
        <v>3</v>
      </c>
      <c r="N115">
        <v>3</v>
      </c>
      <c r="O115" t="s">
        <v>145</v>
      </c>
      <c r="P115" t="s">
        <v>91</v>
      </c>
      <c r="Q115" t="s">
        <v>148</v>
      </c>
      <c r="R115" t="s">
        <v>151</v>
      </c>
      <c r="S115" t="s">
        <v>48</v>
      </c>
      <c r="T115">
        <v>3</v>
      </c>
      <c r="V115">
        <v>3</v>
      </c>
      <c r="W115" t="s">
        <v>126</v>
      </c>
      <c r="X115" t="s">
        <v>84</v>
      </c>
      <c r="Y115" t="s">
        <v>127</v>
      </c>
      <c r="Z115" t="s">
        <v>129</v>
      </c>
      <c r="AA115" t="s">
        <v>45</v>
      </c>
      <c r="AB115">
        <v>3</v>
      </c>
      <c r="AD115">
        <v>3</v>
      </c>
      <c r="AE115" t="s">
        <v>86</v>
      </c>
      <c r="AF115" t="s">
        <v>76</v>
      </c>
      <c r="AG115" t="s">
        <v>102</v>
      </c>
      <c r="AH115" t="s">
        <v>94</v>
      </c>
      <c r="AI115">
        <v>0</v>
      </c>
      <c r="AJ115">
        <v>50</v>
      </c>
    </row>
    <row r="116" spans="1:36" x14ac:dyDescent="0.25">
      <c r="A116" t="s">
        <v>1342</v>
      </c>
      <c r="B116">
        <v>114</v>
      </c>
      <c r="C116" t="s">
        <v>53</v>
      </c>
      <c r="D116">
        <v>3</v>
      </c>
      <c r="E116">
        <v>3</v>
      </c>
      <c r="F116">
        <v>3</v>
      </c>
      <c r="G116" t="s">
        <v>112</v>
      </c>
      <c r="H116" t="s">
        <v>113</v>
      </c>
      <c r="I116" t="s">
        <v>105</v>
      </c>
      <c r="J116" t="s">
        <v>116</v>
      </c>
      <c r="K116" t="s">
        <v>63</v>
      </c>
      <c r="L116">
        <v>3</v>
      </c>
      <c r="N116">
        <v>3</v>
      </c>
      <c r="O116" t="s">
        <v>145</v>
      </c>
      <c r="P116" t="s">
        <v>91</v>
      </c>
      <c r="Q116" t="s">
        <v>147</v>
      </c>
      <c r="R116" t="s">
        <v>150</v>
      </c>
      <c r="S116" t="s">
        <v>48</v>
      </c>
      <c r="T116">
        <v>3</v>
      </c>
      <c r="V116">
        <v>3</v>
      </c>
      <c r="W116" t="s">
        <v>49</v>
      </c>
      <c r="X116" t="s">
        <v>84</v>
      </c>
      <c r="Y116" t="s">
        <v>127</v>
      </c>
      <c r="Z116" t="s">
        <v>129</v>
      </c>
      <c r="AA116" t="s">
        <v>38</v>
      </c>
      <c r="AB116">
        <v>2</v>
      </c>
      <c r="AC116">
        <v>1</v>
      </c>
      <c r="AD116">
        <v>3</v>
      </c>
      <c r="AE116" t="s">
        <v>152</v>
      </c>
      <c r="AF116" t="s">
        <v>40</v>
      </c>
      <c r="AG116" t="s">
        <v>41</v>
      </c>
      <c r="AH116" t="s">
        <v>155</v>
      </c>
      <c r="AI116">
        <v>0</v>
      </c>
      <c r="AJ116">
        <v>43</v>
      </c>
    </row>
    <row r="117" spans="1:36" x14ac:dyDescent="0.25">
      <c r="A117" t="s">
        <v>1343</v>
      </c>
      <c r="B117">
        <v>115</v>
      </c>
      <c r="C117" t="s">
        <v>48</v>
      </c>
      <c r="D117">
        <v>3</v>
      </c>
      <c r="F117">
        <v>3</v>
      </c>
      <c r="G117" t="s">
        <v>49</v>
      </c>
      <c r="H117" t="s">
        <v>71</v>
      </c>
      <c r="I117" t="s">
        <v>127</v>
      </c>
      <c r="J117" t="s">
        <v>129</v>
      </c>
      <c r="K117" t="s">
        <v>227</v>
      </c>
      <c r="L117">
        <v>3</v>
      </c>
      <c r="M117">
        <v>3</v>
      </c>
      <c r="N117">
        <v>3</v>
      </c>
      <c r="O117" t="s">
        <v>229</v>
      </c>
      <c r="P117" t="s">
        <v>231</v>
      </c>
      <c r="Q117" t="s">
        <v>236</v>
      </c>
      <c r="R117" t="s">
        <v>237</v>
      </c>
      <c r="S117" t="s">
        <v>53</v>
      </c>
      <c r="T117">
        <v>3</v>
      </c>
      <c r="U117">
        <v>2</v>
      </c>
      <c r="V117">
        <v>3</v>
      </c>
      <c r="W117" t="s">
        <v>112</v>
      </c>
      <c r="X117" t="s">
        <v>83</v>
      </c>
      <c r="Y117" t="s">
        <v>97</v>
      </c>
      <c r="Z117" t="s">
        <v>98</v>
      </c>
      <c r="AA117" t="s">
        <v>63</v>
      </c>
      <c r="AB117">
        <v>1</v>
      </c>
      <c r="AD117">
        <v>3</v>
      </c>
      <c r="AE117" t="s">
        <v>145</v>
      </c>
      <c r="AF117" t="s">
        <v>91</v>
      </c>
      <c r="AG117" t="s">
        <v>148</v>
      </c>
      <c r="AH117" t="s">
        <v>151</v>
      </c>
      <c r="AI117">
        <v>0</v>
      </c>
      <c r="AJ117">
        <v>34</v>
      </c>
    </row>
    <row r="118" spans="1:36" x14ac:dyDescent="0.25">
      <c r="A118" t="s">
        <v>1344</v>
      </c>
      <c r="B118">
        <v>116</v>
      </c>
      <c r="C118" t="s">
        <v>53</v>
      </c>
      <c r="D118">
        <v>3</v>
      </c>
      <c r="E118">
        <v>3</v>
      </c>
      <c r="F118">
        <v>3</v>
      </c>
      <c r="G118" t="s">
        <v>112</v>
      </c>
      <c r="H118" t="s">
        <v>55</v>
      </c>
      <c r="I118" t="s">
        <v>114</v>
      </c>
      <c r="J118" t="s">
        <v>98</v>
      </c>
      <c r="K118" t="s">
        <v>63</v>
      </c>
      <c r="L118">
        <v>3</v>
      </c>
      <c r="N118">
        <v>3</v>
      </c>
      <c r="O118" t="s">
        <v>145</v>
      </c>
      <c r="P118" t="s">
        <v>146</v>
      </c>
      <c r="Q118" t="s">
        <v>104</v>
      </c>
      <c r="R118" t="s">
        <v>149</v>
      </c>
      <c r="S118" t="s">
        <v>33</v>
      </c>
      <c r="T118">
        <v>2</v>
      </c>
      <c r="V118">
        <v>1</v>
      </c>
      <c r="W118" t="s">
        <v>34</v>
      </c>
      <c r="AA118" t="s">
        <v>43</v>
      </c>
      <c r="AB118">
        <v>3</v>
      </c>
      <c r="AD118">
        <v>3</v>
      </c>
      <c r="AE118" t="s">
        <v>135</v>
      </c>
      <c r="AF118" t="s">
        <v>136</v>
      </c>
      <c r="AG118" t="s">
        <v>137</v>
      </c>
      <c r="AH118" t="s">
        <v>138</v>
      </c>
      <c r="AI118">
        <v>0</v>
      </c>
      <c r="AJ118">
        <v>37</v>
      </c>
    </row>
    <row r="119" spans="1:36" x14ac:dyDescent="0.25">
      <c r="A119" t="s">
        <v>1345</v>
      </c>
      <c r="B119">
        <v>117</v>
      </c>
      <c r="C119" t="s">
        <v>33</v>
      </c>
      <c r="D119">
        <v>3</v>
      </c>
      <c r="F119">
        <v>1</v>
      </c>
      <c r="G119" t="s">
        <v>34</v>
      </c>
      <c r="H119" t="s">
        <v>130</v>
      </c>
      <c r="I119" t="s">
        <v>132</v>
      </c>
      <c r="J119" t="s">
        <v>37</v>
      </c>
      <c r="K119" t="s">
        <v>45</v>
      </c>
      <c r="L119">
        <v>3</v>
      </c>
      <c r="N119">
        <v>1</v>
      </c>
      <c r="O119" t="s">
        <v>86</v>
      </c>
      <c r="P119" t="s">
        <v>141</v>
      </c>
      <c r="S119" t="s">
        <v>53</v>
      </c>
      <c r="T119">
        <v>2</v>
      </c>
      <c r="U119">
        <v>1</v>
      </c>
      <c r="V119">
        <v>3</v>
      </c>
      <c r="W119" t="s">
        <v>112</v>
      </c>
      <c r="X119" t="s">
        <v>113</v>
      </c>
      <c r="AA119" t="s">
        <v>63</v>
      </c>
      <c r="AB119">
        <v>1</v>
      </c>
      <c r="AD119">
        <v>1</v>
      </c>
      <c r="AE119" t="s">
        <v>145</v>
      </c>
      <c r="AF119" t="s">
        <v>146</v>
      </c>
      <c r="AI119">
        <v>0</v>
      </c>
      <c r="AJ119">
        <v>17</v>
      </c>
    </row>
    <row r="120" spans="1:36" x14ac:dyDescent="0.25">
      <c r="A120" t="s">
        <v>1346</v>
      </c>
      <c r="B120">
        <v>118</v>
      </c>
      <c r="C120" t="s">
        <v>53</v>
      </c>
      <c r="D120">
        <v>1</v>
      </c>
      <c r="E120">
        <v>1</v>
      </c>
      <c r="F120">
        <v>2</v>
      </c>
      <c r="G120" t="s">
        <v>111</v>
      </c>
      <c r="H120" t="s">
        <v>83</v>
      </c>
      <c r="I120" t="s">
        <v>105</v>
      </c>
      <c r="J120" t="s">
        <v>116</v>
      </c>
      <c r="K120" t="s">
        <v>63</v>
      </c>
      <c r="L120">
        <v>2</v>
      </c>
      <c r="N120">
        <v>1</v>
      </c>
      <c r="O120" t="s">
        <v>145</v>
      </c>
      <c r="P120" t="s">
        <v>146</v>
      </c>
      <c r="Q120" t="s">
        <v>147</v>
      </c>
      <c r="S120" t="s">
        <v>33</v>
      </c>
      <c r="T120">
        <v>3</v>
      </c>
      <c r="V120">
        <v>1</v>
      </c>
      <c r="W120" t="s">
        <v>34</v>
      </c>
      <c r="AA120" t="s">
        <v>38</v>
      </c>
      <c r="AB120">
        <v>2</v>
      </c>
      <c r="AC120">
        <v>1</v>
      </c>
      <c r="AD120">
        <v>1</v>
      </c>
      <c r="AE120" t="s">
        <v>152</v>
      </c>
      <c r="AF120" t="s">
        <v>96</v>
      </c>
      <c r="AG120" t="s">
        <v>41</v>
      </c>
      <c r="AH120" t="s">
        <v>42</v>
      </c>
      <c r="AI120">
        <v>0</v>
      </c>
      <c r="AJ120">
        <v>17</v>
      </c>
    </row>
    <row r="121" spans="1:36" x14ac:dyDescent="0.25">
      <c r="A121" t="s">
        <v>1569</v>
      </c>
      <c r="B121">
        <v>119</v>
      </c>
      <c r="C121" t="s">
        <v>33</v>
      </c>
      <c r="D121">
        <v>3</v>
      </c>
      <c r="F121">
        <v>2</v>
      </c>
      <c r="G121" t="s">
        <v>34</v>
      </c>
      <c r="H121" t="s">
        <v>35</v>
      </c>
      <c r="K121" t="s">
        <v>227</v>
      </c>
      <c r="L121">
        <v>2</v>
      </c>
      <c r="M121">
        <v>1</v>
      </c>
      <c r="N121">
        <v>3</v>
      </c>
      <c r="O121" t="s">
        <v>229</v>
      </c>
      <c r="P121" t="s">
        <v>231</v>
      </c>
      <c r="Q121" t="s">
        <v>234</v>
      </c>
      <c r="R121" t="s">
        <v>239</v>
      </c>
      <c r="S121" t="s">
        <v>53</v>
      </c>
      <c r="T121">
        <v>2</v>
      </c>
      <c r="U121">
        <v>1</v>
      </c>
      <c r="V121">
        <v>1</v>
      </c>
      <c r="W121" t="s">
        <v>111</v>
      </c>
      <c r="X121" t="s">
        <v>55</v>
      </c>
      <c r="Y121" t="s">
        <v>97</v>
      </c>
      <c r="AA121" t="s">
        <v>63</v>
      </c>
      <c r="AB121">
        <v>3</v>
      </c>
      <c r="AD121">
        <v>1</v>
      </c>
      <c r="AE121" t="s">
        <v>72</v>
      </c>
      <c r="AF121" t="s">
        <v>95</v>
      </c>
      <c r="AG121" t="s">
        <v>147</v>
      </c>
      <c r="AH121" t="s">
        <v>151</v>
      </c>
      <c r="AI121">
        <v>0</v>
      </c>
      <c r="AJ121">
        <v>22</v>
      </c>
    </row>
    <row r="122" spans="1:36" x14ac:dyDescent="0.25">
      <c r="A122" t="s">
        <v>1347</v>
      </c>
      <c r="B122">
        <v>120</v>
      </c>
      <c r="C122" t="s">
        <v>53</v>
      </c>
      <c r="D122">
        <v>3</v>
      </c>
      <c r="E122">
        <v>2</v>
      </c>
      <c r="F122">
        <v>3</v>
      </c>
      <c r="G122" t="s">
        <v>112</v>
      </c>
      <c r="H122" t="s">
        <v>113</v>
      </c>
      <c r="I122" t="s">
        <v>97</v>
      </c>
      <c r="J122" t="s">
        <v>98</v>
      </c>
      <c r="K122" t="s">
        <v>63</v>
      </c>
      <c r="L122">
        <v>3</v>
      </c>
      <c r="N122">
        <v>3</v>
      </c>
      <c r="O122" t="s">
        <v>145</v>
      </c>
      <c r="P122" t="s">
        <v>146</v>
      </c>
      <c r="Q122" t="s">
        <v>104</v>
      </c>
      <c r="R122" t="s">
        <v>150</v>
      </c>
      <c r="S122" t="s">
        <v>43</v>
      </c>
      <c r="T122">
        <v>3</v>
      </c>
      <c r="V122">
        <v>3</v>
      </c>
      <c r="W122" t="s">
        <v>73</v>
      </c>
      <c r="X122" t="s">
        <v>99</v>
      </c>
      <c r="Y122" t="s">
        <v>75</v>
      </c>
      <c r="Z122" t="s">
        <v>101</v>
      </c>
      <c r="AA122" t="s">
        <v>45</v>
      </c>
      <c r="AB122">
        <v>3</v>
      </c>
      <c r="AD122">
        <v>3</v>
      </c>
      <c r="AE122" t="s">
        <v>86</v>
      </c>
      <c r="AF122" t="s">
        <v>76</v>
      </c>
      <c r="AG122" t="s">
        <v>102</v>
      </c>
      <c r="AH122" t="s">
        <v>144</v>
      </c>
      <c r="AI122">
        <v>0</v>
      </c>
      <c r="AJ122">
        <v>34</v>
      </c>
    </row>
    <row r="123" spans="1:36" x14ac:dyDescent="0.25">
      <c r="A123" t="s">
        <v>1348</v>
      </c>
      <c r="B123">
        <v>121</v>
      </c>
      <c r="C123" t="s">
        <v>53</v>
      </c>
      <c r="D123">
        <v>3</v>
      </c>
      <c r="E123">
        <v>3</v>
      </c>
      <c r="F123">
        <v>3</v>
      </c>
      <c r="G123" t="s">
        <v>112</v>
      </c>
      <c r="H123" t="s">
        <v>113</v>
      </c>
      <c r="I123" t="s">
        <v>97</v>
      </c>
      <c r="J123" t="s">
        <v>116</v>
      </c>
      <c r="K123" t="s">
        <v>63</v>
      </c>
      <c r="L123">
        <v>3</v>
      </c>
      <c r="N123">
        <v>3</v>
      </c>
      <c r="O123" t="s">
        <v>103</v>
      </c>
      <c r="P123" t="s">
        <v>91</v>
      </c>
      <c r="Q123" t="s">
        <v>147</v>
      </c>
      <c r="R123" t="s">
        <v>151</v>
      </c>
      <c r="S123" t="s">
        <v>43</v>
      </c>
      <c r="T123">
        <v>3</v>
      </c>
      <c r="V123">
        <v>3</v>
      </c>
      <c r="W123" t="s">
        <v>73</v>
      </c>
      <c r="X123" t="s">
        <v>99</v>
      </c>
      <c r="Y123" t="s">
        <v>75</v>
      </c>
      <c r="Z123" t="s">
        <v>101</v>
      </c>
      <c r="AA123" t="s">
        <v>38</v>
      </c>
      <c r="AB123">
        <v>3</v>
      </c>
      <c r="AC123">
        <v>3</v>
      </c>
      <c r="AD123">
        <v>3</v>
      </c>
      <c r="AE123" t="s">
        <v>39</v>
      </c>
      <c r="AF123" t="s">
        <v>40</v>
      </c>
      <c r="AG123" t="s">
        <v>41</v>
      </c>
      <c r="AH123" t="s">
        <v>156</v>
      </c>
      <c r="AI123">
        <v>0</v>
      </c>
      <c r="AJ123">
        <v>54</v>
      </c>
    </row>
    <row r="124" spans="1:36" x14ac:dyDescent="0.25">
      <c r="A124" t="s">
        <v>1570</v>
      </c>
      <c r="B124">
        <v>122</v>
      </c>
      <c r="C124" t="s">
        <v>53</v>
      </c>
      <c r="D124">
        <v>3</v>
      </c>
      <c r="E124">
        <v>2</v>
      </c>
      <c r="F124">
        <v>2</v>
      </c>
      <c r="G124" t="s">
        <v>112</v>
      </c>
      <c r="H124" t="s">
        <v>83</v>
      </c>
      <c r="I124" t="s">
        <v>97</v>
      </c>
      <c r="J124" t="s">
        <v>116</v>
      </c>
      <c r="K124" t="s">
        <v>63</v>
      </c>
      <c r="L124">
        <v>3</v>
      </c>
      <c r="N124">
        <v>2</v>
      </c>
      <c r="O124" t="s">
        <v>145</v>
      </c>
      <c r="P124" t="s">
        <v>91</v>
      </c>
      <c r="Q124" t="s">
        <v>148</v>
      </c>
      <c r="R124" t="s">
        <v>151</v>
      </c>
      <c r="S124" t="s">
        <v>43</v>
      </c>
      <c r="T124">
        <v>3</v>
      </c>
      <c r="V124">
        <v>2</v>
      </c>
      <c r="W124" t="s">
        <v>73</v>
      </c>
      <c r="X124" t="s">
        <v>99</v>
      </c>
      <c r="Y124" t="s">
        <v>75</v>
      </c>
      <c r="Z124" t="s">
        <v>101</v>
      </c>
      <c r="AA124" t="s">
        <v>227</v>
      </c>
      <c r="AB124">
        <v>2</v>
      </c>
      <c r="AC124">
        <v>3</v>
      </c>
      <c r="AD124">
        <v>2</v>
      </c>
      <c r="AE124" t="s">
        <v>229</v>
      </c>
      <c r="AF124" t="s">
        <v>231</v>
      </c>
      <c r="AG124" t="s">
        <v>234</v>
      </c>
      <c r="AH124" t="s">
        <v>239</v>
      </c>
      <c r="AI124">
        <v>0</v>
      </c>
      <c r="AJ124">
        <v>30</v>
      </c>
    </row>
    <row r="125" spans="1:36" x14ac:dyDescent="0.25">
      <c r="A125" t="s">
        <v>1571</v>
      </c>
      <c r="B125">
        <v>123</v>
      </c>
      <c r="C125" t="s">
        <v>53</v>
      </c>
      <c r="D125">
        <v>3</v>
      </c>
      <c r="E125">
        <v>3</v>
      </c>
      <c r="F125">
        <v>3</v>
      </c>
      <c r="G125" t="s">
        <v>112</v>
      </c>
      <c r="H125" t="s">
        <v>83</v>
      </c>
      <c r="I125" t="s">
        <v>97</v>
      </c>
      <c r="J125" t="s">
        <v>115</v>
      </c>
      <c r="K125" t="s">
        <v>63</v>
      </c>
      <c r="L125">
        <v>3</v>
      </c>
      <c r="N125">
        <v>3</v>
      </c>
      <c r="O125" t="s">
        <v>103</v>
      </c>
      <c r="P125" t="s">
        <v>146</v>
      </c>
      <c r="Q125" t="s">
        <v>147</v>
      </c>
      <c r="R125" t="s">
        <v>151</v>
      </c>
      <c r="S125" t="s">
        <v>45</v>
      </c>
      <c r="T125">
        <v>3</v>
      </c>
      <c r="V125">
        <v>3</v>
      </c>
      <c r="W125" t="s">
        <v>86</v>
      </c>
      <c r="X125" t="s">
        <v>141</v>
      </c>
      <c r="Y125" t="s">
        <v>142</v>
      </c>
      <c r="Z125" t="s">
        <v>144</v>
      </c>
      <c r="AA125" t="s">
        <v>38</v>
      </c>
      <c r="AB125">
        <v>2</v>
      </c>
      <c r="AC125">
        <v>2</v>
      </c>
      <c r="AD125">
        <v>3</v>
      </c>
      <c r="AE125" t="s">
        <v>39</v>
      </c>
      <c r="AF125" t="s">
        <v>40</v>
      </c>
      <c r="AG125" t="s">
        <v>153</v>
      </c>
      <c r="AH125" t="s">
        <v>42</v>
      </c>
      <c r="AI125">
        <v>0</v>
      </c>
      <c r="AJ125">
        <v>41</v>
      </c>
    </row>
    <row r="126" spans="1:36" x14ac:dyDescent="0.25">
      <c r="A126" t="s">
        <v>1349</v>
      </c>
      <c r="B126">
        <v>124</v>
      </c>
      <c r="C126" t="s">
        <v>53</v>
      </c>
      <c r="D126">
        <v>3</v>
      </c>
      <c r="E126">
        <v>3</v>
      </c>
      <c r="F126">
        <v>2</v>
      </c>
      <c r="G126" t="s">
        <v>112</v>
      </c>
      <c r="H126" t="s">
        <v>83</v>
      </c>
      <c r="I126" t="s">
        <v>97</v>
      </c>
      <c r="J126" t="s">
        <v>116</v>
      </c>
      <c r="K126" t="s">
        <v>63</v>
      </c>
      <c r="L126">
        <v>3</v>
      </c>
      <c r="N126">
        <v>3</v>
      </c>
      <c r="O126" t="s">
        <v>145</v>
      </c>
      <c r="P126" t="s">
        <v>91</v>
      </c>
      <c r="Q126" t="s">
        <v>147</v>
      </c>
      <c r="R126" t="s">
        <v>150</v>
      </c>
      <c r="S126" t="s">
        <v>45</v>
      </c>
      <c r="T126">
        <v>3</v>
      </c>
      <c r="V126">
        <v>1</v>
      </c>
      <c r="W126" t="s">
        <v>86</v>
      </c>
      <c r="X126" t="s">
        <v>76</v>
      </c>
      <c r="AA126" t="s">
        <v>227</v>
      </c>
      <c r="AB126">
        <v>3</v>
      </c>
      <c r="AC126">
        <v>3</v>
      </c>
      <c r="AD126">
        <v>2</v>
      </c>
      <c r="AE126" t="s">
        <v>229</v>
      </c>
      <c r="AF126" t="s">
        <v>231</v>
      </c>
      <c r="AG126" t="s">
        <v>235</v>
      </c>
      <c r="AH126" t="s">
        <v>238</v>
      </c>
      <c r="AI126">
        <v>0</v>
      </c>
      <c r="AJ126">
        <v>30</v>
      </c>
    </row>
    <row r="127" spans="1:36" x14ac:dyDescent="0.25">
      <c r="A127" t="s">
        <v>1350</v>
      </c>
      <c r="B127">
        <v>125</v>
      </c>
      <c r="C127" t="s">
        <v>53</v>
      </c>
      <c r="D127">
        <v>3</v>
      </c>
      <c r="E127">
        <v>1</v>
      </c>
      <c r="F127">
        <v>1</v>
      </c>
      <c r="G127" t="s">
        <v>111</v>
      </c>
      <c r="H127" t="s">
        <v>83</v>
      </c>
      <c r="I127" t="s">
        <v>97</v>
      </c>
      <c r="J127" t="s">
        <v>116</v>
      </c>
      <c r="K127" t="s">
        <v>63</v>
      </c>
      <c r="L127">
        <v>3</v>
      </c>
      <c r="N127">
        <v>1</v>
      </c>
      <c r="O127" t="s">
        <v>103</v>
      </c>
      <c r="P127" t="s">
        <v>91</v>
      </c>
      <c r="Q127" t="s">
        <v>104</v>
      </c>
      <c r="R127" t="s">
        <v>150</v>
      </c>
      <c r="S127" t="s">
        <v>38</v>
      </c>
      <c r="T127">
        <v>2</v>
      </c>
      <c r="U127">
        <v>1</v>
      </c>
      <c r="V127">
        <v>1</v>
      </c>
      <c r="W127" t="s">
        <v>39</v>
      </c>
      <c r="X127" t="s">
        <v>40</v>
      </c>
      <c r="Y127" t="s">
        <v>41</v>
      </c>
      <c r="Z127" t="s">
        <v>156</v>
      </c>
      <c r="AA127" t="s">
        <v>227</v>
      </c>
      <c r="AB127">
        <v>2</v>
      </c>
      <c r="AC127">
        <v>3</v>
      </c>
      <c r="AD127">
        <v>2</v>
      </c>
      <c r="AE127" t="s">
        <v>229</v>
      </c>
      <c r="AF127" t="s">
        <v>231</v>
      </c>
      <c r="AI127">
        <v>0</v>
      </c>
      <c r="AJ127">
        <v>23</v>
      </c>
    </row>
    <row r="128" spans="1:36" x14ac:dyDescent="0.25">
      <c r="A128" t="s">
        <v>1351</v>
      </c>
      <c r="B128">
        <v>126</v>
      </c>
      <c r="C128" t="s">
        <v>56</v>
      </c>
      <c r="D128">
        <v>3</v>
      </c>
      <c r="F128">
        <v>3</v>
      </c>
      <c r="G128" t="s">
        <v>120</v>
      </c>
      <c r="H128" t="s">
        <v>122</v>
      </c>
      <c r="I128" t="s">
        <v>85</v>
      </c>
      <c r="J128" t="s">
        <v>125</v>
      </c>
      <c r="K128" t="s">
        <v>48</v>
      </c>
      <c r="L128">
        <v>3</v>
      </c>
      <c r="N128">
        <v>3</v>
      </c>
      <c r="O128" t="s">
        <v>126</v>
      </c>
      <c r="P128" t="s">
        <v>84</v>
      </c>
      <c r="Q128" t="s">
        <v>127</v>
      </c>
      <c r="R128" t="s">
        <v>129</v>
      </c>
      <c r="S128" t="s">
        <v>53</v>
      </c>
      <c r="T128">
        <v>1</v>
      </c>
      <c r="U128">
        <v>1</v>
      </c>
      <c r="V128">
        <v>3</v>
      </c>
      <c r="W128" t="s">
        <v>112</v>
      </c>
      <c r="X128" t="s">
        <v>113</v>
      </c>
      <c r="Y128" t="s">
        <v>114</v>
      </c>
      <c r="Z128" t="s">
        <v>116</v>
      </c>
      <c r="AA128" t="s">
        <v>38</v>
      </c>
      <c r="AB128">
        <v>3</v>
      </c>
      <c r="AC128">
        <v>3</v>
      </c>
      <c r="AD128">
        <v>3</v>
      </c>
      <c r="AE128" t="s">
        <v>39</v>
      </c>
      <c r="AF128" t="s">
        <v>40</v>
      </c>
      <c r="AG128" t="s">
        <v>154</v>
      </c>
      <c r="AH128" t="s">
        <v>155</v>
      </c>
      <c r="AI128">
        <v>0</v>
      </c>
      <c r="AJ128">
        <v>38</v>
      </c>
    </row>
    <row r="129" spans="1:36" x14ac:dyDescent="0.25">
      <c r="A129" t="s">
        <v>1352</v>
      </c>
      <c r="B129">
        <v>127</v>
      </c>
      <c r="C129" t="s">
        <v>53</v>
      </c>
      <c r="D129">
        <v>1</v>
      </c>
      <c r="E129">
        <v>3</v>
      </c>
      <c r="F129">
        <v>3</v>
      </c>
      <c r="G129" t="s">
        <v>112</v>
      </c>
      <c r="H129" t="s">
        <v>83</v>
      </c>
      <c r="I129" t="s">
        <v>97</v>
      </c>
      <c r="J129" t="s">
        <v>115</v>
      </c>
      <c r="K129" t="s">
        <v>38</v>
      </c>
      <c r="L129">
        <v>1</v>
      </c>
      <c r="M129">
        <v>1</v>
      </c>
      <c r="N129">
        <v>2</v>
      </c>
      <c r="O129" t="s">
        <v>67</v>
      </c>
      <c r="P129" t="s">
        <v>96</v>
      </c>
      <c r="Q129" t="s">
        <v>154</v>
      </c>
      <c r="S129" t="s">
        <v>56</v>
      </c>
      <c r="T129">
        <v>3</v>
      </c>
      <c r="V129">
        <v>2</v>
      </c>
      <c r="W129" t="s">
        <v>57</v>
      </c>
      <c r="X129" t="s">
        <v>121</v>
      </c>
      <c r="Y129" t="s">
        <v>123</v>
      </c>
      <c r="Z129" t="s">
        <v>124</v>
      </c>
      <c r="AA129" t="s">
        <v>33</v>
      </c>
      <c r="AB129">
        <v>1</v>
      </c>
      <c r="AD129">
        <v>1</v>
      </c>
      <c r="AE129" t="s">
        <v>46</v>
      </c>
      <c r="AI129">
        <v>0</v>
      </c>
      <c r="AJ129">
        <v>20</v>
      </c>
    </row>
    <row r="130" spans="1:36" x14ac:dyDescent="0.25">
      <c r="A130" t="s">
        <v>1572</v>
      </c>
      <c r="B130">
        <v>128</v>
      </c>
      <c r="C130" t="s">
        <v>56</v>
      </c>
      <c r="D130">
        <v>3</v>
      </c>
      <c r="F130">
        <v>1</v>
      </c>
      <c r="G130" t="s">
        <v>57</v>
      </c>
      <c r="H130" t="s">
        <v>122</v>
      </c>
      <c r="I130" t="s">
        <v>123</v>
      </c>
      <c r="J130" t="s">
        <v>125</v>
      </c>
      <c r="K130" t="s">
        <v>43</v>
      </c>
      <c r="L130">
        <v>3</v>
      </c>
      <c r="N130">
        <v>2</v>
      </c>
      <c r="O130" t="s">
        <v>73</v>
      </c>
      <c r="P130" t="s">
        <v>99</v>
      </c>
      <c r="Q130" t="s">
        <v>75</v>
      </c>
      <c r="R130" t="s">
        <v>138</v>
      </c>
      <c r="S130" t="s">
        <v>53</v>
      </c>
      <c r="T130">
        <v>1</v>
      </c>
      <c r="U130">
        <v>3</v>
      </c>
      <c r="V130">
        <v>3</v>
      </c>
      <c r="W130" t="s">
        <v>112</v>
      </c>
      <c r="X130" t="s">
        <v>83</v>
      </c>
      <c r="Y130" t="s">
        <v>97</v>
      </c>
      <c r="AA130" t="s">
        <v>38</v>
      </c>
      <c r="AB130">
        <v>1</v>
      </c>
      <c r="AC130">
        <v>1</v>
      </c>
      <c r="AD130">
        <v>2</v>
      </c>
      <c r="AE130" t="s">
        <v>39</v>
      </c>
      <c r="AF130" t="s">
        <v>40</v>
      </c>
      <c r="AI130">
        <v>0</v>
      </c>
      <c r="AJ130">
        <v>24</v>
      </c>
    </row>
    <row r="131" spans="1:36" x14ac:dyDescent="0.25">
      <c r="A131" t="s">
        <v>1573</v>
      </c>
      <c r="B131">
        <v>129</v>
      </c>
      <c r="C131" t="s">
        <v>56</v>
      </c>
      <c r="D131">
        <v>3</v>
      </c>
      <c r="F131">
        <v>2</v>
      </c>
      <c r="G131" t="s">
        <v>57</v>
      </c>
      <c r="H131" t="s">
        <v>121</v>
      </c>
      <c r="I131" t="s">
        <v>123</v>
      </c>
      <c r="J131" t="s">
        <v>124</v>
      </c>
      <c r="K131" t="s">
        <v>45</v>
      </c>
      <c r="L131">
        <v>3</v>
      </c>
      <c r="N131">
        <v>3</v>
      </c>
      <c r="O131" t="s">
        <v>86</v>
      </c>
      <c r="P131" t="s">
        <v>141</v>
      </c>
      <c r="Q131" t="s">
        <v>93</v>
      </c>
      <c r="R131" t="s">
        <v>94</v>
      </c>
      <c r="S131" t="s">
        <v>53</v>
      </c>
      <c r="T131">
        <v>2</v>
      </c>
      <c r="U131">
        <v>3</v>
      </c>
      <c r="V131">
        <v>3</v>
      </c>
      <c r="W131" t="s">
        <v>112</v>
      </c>
      <c r="X131" t="s">
        <v>83</v>
      </c>
      <c r="Y131" t="s">
        <v>97</v>
      </c>
      <c r="AA131" t="s">
        <v>38</v>
      </c>
      <c r="AB131">
        <v>1</v>
      </c>
      <c r="AC131">
        <v>1</v>
      </c>
      <c r="AD131">
        <v>2</v>
      </c>
      <c r="AE131" t="s">
        <v>39</v>
      </c>
      <c r="AF131" t="s">
        <v>96</v>
      </c>
      <c r="AI131">
        <v>0</v>
      </c>
      <c r="AJ131">
        <v>27</v>
      </c>
    </row>
    <row r="132" spans="1:36" x14ac:dyDescent="0.25">
      <c r="A132" t="s">
        <v>1574</v>
      </c>
      <c r="B132">
        <v>130</v>
      </c>
      <c r="C132" t="s">
        <v>53</v>
      </c>
      <c r="D132">
        <v>2</v>
      </c>
      <c r="E132">
        <v>2</v>
      </c>
      <c r="F132">
        <v>3</v>
      </c>
      <c r="G132" t="s">
        <v>112</v>
      </c>
      <c r="H132" t="s">
        <v>113</v>
      </c>
      <c r="I132" t="s">
        <v>114</v>
      </c>
      <c r="J132" t="s">
        <v>116</v>
      </c>
      <c r="K132" t="s">
        <v>38</v>
      </c>
      <c r="L132">
        <v>2</v>
      </c>
      <c r="M132">
        <v>2</v>
      </c>
      <c r="N132">
        <v>3</v>
      </c>
      <c r="O132" t="s">
        <v>39</v>
      </c>
      <c r="P132" t="s">
        <v>96</v>
      </c>
      <c r="Q132" t="s">
        <v>154</v>
      </c>
      <c r="R132" t="s">
        <v>42</v>
      </c>
      <c r="S132" t="s">
        <v>56</v>
      </c>
      <c r="T132">
        <v>1</v>
      </c>
      <c r="V132">
        <v>1</v>
      </c>
      <c r="W132" t="s">
        <v>57</v>
      </c>
      <c r="X132" t="s">
        <v>121</v>
      </c>
      <c r="Y132" t="s">
        <v>85</v>
      </c>
      <c r="AA132" t="s">
        <v>63</v>
      </c>
      <c r="AB132">
        <v>3</v>
      </c>
      <c r="AD132">
        <v>3</v>
      </c>
      <c r="AE132" t="s">
        <v>103</v>
      </c>
      <c r="AF132" t="s">
        <v>91</v>
      </c>
      <c r="AG132" t="s">
        <v>147</v>
      </c>
      <c r="AH132" t="s">
        <v>151</v>
      </c>
      <c r="AI132">
        <v>0</v>
      </c>
      <c r="AJ132">
        <v>28</v>
      </c>
    </row>
    <row r="133" spans="1:36" x14ac:dyDescent="0.25">
      <c r="A133" t="s">
        <v>1575</v>
      </c>
      <c r="B133">
        <v>131</v>
      </c>
      <c r="C133" t="s">
        <v>56</v>
      </c>
      <c r="D133">
        <v>3</v>
      </c>
      <c r="F133">
        <v>1</v>
      </c>
      <c r="G133" t="s">
        <v>57</v>
      </c>
      <c r="H133" t="s">
        <v>122</v>
      </c>
      <c r="I133" t="s">
        <v>85</v>
      </c>
      <c r="J133" t="s">
        <v>88</v>
      </c>
      <c r="K133" t="s">
        <v>227</v>
      </c>
      <c r="L133">
        <v>3</v>
      </c>
      <c r="M133">
        <v>1</v>
      </c>
      <c r="N133">
        <v>1</v>
      </c>
      <c r="O133" t="s">
        <v>228</v>
      </c>
      <c r="P133" t="s">
        <v>231</v>
      </c>
      <c r="Q133" t="s">
        <v>235</v>
      </c>
      <c r="R133" t="s">
        <v>238</v>
      </c>
      <c r="S133" t="s">
        <v>53</v>
      </c>
      <c r="T133">
        <v>2</v>
      </c>
      <c r="U133">
        <v>1</v>
      </c>
      <c r="V133">
        <v>2</v>
      </c>
      <c r="W133" t="s">
        <v>112</v>
      </c>
      <c r="X133" t="s">
        <v>83</v>
      </c>
      <c r="Y133" t="s">
        <v>97</v>
      </c>
      <c r="Z133" t="s">
        <v>98</v>
      </c>
      <c r="AA133" t="s">
        <v>38</v>
      </c>
      <c r="AB133">
        <v>1</v>
      </c>
      <c r="AC133">
        <v>1</v>
      </c>
      <c r="AD133">
        <v>1</v>
      </c>
      <c r="AE133" t="s">
        <v>39</v>
      </c>
      <c r="AF133" t="s">
        <v>70</v>
      </c>
      <c r="AG133" t="s">
        <v>153</v>
      </c>
      <c r="AI133">
        <v>0</v>
      </c>
      <c r="AJ133">
        <v>21</v>
      </c>
    </row>
    <row r="134" spans="1:36" x14ac:dyDescent="0.25">
      <c r="A134" t="s">
        <v>1576</v>
      </c>
      <c r="B134">
        <v>132</v>
      </c>
      <c r="C134" t="s">
        <v>53</v>
      </c>
      <c r="D134">
        <v>1</v>
      </c>
      <c r="E134">
        <v>3</v>
      </c>
      <c r="F134">
        <v>2</v>
      </c>
      <c r="G134" t="s">
        <v>112</v>
      </c>
      <c r="H134" t="s">
        <v>113</v>
      </c>
      <c r="K134" t="s">
        <v>38</v>
      </c>
      <c r="L134">
        <v>3</v>
      </c>
      <c r="M134">
        <v>2</v>
      </c>
      <c r="N134">
        <v>2</v>
      </c>
      <c r="O134" t="s">
        <v>67</v>
      </c>
      <c r="P134" t="s">
        <v>96</v>
      </c>
      <c r="Q134" t="s">
        <v>41</v>
      </c>
      <c r="R134" t="s">
        <v>42</v>
      </c>
      <c r="S134" t="s">
        <v>48</v>
      </c>
      <c r="T134">
        <v>2</v>
      </c>
      <c r="V134">
        <v>3</v>
      </c>
      <c r="W134" t="s">
        <v>126</v>
      </c>
      <c r="X134" t="s">
        <v>84</v>
      </c>
      <c r="Y134" t="s">
        <v>127</v>
      </c>
      <c r="Z134" t="s">
        <v>52</v>
      </c>
      <c r="AA134" t="s">
        <v>33</v>
      </c>
      <c r="AB134">
        <v>2</v>
      </c>
      <c r="AD134">
        <v>1</v>
      </c>
      <c r="AE134" t="s">
        <v>65</v>
      </c>
      <c r="AF134" t="s">
        <v>130</v>
      </c>
      <c r="AG134" t="s">
        <v>36</v>
      </c>
      <c r="AH134" t="s">
        <v>37</v>
      </c>
      <c r="AI134">
        <v>0</v>
      </c>
      <c r="AJ134">
        <v>25</v>
      </c>
    </row>
    <row r="135" spans="1:36" x14ac:dyDescent="0.25">
      <c r="A135" t="s">
        <v>1353</v>
      </c>
      <c r="B135">
        <v>133</v>
      </c>
      <c r="C135" t="s">
        <v>48</v>
      </c>
      <c r="D135">
        <v>3</v>
      </c>
      <c r="F135">
        <v>2</v>
      </c>
      <c r="G135" t="s">
        <v>49</v>
      </c>
      <c r="H135" t="s">
        <v>84</v>
      </c>
      <c r="I135" t="s">
        <v>127</v>
      </c>
      <c r="J135" t="s">
        <v>129</v>
      </c>
      <c r="K135" t="s">
        <v>43</v>
      </c>
      <c r="L135">
        <v>3</v>
      </c>
      <c r="N135">
        <v>2</v>
      </c>
      <c r="O135" t="s">
        <v>73</v>
      </c>
      <c r="P135" t="s">
        <v>74</v>
      </c>
      <c r="Q135" t="s">
        <v>137</v>
      </c>
      <c r="R135" t="s">
        <v>139</v>
      </c>
      <c r="S135" t="s">
        <v>53</v>
      </c>
      <c r="T135">
        <v>1</v>
      </c>
      <c r="U135">
        <v>2</v>
      </c>
      <c r="V135">
        <v>2</v>
      </c>
      <c r="W135" t="s">
        <v>112</v>
      </c>
      <c r="AA135" t="s">
        <v>38</v>
      </c>
      <c r="AB135">
        <v>2</v>
      </c>
      <c r="AC135">
        <v>1</v>
      </c>
      <c r="AD135">
        <v>3</v>
      </c>
      <c r="AE135" t="s">
        <v>39</v>
      </c>
      <c r="AF135" t="s">
        <v>40</v>
      </c>
      <c r="AG135" t="s">
        <v>153</v>
      </c>
      <c r="AH135" t="s">
        <v>156</v>
      </c>
      <c r="AI135">
        <v>0</v>
      </c>
      <c r="AJ135">
        <v>26</v>
      </c>
    </row>
    <row r="136" spans="1:36" x14ac:dyDescent="0.25">
      <c r="A136" t="s">
        <v>1354</v>
      </c>
      <c r="B136">
        <v>134</v>
      </c>
      <c r="C136" t="s">
        <v>48</v>
      </c>
      <c r="D136">
        <v>3</v>
      </c>
      <c r="F136">
        <v>3</v>
      </c>
      <c r="G136" t="s">
        <v>49</v>
      </c>
      <c r="H136" t="s">
        <v>84</v>
      </c>
      <c r="I136" t="s">
        <v>127</v>
      </c>
      <c r="J136" t="s">
        <v>129</v>
      </c>
      <c r="K136" t="s">
        <v>45</v>
      </c>
      <c r="L136">
        <v>3</v>
      </c>
      <c r="N136">
        <v>3</v>
      </c>
      <c r="O136" t="s">
        <v>140</v>
      </c>
      <c r="P136" t="s">
        <v>141</v>
      </c>
      <c r="Q136" t="s">
        <v>93</v>
      </c>
      <c r="R136" t="s">
        <v>94</v>
      </c>
      <c r="S136" t="s">
        <v>53</v>
      </c>
      <c r="T136">
        <v>1</v>
      </c>
      <c r="U136">
        <v>3</v>
      </c>
      <c r="V136">
        <v>3</v>
      </c>
      <c r="W136" t="s">
        <v>112</v>
      </c>
      <c r="X136" t="s">
        <v>83</v>
      </c>
      <c r="Y136" t="s">
        <v>114</v>
      </c>
      <c r="Z136" t="s">
        <v>115</v>
      </c>
      <c r="AA136" t="s">
        <v>38</v>
      </c>
      <c r="AB136">
        <v>1</v>
      </c>
      <c r="AC136">
        <v>1</v>
      </c>
      <c r="AD136">
        <v>2</v>
      </c>
      <c r="AE136" t="s">
        <v>39</v>
      </c>
      <c r="AF136" t="s">
        <v>96</v>
      </c>
      <c r="AI136">
        <v>0</v>
      </c>
      <c r="AJ136">
        <v>27</v>
      </c>
    </row>
    <row r="137" spans="1:36" x14ac:dyDescent="0.25">
      <c r="A137" t="s">
        <v>1355</v>
      </c>
      <c r="B137">
        <v>135</v>
      </c>
      <c r="C137" t="s">
        <v>48</v>
      </c>
      <c r="D137">
        <v>3</v>
      </c>
      <c r="F137">
        <v>3</v>
      </c>
      <c r="G137" t="s">
        <v>49</v>
      </c>
      <c r="H137" t="s">
        <v>84</v>
      </c>
      <c r="I137" t="s">
        <v>127</v>
      </c>
      <c r="J137" t="s">
        <v>129</v>
      </c>
      <c r="K137" t="s">
        <v>63</v>
      </c>
      <c r="L137">
        <v>3</v>
      </c>
      <c r="N137">
        <v>3</v>
      </c>
      <c r="O137" t="s">
        <v>103</v>
      </c>
      <c r="P137" t="s">
        <v>91</v>
      </c>
      <c r="Q137" t="s">
        <v>147</v>
      </c>
      <c r="R137" t="s">
        <v>150</v>
      </c>
      <c r="S137" t="s">
        <v>53</v>
      </c>
      <c r="T137">
        <v>3</v>
      </c>
      <c r="U137">
        <v>3</v>
      </c>
      <c r="V137">
        <v>3</v>
      </c>
      <c r="W137" t="s">
        <v>112</v>
      </c>
      <c r="X137" t="s">
        <v>83</v>
      </c>
      <c r="Y137" t="s">
        <v>105</v>
      </c>
      <c r="Z137" t="s">
        <v>115</v>
      </c>
      <c r="AA137" t="s">
        <v>38</v>
      </c>
      <c r="AB137">
        <v>1</v>
      </c>
      <c r="AC137">
        <v>2</v>
      </c>
      <c r="AD137">
        <v>3</v>
      </c>
      <c r="AE137" t="s">
        <v>39</v>
      </c>
      <c r="AF137" t="s">
        <v>96</v>
      </c>
      <c r="AG137" t="s">
        <v>153</v>
      </c>
      <c r="AH137" t="s">
        <v>155</v>
      </c>
      <c r="AI137">
        <v>0</v>
      </c>
      <c r="AJ137">
        <v>37</v>
      </c>
    </row>
    <row r="138" spans="1:36" x14ac:dyDescent="0.25">
      <c r="A138" t="s">
        <v>1577</v>
      </c>
      <c r="B138">
        <v>136</v>
      </c>
      <c r="C138" t="s">
        <v>53</v>
      </c>
      <c r="D138">
        <v>3</v>
      </c>
      <c r="E138">
        <v>3</v>
      </c>
      <c r="F138">
        <v>3</v>
      </c>
      <c r="G138" t="s">
        <v>112</v>
      </c>
      <c r="H138" t="s">
        <v>83</v>
      </c>
      <c r="I138" t="s">
        <v>114</v>
      </c>
      <c r="J138" t="s">
        <v>115</v>
      </c>
      <c r="K138" t="s">
        <v>38</v>
      </c>
      <c r="L138">
        <v>2</v>
      </c>
      <c r="M138">
        <v>1</v>
      </c>
      <c r="N138">
        <v>3</v>
      </c>
      <c r="O138" t="s">
        <v>39</v>
      </c>
      <c r="P138" t="s">
        <v>70</v>
      </c>
      <c r="Q138" t="s">
        <v>153</v>
      </c>
      <c r="R138" t="s">
        <v>42</v>
      </c>
      <c r="S138" t="s">
        <v>48</v>
      </c>
      <c r="T138">
        <v>3</v>
      </c>
      <c r="V138">
        <v>3</v>
      </c>
      <c r="W138" t="s">
        <v>49</v>
      </c>
      <c r="X138" t="s">
        <v>50</v>
      </c>
      <c r="Y138" t="s">
        <v>127</v>
      </c>
      <c r="Z138" t="s">
        <v>129</v>
      </c>
      <c r="AA138" t="s">
        <v>227</v>
      </c>
      <c r="AB138">
        <v>1</v>
      </c>
      <c r="AC138">
        <v>1</v>
      </c>
      <c r="AD138">
        <v>1</v>
      </c>
      <c r="AE138" t="s">
        <v>228</v>
      </c>
      <c r="AF138" t="s">
        <v>233</v>
      </c>
      <c r="AG138" t="s">
        <v>236</v>
      </c>
      <c r="AI138">
        <v>0</v>
      </c>
      <c r="AJ138">
        <v>31</v>
      </c>
    </row>
    <row r="139" spans="1:36" x14ac:dyDescent="0.25">
      <c r="A139" t="s">
        <v>1356</v>
      </c>
      <c r="B139">
        <v>137</v>
      </c>
      <c r="C139" t="s">
        <v>33</v>
      </c>
      <c r="D139">
        <v>1</v>
      </c>
      <c r="F139">
        <v>1</v>
      </c>
      <c r="G139" t="s">
        <v>46</v>
      </c>
      <c r="H139" t="s">
        <v>130</v>
      </c>
      <c r="I139" t="s">
        <v>36</v>
      </c>
      <c r="K139" t="s">
        <v>43</v>
      </c>
      <c r="L139">
        <v>2</v>
      </c>
      <c r="N139">
        <v>1</v>
      </c>
      <c r="O139" t="s">
        <v>135</v>
      </c>
      <c r="P139" t="s">
        <v>136</v>
      </c>
      <c r="Q139" t="s">
        <v>137</v>
      </c>
      <c r="S139" t="s">
        <v>53</v>
      </c>
      <c r="T139">
        <v>2</v>
      </c>
      <c r="U139">
        <v>1</v>
      </c>
      <c r="V139">
        <v>2</v>
      </c>
      <c r="W139" t="s">
        <v>112</v>
      </c>
      <c r="AA139" t="s">
        <v>38</v>
      </c>
      <c r="AB139">
        <v>2</v>
      </c>
      <c r="AC139">
        <v>1</v>
      </c>
      <c r="AD139">
        <v>2</v>
      </c>
      <c r="AE139" t="s">
        <v>67</v>
      </c>
      <c r="AI139">
        <v>0</v>
      </c>
      <c r="AJ139">
        <v>15</v>
      </c>
    </row>
    <row r="140" spans="1:36" x14ac:dyDescent="0.25">
      <c r="A140" t="s">
        <v>1357</v>
      </c>
      <c r="B140">
        <v>138</v>
      </c>
      <c r="C140" t="s">
        <v>53</v>
      </c>
      <c r="D140">
        <v>3</v>
      </c>
      <c r="E140">
        <v>3</v>
      </c>
      <c r="F140">
        <v>3</v>
      </c>
      <c r="G140" t="s">
        <v>112</v>
      </c>
      <c r="H140" t="s">
        <v>55</v>
      </c>
      <c r="I140" t="s">
        <v>114</v>
      </c>
      <c r="J140" t="s">
        <v>98</v>
      </c>
      <c r="K140" t="s">
        <v>38</v>
      </c>
      <c r="L140">
        <v>1</v>
      </c>
      <c r="M140">
        <v>1</v>
      </c>
      <c r="N140">
        <v>2</v>
      </c>
      <c r="O140" t="s">
        <v>67</v>
      </c>
      <c r="P140" t="s">
        <v>40</v>
      </c>
      <c r="S140" t="s">
        <v>33</v>
      </c>
      <c r="T140">
        <v>1</v>
      </c>
      <c r="V140">
        <v>1</v>
      </c>
      <c r="W140" t="s">
        <v>46</v>
      </c>
      <c r="X140" t="s">
        <v>130</v>
      </c>
      <c r="AA140" t="s">
        <v>45</v>
      </c>
      <c r="AB140">
        <v>3</v>
      </c>
      <c r="AD140">
        <v>3</v>
      </c>
      <c r="AE140" t="s">
        <v>140</v>
      </c>
      <c r="AF140" t="s">
        <v>141</v>
      </c>
      <c r="AG140" t="s">
        <v>102</v>
      </c>
      <c r="AH140" t="s">
        <v>144</v>
      </c>
      <c r="AI140">
        <v>0</v>
      </c>
      <c r="AJ140">
        <v>27</v>
      </c>
    </row>
    <row r="141" spans="1:36" x14ac:dyDescent="0.25">
      <c r="A141" t="s">
        <v>1358</v>
      </c>
      <c r="B141">
        <v>139</v>
      </c>
      <c r="C141" t="s">
        <v>53</v>
      </c>
      <c r="D141">
        <v>1</v>
      </c>
      <c r="E141">
        <v>3</v>
      </c>
      <c r="F141">
        <v>2</v>
      </c>
      <c r="G141" t="s">
        <v>111</v>
      </c>
      <c r="H141" t="s">
        <v>113</v>
      </c>
      <c r="I141" t="s">
        <v>97</v>
      </c>
      <c r="K141" t="s">
        <v>38</v>
      </c>
      <c r="L141">
        <v>3</v>
      </c>
      <c r="M141">
        <v>1</v>
      </c>
      <c r="N141">
        <v>2</v>
      </c>
      <c r="O141" t="s">
        <v>67</v>
      </c>
      <c r="P141" t="s">
        <v>96</v>
      </c>
      <c r="Q141" t="s">
        <v>154</v>
      </c>
      <c r="R141" t="s">
        <v>42</v>
      </c>
      <c r="S141" t="s">
        <v>33</v>
      </c>
      <c r="T141">
        <v>1</v>
      </c>
      <c r="V141">
        <v>1</v>
      </c>
      <c r="W141" t="s">
        <v>65</v>
      </c>
      <c r="AA141" t="s">
        <v>63</v>
      </c>
      <c r="AB141">
        <v>2</v>
      </c>
      <c r="AD141">
        <v>2</v>
      </c>
      <c r="AE141" t="s">
        <v>145</v>
      </c>
      <c r="AF141" t="s">
        <v>91</v>
      </c>
      <c r="AG141" t="s">
        <v>147</v>
      </c>
      <c r="AH141" t="s">
        <v>151</v>
      </c>
      <c r="AI141">
        <v>0</v>
      </c>
      <c r="AJ141">
        <v>21</v>
      </c>
    </row>
    <row r="142" spans="1:36" x14ac:dyDescent="0.25">
      <c r="A142" t="s">
        <v>1359</v>
      </c>
      <c r="B142">
        <v>140</v>
      </c>
      <c r="C142" t="s">
        <v>53</v>
      </c>
      <c r="D142">
        <v>3</v>
      </c>
      <c r="E142">
        <v>3</v>
      </c>
      <c r="F142">
        <v>1</v>
      </c>
      <c r="G142" t="s">
        <v>111</v>
      </c>
      <c r="H142" t="s">
        <v>83</v>
      </c>
      <c r="I142" t="s">
        <v>105</v>
      </c>
      <c r="J142" t="s">
        <v>98</v>
      </c>
      <c r="K142" t="s">
        <v>38</v>
      </c>
      <c r="L142">
        <v>3</v>
      </c>
      <c r="M142">
        <v>2</v>
      </c>
      <c r="N142">
        <v>3</v>
      </c>
      <c r="O142" t="s">
        <v>67</v>
      </c>
      <c r="P142" t="s">
        <v>70</v>
      </c>
      <c r="Q142" t="s">
        <v>153</v>
      </c>
      <c r="R142" t="s">
        <v>42</v>
      </c>
      <c r="S142" t="s">
        <v>33</v>
      </c>
      <c r="T142">
        <v>1</v>
      </c>
      <c r="V142">
        <v>1</v>
      </c>
      <c r="W142" t="s">
        <v>46</v>
      </c>
      <c r="AA142" t="s">
        <v>227</v>
      </c>
      <c r="AB142">
        <v>3</v>
      </c>
      <c r="AC142">
        <v>3</v>
      </c>
      <c r="AD142">
        <v>2</v>
      </c>
      <c r="AE142" t="s">
        <v>228</v>
      </c>
      <c r="AF142" t="s">
        <v>231</v>
      </c>
      <c r="AG142" t="s">
        <v>235</v>
      </c>
      <c r="AH142" t="s">
        <v>238</v>
      </c>
      <c r="AI142">
        <v>0</v>
      </c>
      <c r="AJ142">
        <v>28</v>
      </c>
    </row>
    <row r="143" spans="1:36" x14ac:dyDescent="0.25">
      <c r="A143" t="s">
        <v>1360</v>
      </c>
      <c r="B143">
        <v>141</v>
      </c>
      <c r="C143" t="s">
        <v>53</v>
      </c>
      <c r="D143">
        <v>3</v>
      </c>
      <c r="E143">
        <v>3</v>
      </c>
      <c r="F143">
        <v>3</v>
      </c>
      <c r="G143" t="s">
        <v>112</v>
      </c>
      <c r="H143" t="s">
        <v>83</v>
      </c>
      <c r="I143" t="s">
        <v>105</v>
      </c>
      <c r="J143" t="s">
        <v>115</v>
      </c>
      <c r="K143" t="s">
        <v>38</v>
      </c>
      <c r="L143">
        <v>1</v>
      </c>
      <c r="M143">
        <v>1</v>
      </c>
      <c r="N143">
        <v>2</v>
      </c>
      <c r="O143" t="s">
        <v>39</v>
      </c>
      <c r="P143" t="s">
        <v>96</v>
      </c>
      <c r="Q143" t="s">
        <v>153</v>
      </c>
      <c r="S143" t="s">
        <v>43</v>
      </c>
      <c r="T143">
        <v>3</v>
      </c>
      <c r="V143">
        <v>3</v>
      </c>
      <c r="W143" t="s">
        <v>73</v>
      </c>
      <c r="X143" t="s">
        <v>136</v>
      </c>
      <c r="Y143" t="s">
        <v>75</v>
      </c>
      <c r="Z143" t="s">
        <v>138</v>
      </c>
      <c r="AA143" t="s">
        <v>45</v>
      </c>
      <c r="AB143">
        <v>3</v>
      </c>
      <c r="AD143">
        <v>3</v>
      </c>
      <c r="AE143" t="s">
        <v>140</v>
      </c>
      <c r="AF143" t="s">
        <v>76</v>
      </c>
      <c r="AG143" t="s">
        <v>102</v>
      </c>
      <c r="AH143" t="s">
        <v>94</v>
      </c>
      <c r="AI143">
        <v>0</v>
      </c>
      <c r="AJ143">
        <v>39</v>
      </c>
    </row>
    <row r="144" spans="1:36" x14ac:dyDescent="0.25">
      <c r="A144" t="s">
        <v>1361</v>
      </c>
      <c r="B144">
        <v>142</v>
      </c>
      <c r="C144" t="s">
        <v>53</v>
      </c>
      <c r="D144">
        <v>3</v>
      </c>
      <c r="E144">
        <v>3</v>
      </c>
      <c r="F144">
        <v>3</v>
      </c>
      <c r="G144" t="s">
        <v>112</v>
      </c>
      <c r="H144" t="s">
        <v>55</v>
      </c>
      <c r="I144" t="s">
        <v>97</v>
      </c>
      <c r="J144" t="s">
        <v>115</v>
      </c>
      <c r="K144" t="s">
        <v>38</v>
      </c>
      <c r="L144">
        <v>1</v>
      </c>
      <c r="M144">
        <v>2</v>
      </c>
      <c r="N144">
        <v>2</v>
      </c>
      <c r="O144" t="s">
        <v>39</v>
      </c>
      <c r="P144" t="s">
        <v>40</v>
      </c>
      <c r="S144" t="s">
        <v>43</v>
      </c>
      <c r="T144">
        <v>2</v>
      </c>
      <c r="V144">
        <v>1</v>
      </c>
      <c r="W144" t="s">
        <v>135</v>
      </c>
      <c r="X144" t="s">
        <v>74</v>
      </c>
      <c r="AA144" t="s">
        <v>63</v>
      </c>
      <c r="AB144">
        <v>3</v>
      </c>
      <c r="AD144">
        <v>3</v>
      </c>
      <c r="AE144" t="s">
        <v>103</v>
      </c>
      <c r="AF144" t="s">
        <v>91</v>
      </c>
      <c r="AG144" t="s">
        <v>147</v>
      </c>
      <c r="AH144" t="s">
        <v>151</v>
      </c>
      <c r="AI144">
        <v>0</v>
      </c>
      <c r="AJ144">
        <v>32</v>
      </c>
    </row>
    <row r="145" spans="1:36" x14ac:dyDescent="0.25">
      <c r="A145" t="s">
        <v>1578</v>
      </c>
      <c r="B145">
        <v>143</v>
      </c>
      <c r="C145" t="s">
        <v>53</v>
      </c>
      <c r="D145">
        <v>3</v>
      </c>
      <c r="E145">
        <v>2</v>
      </c>
      <c r="F145">
        <v>3</v>
      </c>
      <c r="G145" t="s">
        <v>112</v>
      </c>
      <c r="H145" t="s">
        <v>113</v>
      </c>
      <c r="I145" t="s">
        <v>97</v>
      </c>
      <c r="J145" t="s">
        <v>116</v>
      </c>
      <c r="K145" t="s">
        <v>38</v>
      </c>
      <c r="L145">
        <v>3</v>
      </c>
      <c r="M145">
        <v>3</v>
      </c>
      <c r="N145">
        <v>3</v>
      </c>
      <c r="O145" t="s">
        <v>39</v>
      </c>
      <c r="P145" t="s">
        <v>70</v>
      </c>
      <c r="Q145" t="s">
        <v>153</v>
      </c>
      <c r="R145" t="s">
        <v>42</v>
      </c>
      <c r="S145" t="s">
        <v>43</v>
      </c>
      <c r="T145">
        <v>3</v>
      </c>
      <c r="V145">
        <v>3</v>
      </c>
      <c r="W145" t="s">
        <v>73</v>
      </c>
      <c r="X145" t="s">
        <v>99</v>
      </c>
      <c r="Y145" t="s">
        <v>75</v>
      </c>
      <c r="Z145" t="s">
        <v>101</v>
      </c>
      <c r="AA145" t="s">
        <v>227</v>
      </c>
      <c r="AB145">
        <v>1</v>
      </c>
      <c r="AC145">
        <v>1</v>
      </c>
      <c r="AD145">
        <v>1</v>
      </c>
      <c r="AE145" t="s">
        <v>228</v>
      </c>
      <c r="AF145" t="s">
        <v>231</v>
      </c>
      <c r="AG145" t="s">
        <v>235</v>
      </c>
      <c r="AH145" t="s">
        <v>238</v>
      </c>
      <c r="AI145">
        <v>0</v>
      </c>
      <c r="AJ145">
        <v>32</v>
      </c>
    </row>
    <row r="146" spans="1:36" x14ac:dyDescent="0.25">
      <c r="A146" t="s">
        <v>1362</v>
      </c>
      <c r="B146">
        <v>144</v>
      </c>
      <c r="C146" t="s">
        <v>53</v>
      </c>
      <c r="D146">
        <v>3</v>
      </c>
      <c r="E146">
        <v>3</v>
      </c>
      <c r="F146">
        <v>3</v>
      </c>
      <c r="G146" t="s">
        <v>112</v>
      </c>
      <c r="H146" t="s">
        <v>113</v>
      </c>
      <c r="I146" t="s">
        <v>97</v>
      </c>
      <c r="J146" t="s">
        <v>116</v>
      </c>
      <c r="K146" t="s">
        <v>38</v>
      </c>
      <c r="L146">
        <v>3</v>
      </c>
      <c r="M146">
        <v>3</v>
      </c>
      <c r="N146">
        <v>3</v>
      </c>
      <c r="O146" t="s">
        <v>39</v>
      </c>
      <c r="P146" t="s">
        <v>96</v>
      </c>
      <c r="Q146" t="s">
        <v>154</v>
      </c>
      <c r="R146" t="s">
        <v>42</v>
      </c>
      <c r="S146" t="s">
        <v>45</v>
      </c>
      <c r="T146">
        <v>2</v>
      </c>
      <c r="V146">
        <v>1</v>
      </c>
      <c r="W146" t="s">
        <v>86</v>
      </c>
      <c r="AA146" t="s">
        <v>63</v>
      </c>
      <c r="AB146">
        <v>3</v>
      </c>
      <c r="AD146">
        <v>3</v>
      </c>
      <c r="AE146" t="s">
        <v>103</v>
      </c>
      <c r="AF146" t="s">
        <v>95</v>
      </c>
      <c r="AG146" t="s">
        <v>147</v>
      </c>
      <c r="AH146" t="s">
        <v>150</v>
      </c>
      <c r="AI146">
        <v>0</v>
      </c>
      <c r="AJ146">
        <v>33</v>
      </c>
    </row>
    <row r="147" spans="1:36" x14ac:dyDescent="0.25">
      <c r="A147" t="s">
        <v>1579</v>
      </c>
      <c r="B147">
        <v>145</v>
      </c>
      <c r="C147" t="s">
        <v>45</v>
      </c>
      <c r="D147">
        <v>3</v>
      </c>
      <c r="F147">
        <v>1</v>
      </c>
      <c r="G147" t="s">
        <v>86</v>
      </c>
      <c r="H147" t="s">
        <v>76</v>
      </c>
      <c r="I147" t="s">
        <v>102</v>
      </c>
      <c r="K147" t="s">
        <v>227</v>
      </c>
      <c r="L147">
        <v>2</v>
      </c>
      <c r="M147">
        <v>1</v>
      </c>
      <c r="N147">
        <v>1</v>
      </c>
      <c r="O147" t="s">
        <v>228</v>
      </c>
      <c r="P147" t="s">
        <v>231</v>
      </c>
      <c r="Q147" t="s">
        <v>234</v>
      </c>
      <c r="S147" t="s">
        <v>53</v>
      </c>
      <c r="T147">
        <v>1</v>
      </c>
      <c r="U147">
        <v>2</v>
      </c>
      <c r="V147">
        <v>1</v>
      </c>
      <c r="W147" t="s">
        <v>112</v>
      </c>
      <c r="X147" t="s">
        <v>83</v>
      </c>
      <c r="AA147" t="s">
        <v>38</v>
      </c>
      <c r="AB147">
        <v>1</v>
      </c>
      <c r="AC147">
        <v>1</v>
      </c>
      <c r="AD147">
        <v>2</v>
      </c>
      <c r="AE147" t="s">
        <v>39</v>
      </c>
      <c r="AF147" t="s">
        <v>70</v>
      </c>
      <c r="AG147" t="s">
        <v>153</v>
      </c>
      <c r="AH147" t="s">
        <v>156</v>
      </c>
      <c r="AI147">
        <v>0</v>
      </c>
      <c r="AJ147">
        <v>18</v>
      </c>
    </row>
    <row r="148" spans="1:36" x14ac:dyDescent="0.25">
      <c r="A148" t="s">
        <v>1363</v>
      </c>
      <c r="B148">
        <v>146</v>
      </c>
      <c r="C148" t="s">
        <v>53</v>
      </c>
      <c r="D148">
        <v>3</v>
      </c>
      <c r="E148">
        <v>3</v>
      </c>
      <c r="F148">
        <v>3</v>
      </c>
      <c r="G148" t="s">
        <v>112</v>
      </c>
      <c r="H148" t="s">
        <v>83</v>
      </c>
      <c r="I148" t="s">
        <v>97</v>
      </c>
      <c r="J148" t="s">
        <v>115</v>
      </c>
      <c r="K148" t="s">
        <v>38</v>
      </c>
      <c r="L148">
        <v>3</v>
      </c>
      <c r="M148">
        <v>3</v>
      </c>
      <c r="N148">
        <v>3</v>
      </c>
      <c r="O148" t="s">
        <v>39</v>
      </c>
      <c r="P148" t="s">
        <v>96</v>
      </c>
      <c r="Q148" t="s">
        <v>41</v>
      </c>
      <c r="R148" t="s">
        <v>42</v>
      </c>
      <c r="S148" t="s">
        <v>63</v>
      </c>
      <c r="T148">
        <v>3</v>
      </c>
      <c r="V148">
        <v>1</v>
      </c>
      <c r="W148" t="s">
        <v>103</v>
      </c>
      <c r="X148" t="s">
        <v>91</v>
      </c>
      <c r="Y148" t="s">
        <v>147</v>
      </c>
      <c r="Z148" t="s">
        <v>151</v>
      </c>
      <c r="AA148" t="s">
        <v>227</v>
      </c>
      <c r="AB148">
        <v>3</v>
      </c>
      <c r="AC148">
        <v>3</v>
      </c>
      <c r="AD148">
        <v>3</v>
      </c>
      <c r="AE148" t="s">
        <v>229</v>
      </c>
      <c r="AF148" t="s">
        <v>231</v>
      </c>
      <c r="AG148" t="s">
        <v>235</v>
      </c>
      <c r="AH148" t="s">
        <v>238</v>
      </c>
      <c r="AI148">
        <v>0</v>
      </c>
      <c r="AJ148">
        <v>42</v>
      </c>
    </row>
    <row r="149" spans="1:36" x14ac:dyDescent="0.25">
      <c r="A149" t="s">
        <v>1580</v>
      </c>
      <c r="B149">
        <v>147</v>
      </c>
      <c r="C149" t="s">
        <v>53</v>
      </c>
      <c r="D149">
        <v>3</v>
      </c>
      <c r="E149">
        <v>3</v>
      </c>
      <c r="F149">
        <v>3</v>
      </c>
      <c r="G149" t="s">
        <v>112</v>
      </c>
      <c r="H149" t="s">
        <v>113</v>
      </c>
      <c r="I149" t="s">
        <v>105</v>
      </c>
      <c r="J149" t="s">
        <v>98</v>
      </c>
      <c r="K149" t="s">
        <v>227</v>
      </c>
      <c r="L149">
        <v>3</v>
      </c>
      <c r="M149">
        <v>3</v>
      </c>
      <c r="N149">
        <v>3</v>
      </c>
      <c r="O149" t="s">
        <v>228</v>
      </c>
      <c r="P149" t="s">
        <v>231</v>
      </c>
      <c r="Q149" t="s">
        <v>235</v>
      </c>
      <c r="R149" t="s">
        <v>237</v>
      </c>
      <c r="S149" t="s">
        <v>56</v>
      </c>
      <c r="T149">
        <v>3</v>
      </c>
      <c r="V149">
        <v>2</v>
      </c>
      <c r="W149" t="s">
        <v>120</v>
      </c>
      <c r="X149" t="s">
        <v>69</v>
      </c>
      <c r="AA149" t="s">
        <v>48</v>
      </c>
      <c r="AB149">
        <v>3</v>
      </c>
      <c r="AD149">
        <v>3</v>
      </c>
      <c r="AE149" t="s">
        <v>126</v>
      </c>
      <c r="AF149" t="s">
        <v>84</v>
      </c>
      <c r="AG149" t="s">
        <v>127</v>
      </c>
      <c r="AH149" t="s">
        <v>129</v>
      </c>
      <c r="AI149">
        <v>0</v>
      </c>
      <c r="AJ149">
        <v>39</v>
      </c>
    </row>
    <row r="150" spans="1:36" x14ac:dyDescent="0.25">
      <c r="A150" t="s">
        <v>1364</v>
      </c>
      <c r="B150">
        <v>148</v>
      </c>
      <c r="C150" t="s">
        <v>53</v>
      </c>
      <c r="D150">
        <v>2</v>
      </c>
      <c r="E150">
        <v>2</v>
      </c>
      <c r="F150">
        <v>1</v>
      </c>
      <c r="G150" t="s">
        <v>111</v>
      </c>
      <c r="H150" t="s">
        <v>113</v>
      </c>
      <c r="K150" t="s">
        <v>227</v>
      </c>
      <c r="L150">
        <v>2</v>
      </c>
      <c r="M150">
        <v>1</v>
      </c>
      <c r="N150">
        <v>2</v>
      </c>
      <c r="O150" t="s">
        <v>228</v>
      </c>
      <c r="P150" t="s">
        <v>231</v>
      </c>
      <c r="S150" t="s">
        <v>56</v>
      </c>
      <c r="T150">
        <v>3</v>
      </c>
      <c r="V150">
        <v>1</v>
      </c>
      <c r="W150" t="s">
        <v>57</v>
      </c>
      <c r="X150" t="s">
        <v>122</v>
      </c>
      <c r="AA150" t="s">
        <v>33</v>
      </c>
      <c r="AB150">
        <v>1</v>
      </c>
      <c r="AD150">
        <v>2</v>
      </c>
      <c r="AE150" t="s">
        <v>34</v>
      </c>
      <c r="AI150">
        <v>0</v>
      </c>
      <c r="AJ150">
        <v>15</v>
      </c>
    </row>
    <row r="151" spans="1:36" x14ac:dyDescent="0.25">
      <c r="A151" t="s">
        <v>1365</v>
      </c>
      <c r="B151">
        <v>149</v>
      </c>
      <c r="C151" t="s">
        <v>53</v>
      </c>
      <c r="D151">
        <v>2</v>
      </c>
      <c r="E151">
        <v>2</v>
      </c>
      <c r="F151">
        <v>2</v>
      </c>
      <c r="G151" t="s">
        <v>112</v>
      </c>
      <c r="H151" t="s">
        <v>113</v>
      </c>
      <c r="K151" t="s">
        <v>227</v>
      </c>
      <c r="L151">
        <v>2</v>
      </c>
      <c r="M151">
        <v>1</v>
      </c>
      <c r="N151">
        <v>3</v>
      </c>
      <c r="O151" t="s">
        <v>229</v>
      </c>
      <c r="P151" t="s">
        <v>231</v>
      </c>
      <c r="Q151" t="s">
        <v>235</v>
      </c>
      <c r="R151" t="s">
        <v>238</v>
      </c>
      <c r="S151" t="s">
        <v>56</v>
      </c>
      <c r="T151">
        <v>3</v>
      </c>
      <c r="V151">
        <v>2</v>
      </c>
      <c r="W151" t="s">
        <v>120</v>
      </c>
      <c r="X151" t="s">
        <v>69</v>
      </c>
      <c r="Y151" t="s">
        <v>87</v>
      </c>
      <c r="Z151" t="s">
        <v>88</v>
      </c>
      <c r="AA151" t="s">
        <v>43</v>
      </c>
      <c r="AB151">
        <v>1</v>
      </c>
      <c r="AD151">
        <v>1</v>
      </c>
      <c r="AE151" t="s">
        <v>73</v>
      </c>
      <c r="AF151" t="s">
        <v>99</v>
      </c>
      <c r="AG151" t="s">
        <v>75</v>
      </c>
      <c r="AH151" t="s">
        <v>101</v>
      </c>
      <c r="AI151">
        <v>0</v>
      </c>
      <c r="AJ151">
        <v>24</v>
      </c>
    </row>
    <row r="152" spans="1:36" x14ac:dyDescent="0.25">
      <c r="A152" t="s">
        <v>1366</v>
      </c>
      <c r="B152">
        <v>150</v>
      </c>
      <c r="C152" t="s">
        <v>53</v>
      </c>
      <c r="D152">
        <v>1</v>
      </c>
      <c r="E152">
        <v>2</v>
      </c>
      <c r="F152">
        <v>3</v>
      </c>
      <c r="G152" t="s">
        <v>112</v>
      </c>
      <c r="H152" t="s">
        <v>83</v>
      </c>
      <c r="I152" t="s">
        <v>97</v>
      </c>
      <c r="J152" t="s">
        <v>115</v>
      </c>
      <c r="K152" t="s">
        <v>227</v>
      </c>
      <c r="L152">
        <v>2</v>
      </c>
      <c r="M152">
        <v>1</v>
      </c>
      <c r="N152">
        <v>2</v>
      </c>
      <c r="O152" t="s">
        <v>228</v>
      </c>
      <c r="P152" t="s">
        <v>231</v>
      </c>
      <c r="Q152" t="s">
        <v>235</v>
      </c>
      <c r="S152" t="s">
        <v>56</v>
      </c>
      <c r="T152">
        <v>3</v>
      </c>
      <c r="V152">
        <v>1</v>
      </c>
      <c r="W152" t="s">
        <v>57</v>
      </c>
      <c r="X152" t="s">
        <v>122</v>
      </c>
      <c r="Y152" t="s">
        <v>123</v>
      </c>
      <c r="Z152" t="s">
        <v>124</v>
      </c>
      <c r="AA152" t="s">
        <v>45</v>
      </c>
      <c r="AB152">
        <v>2</v>
      </c>
      <c r="AD152">
        <v>1</v>
      </c>
      <c r="AE152" t="s">
        <v>86</v>
      </c>
      <c r="AI152">
        <v>0</v>
      </c>
      <c r="AJ152">
        <v>20</v>
      </c>
    </row>
    <row r="153" spans="1:36" x14ac:dyDescent="0.25">
      <c r="A153" t="s">
        <v>1367</v>
      </c>
      <c r="B153">
        <v>151</v>
      </c>
      <c r="C153" t="s">
        <v>53</v>
      </c>
      <c r="D153">
        <v>1</v>
      </c>
      <c r="E153">
        <v>2</v>
      </c>
      <c r="F153">
        <v>3</v>
      </c>
      <c r="G153" t="s">
        <v>112</v>
      </c>
      <c r="H153" t="s">
        <v>113</v>
      </c>
      <c r="I153" t="s">
        <v>114</v>
      </c>
      <c r="J153" t="s">
        <v>116</v>
      </c>
      <c r="K153" t="s">
        <v>227</v>
      </c>
      <c r="L153">
        <v>3</v>
      </c>
      <c r="M153">
        <v>2</v>
      </c>
      <c r="N153">
        <v>2</v>
      </c>
      <c r="O153" t="s">
        <v>229</v>
      </c>
      <c r="P153" t="s">
        <v>231</v>
      </c>
      <c r="Q153" t="s">
        <v>234</v>
      </c>
      <c r="R153" t="s">
        <v>238</v>
      </c>
      <c r="S153" t="s">
        <v>56</v>
      </c>
      <c r="T153">
        <v>3</v>
      </c>
      <c r="V153">
        <v>1</v>
      </c>
      <c r="W153" t="s">
        <v>57</v>
      </c>
      <c r="X153" t="s">
        <v>69</v>
      </c>
      <c r="AA153" t="s">
        <v>63</v>
      </c>
      <c r="AB153">
        <v>2</v>
      </c>
      <c r="AD153">
        <v>3</v>
      </c>
      <c r="AE153" t="s">
        <v>103</v>
      </c>
      <c r="AF153" t="s">
        <v>91</v>
      </c>
      <c r="AG153" t="s">
        <v>148</v>
      </c>
      <c r="AH153" t="s">
        <v>150</v>
      </c>
      <c r="AI153">
        <v>0</v>
      </c>
      <c r="AJ153">
        <v>26</v>
      </c>
    </row>
    <row r="154" spans="1:36" x14ac:dyDescent="0.25">
      <c r="A154" t="s">
        <v>1368</v>
      </c>
      <c r="B154">
        <v>152</v>
      </c>
      <c r="C154" t="s">
        <v>56</v>
      </c>
      <c r="D154">
        <v>3</v>
      </c>
      <c r="F154">
        <v>3</v>
      </c>
      <c r="G154" t="s">
        <v>57</v>
      </c>
      <c r="H154" t="s">
        <v>122</v>
      </c>
      <c r="I154" t="s">
        <v>123</v>
      </c>
      <c r="J154" t="s">
        <v>125</v>
      </c>
      <c r="K154" t="s">
        <v>38</v>
      </c>
      <c r="L154">
        <v>2</v>
      </c>
      <c r="M154">
        <v>2</v>
      </c>
      <c r="N154">
        <v>3</v>
      </c>
      <c r="O154" t="s">
        <v>39</v>
      </c>
      <c r="P154" t="s">
        <v>70</v>
      </c>
      <c r="Q154" t="s">
        <v>153</v>
      </c>
      <c r="R154" t="s">
        <v>42</v>
      </c>
      <c r="S154" t="s">
        <v>53</v>
      </c>
      <c r="T154">
        <v>1</v>
      </c>
      <c r="U154">
        <v>3</v>
      </c>
      <c r="V154">
        <v>3</v>
      </c>
      <c r="W154" t="s">
        <v>112</v>
      </c>
      <c r="X154" t="s">
        <v>55</v>
      </c>
      <c r="Y154" t="s">
        <v>97</v>
      </c>
      <c r="Z154" t="s">
        <v>115</v>
      </c>
      <c r="AA154" t="s">
        <v>227</v>
      </c>
      <c r="AB154">
        <v>3</v>
      </c>
      <c r="AC154">
        <v>1</v>
      </c>
      <c r="AD154">
        <v>2</v>
      </c>
      <c r="AE154" t="s">
        <v>228</v>
      </c>
      <c r="AF154" t="s">
        <v>231</v>
      </c>
      <c r="AI154">
        <v>0</v>
      </c>
      <c r="AJ154">
        <v>29</v>
      </c>
    </row>
    <row r="155" spans="1:36" x14ac:dyDescent="0.25">
      <c r="A155" t="s">
        <v>1369</v>
      </c>
      <c r="B155">
        <v>153</v>
      </c>
      <c r="C155" t="s">
        <v>53</v>
      </c>
      <c r="D155">
        <v>3</v>
      </c>
      <c r="E155">
        <v>1</v>
      </c>
      <c r="F155">
        <v>2</v>
      </c>
      <c r="G155" t="s">
        <v>111</v>
      </c>
      <c r="H155" t="s">
        <v>55</v>
      </c>
      <c r="I155" t="s">
        <v>97</v>
      </c>
      <c r="J155" t="s">
        <v>115</v>
      </c>
      <c r="K155" t="s">
        <v>227</v>
      </c>
      <c r="L155">
        <v>2</v>
      </c>
      <c r="M155">
        <v>1</v>
      </c>
      <c r="N155">
        <v>1</v>
      </c>
      <c r="O155" t="s">
        <v>228</v>
      </c>
      <c r="P155" t="s">
        <v>231</v>
      </c>
      <c r="Q155" t="s">
        <v>235</v>
      </c>
      <c r="S155" t="s">
        <v>48</v>
      </c>
      <c r="T155">
        <v>2</v>
      </c>
      <c r="V155">
        <v>2</v>
      </c>
      <c r="W155" t="s">
        <v>126</v>
      </c>
      <c r="X155" t="s">
        <v>84</v>
      </c>
      <c r="Y155" t="s">
        <v>127</v>
      </c>
      <c r="Z155" t="s">
        <v>52</v>
      </c>
      <c r="AA155" t="s">
        <v>33</v>
      </c>
      <c r="AB155">
        <v>1</v>
      </c>
      <c r="AD155">
        <v>3</v>
      </c>
      <c r="AE155" t="s">
        <v>34</v>
      </c>
      <c r="AI155">
        <v>0</v>
      </c>
      <c r="AJ155">
        <v>22</v>
      </c>
    </row>
    <row r="156" spans="1:36" x14ac:dyDescent="0.25">
      <c r="A156" t="s">
        <v>1581</v>
      </c>
      <c r="B156">
        <v>154</v>
      </c>
      <c r="C156" t="s">
        <v>53</v>
      </c>
      <c r="D156">
        <v>3</v>
      </c>
      <c r="E156">
        <v>3</v>
      </c>
      <c r="F156">
        <v>3</v>
      </c>
      <c r="G156" t="s">
        <v>112</v>
      </c>
      <c r="H156" t="s">
        <v>113</v>
      </c>
      <c r="I156" t="s">
        <v>114</v>
      </c>
      <c r="J156" t="s">
        <v>116</v>
      </c>
      <c r="K156" t="s">
        <v>227</v>
      </c>
      <c r="L156">
        <v>3</v>
      </c>
      <c r="M156">
        <v>3</v>
      </c>
      <c r="N156">
        <v>3</v>
      </c>
      <c r="O156" t="s">
        <v>229</v>
      </c>
      <c r="P156" t="s">
        <v>231</v>
      </c>
      <c r="Q156" t="s">
        <v>235</v>
      </c>
      <c r="R156" t="s">
        <v>238</v>
      </c>
      <c r="S156" t="s">
        <v>48</v>
      </c>
      <c r="T156">
        <v>3</v>
      </c>
      <c r="V156">
        <v>3</v>
      </c>
      <c r="W156" t="s">
        <v>126</v>
      </c>
      <c r="X156" t="s">
        <v>84</v>
      </c>
      <c r="Y156" t="s">
        <v>127</v>
      </c>
      <c r="Z156" t="s">
        <v>129</v>
      </c>
      <c r="AA156" t="s">
        <v>43</v>
      </c>
      <c r="AB156">
        <v>3</v>
      </c>
      <c r="AD156">
        <v>3</v>
      </c>
      <c r="AE156" t="s">
        <v>73</v>
      </c>
      <c r="AF156" t="s">
        <v>99</v>
      </c>
      <c r="AG156" t="s">
        <v>75</v>
      </c>
      <c r="AH156" t="s">
        <v>138</v>
      </c>
      <c r="AI156">
        <v>0</v>
      </c>
      <c r="AJ156">
        <v>40</v>
      </c>
    </row>
    <row r="157" spans="1:36" x14ac:dyDescent="0.25">
      <c r="A157" t="s">
        <v>1370</v>
      </c>
      <c r="B157">
        <v>155</v>
      </c>
      <c r="C157" t="s">
        <v>53</v>
      </c>
      <c r="D157">
        <v>3</v>
      </c>
      <c r="E157">
        <v>3</v>
      </c>
      <c r="F157">
        <v>3</v>
      </c>
      <c r="G157" t="s">
        <v>112</v>
      </c>
      <c r="H157" t="s">
        <v>55</v>
      </c>
      <c r="I157" t="s">
        <v>97</v>
      </c>
      <c r="J157" t="s">
        <v>116</v>
      </c>
      <c r="K157" t="s">
        <v>227</v>
      </c>
      <c r="L157">
        <v>3</v>
      </c>
      <c r="M157">
        <v>3</v>
      </c>
      <c r="N157">
        <v>3</v>
      </c>
      <c r="O157" t="s">
        <v>229</v>
      </c>
      <c r="P157" t="s">
        <v>231</v>
      </c>
      <c r="Q157" t="s">
        <v>236</v>
      </c>
      <c r="R157" t="s">
        <v>239</v>
      </c>
      <c r="S157" t="s">
        <v>48</v>
      </c>
      <c r="T157">
        <v>3</v>
      </c>
      <c r="V157">
        <v>3</v>
      </c>
      <c r="W157" t="s">
        <v>126</v>
      </c>
      <c r="X157" t="s">
        <v>84</v>
      </c>
      <c r="Y157" t="s">
        <v>127</v>
      </c>
      <c r="Z157" t="s">
        <v>52</v>
      </c>
      <c r="AA157" t="s">
        <v>45</v>
      </c>
      <c r="AB157">
        <v>3</v>
      </c>
      <c r="AD157">
        <v>1</v>
      </c>
      <c r="AE157" t="s">
        <v>47</v>
      </c>
      <c r="AI157">
        <v>0</v>
      </c>
      <c r="AJ157">
        <v>37</v>
      </c>
    </row>
    <row r="158" spans="1:36" x14ac:dyDescent="0.25">
      <c r="A158" t="s">
        <v>1371</v>
      </c>
      <c r="B158">
        <v>156</v>
      </c>
      <c r="C158" t="s">
        <v>53</v>
      </c>
      <c r="D158">
        <v>3</v>
      </c>
      <c r="E158">
        <v>3</v>
      </c>
      <c r="F158">
        <v>3</v>
      </c>
      <c r="G158" t="s">
        <v>112</v>
      </c>
      <c r="H158" t="s">
        <v>113</v>
      </c>
      <c r="I158" t="s">
        <v>114</v>
      </c>
      <c r="J158" t="s">
        <v>116</v>
      </c>
      <c r="K158" t="s">
        <v>227</v>
      </c>
      <c r="L158">
        <v>3</v>
      </c>
      <c r="M158">
        <v>3</v>
      </c>
      <c r="N158">
        <v>3</v>
      </c>
      <c r="O158" t="s">
        <v>229</v>
      </c>
      <c r="P158" t="s">
        <v>231</v>
      </c>
      <c r="Q158" t="s">
        <v>234</v>
      </c>
      <c r="R158" t="s">
        <v>238</v>
      </c>
      <c r="S158" t="s">
        <v>48</v>
      </c>
      <c r="T158">
        <v>3</v>
      </c>
      <c r="V158">
        <v>3</v>
      </c>
      <c r="W158" t="s">
        <v>126</v>
      </c>
      <c r="X158" t="s">
        <v>84</v>
      </c>
      <c r="Y158" t="s">
        <v>127</v>
      </c>
      <c r="Z158" t="s">
        <v>129</v>
      </c>
      <c r="AA158" t="s">
        <v>63</v>
      </c>
      <c r="AB158">
        <v>3</v>
      </c>
      <c r="AD158">
        <v>3</v>
      </c>
      <c r="AE158" t="s">
        <v>103</v>
      </c>
      <c r="AF158" t="s">
        <v>91</v>
      </c>
      <c r="AG158" t="s">
        <v>148</v>
      </c>
      <c r="AH158" t="s">
        <v>151</v>
      </c>
      <c r="AI158">
        <v>0</v>
      </c>
      <c r="AJ158">
        <v>50</v>
      </c>
    </row>
    <row r="159" spans="1:36" x14ac:dyDescent="0.25">
      <c r="A159" t="s">
        <v>1582</v>
      </c>
      <c r="B159">
        <v>157</v>
      </c>
      <c r="C159" t="s">
        <v>53</v>
      </c>
      <c r="D159">
        <v>2</v>
      </c>
      <c r="E159">
        <v>1</v>
      </c>
      <c r="F159">
        <v>2</v>
      </c>
      <c r="G159" t="s">
        <v>112</v>
      </c>
      <c r="H159" t="s">
        <v>113</v>
      </c>
      <c r="I159" t="s">
        <v>114</v>
      </c>
      <c r="J159" t="s">
        <v>116</v>
      </c>
      <c r="K159" t="s">
        <v>227</v>
      </c>
      <c r="L159">
        <v>2</v>
      </c>
      <c r="M159">
        <v>2</v>
      </c>
      <c r="N159">
        <v>3</v>
      </c>
      <c r="O159" t="s">
        <v>229</v>
      </c>
      <c r="P159" t="s">
        <v>231</v>
      </c>
      <c r="Q159" t="s">
        <v>235</v>
      </c>
      <c r="S159" t="s">
        <v>48</v>
      </c>
      <c r="T159">
        <v>2</v>
      </c>
      <c r="V159">
        <v>2</v>
      </c>
      <c r="W159" t="s">
        <v>126</v>
      </c>
      <c r="X159" t="s">
        <v>84</v>
      </c>
      <c r="Y159" t="s">
        <v>127</v>
      </c>
      <c r="Z159" t="s">
        <v>52</v>
      </c>
      <c r="AA159" t="s">
        <v>38</v>
      </c>
      <c r="AB159">
        <v>1</v>
      </c>
      <c r="AC159">
        <v>3</v>
      </c>
      <c r="AD159">
        <v>1</v>
      </c>
      <c r="AE159" t="s">
        <v>152</v>
      </c>
      <c r="AF159" t="s">
        <v>70</v>
      </c>
      <c r="AI159">
        <v>0</v>
      </c>
      <c r="AJ159">
        <v>24</v>
      </c>
    </row>
    <row r="160" spans="1:36" x14ac:dyDescent="0.25">
      <c r="A160" t="s">
        <v>1583</v>
      </c>
      <c r="B160">
        <v>158</v>
      </c>
      <c r="C160" t="s">
        <v>33</v>
      </c>
      <c r="D160">
        <v>1</v>
      </c>
      <c r="F160">
        <v>2</v>
      </c>
      <c r="G160" t="s">
        <v>34</v>
      </c>
      <c r="H160" t="s">
        <v>130</v>
      </c>
      <c r="I160" t="s">
        <v>131</v>
      </c>
      <c r="J160" t="s">
        <v>37</v>
      </c>
      <c r="K160" t="s">
        <v>43</v>
      </c>
      <c r="L160">
        <v>2</v>
      </c>
      <c r="N160">
        <v>1</v>
      </c>
      <c r="O160" t="s">
        <v>73</v>
      </c>
      <c r="P160" t="s">
        <v>99</v>
      </c>
      <c r="Q160" t="s">
        <v>75</v>
      </c>
      <c r="R160" t="s">
        <v>101</v>
      </c>
      <c r="S160" t="s">
        <v>53</v>
      </c>
      <c r="T160">
        <v>2</v>
      </c>
      <c r="U160">
        <v>1</v>
      </c>
      <c r="V160">
        <v>2</v>
      </c>
      <c r="W160" t="s">
        <v>112</v>
      </c>
      <c r="X160" t="s">
        <v>83</v>
      </c>
      <c r="AA160" t="s">
        <v>227</v>
      </c>
      <c r="AB160">
        <v>2</v>
      </c>
      <c r="AC160">
        <v>1</v>
      </c>
      <c r="AD160">
        <v>1</v>
      </c>
      <c r="AE160" t="s">
        <v>228</v>
      </c>
      <c r="AI160">
        <v>0</v>
      </c>
      <c r="AJ160">
        <v>16</v>
      </c>
    </row>
    <row r="161" spans="1:36" x14ac:dyDescent="0.25">
      <c r="A161" t="s">
        <v>1584</v>
      </c>
      <c r="B161">
        <v>159</v>
      </c>
      <c r="C161" t="s">
        <v>53</v>
      </c>
      <c r="D161">
        <v>1</v>
      </c>
      <c r="E161">
        <v>1</v>
      </c>
      <c r="F161">
        <v>1</v>
      </c>
      <c r="G161" t="s">
        <v>111</v>
      </c>
      <c r="H161" t="s">
        <v>113</v>
      </c>
      <c r="I161" t="s">
        <v>97</v>
      </c>
      <c r="K161" t="s">
        <v>227</v>
      </c>
      <c r="L161">
        <v>2</v>
      </c>
      <c r="M161">
        <v>1</v>
      </c>
      <c r="N161">
        <v>1</v>
      </c>
      <c r="O161" t="s">
        <v>228</v>
      </c>
      <c r="P161" t="s">
        <v>231</v>
      </c>
      <c r="Q161" t="s">
        <v>234</v>
      </c>
      <c r="R161" t="s">
        <v>238</v>
      </c>
      <c r="S161" t="s">
        <v>33</v>
      </c>
      <c r="T161">
        <v>1</v>
      </c>
      <c r="V161">
        <v>3</v>
      </c>
      <c r="W161" t="s">
        <v>34</v>
      </c>
      <c r="X161" t="s">
        <v>66</v>
      </c>
      <c r="AA161" t="s">
        <v>45</v>
      </c>
      <c r="AB161">
        <v>3</v>
      </c>
      <c r="AD161">
        <v>1</v>
      </c>
      <c r="AE161" t="s">
        <v>140</v>
      </c>
      <c r="AF161" t="s">
        <v>76</v>
      </c>
      <c r="AI161">
        <v>0</v>
      </c>
      <c r="AJ161">
        <v>16</v>
      </c>
    </row>
    <row r="162" spans="1:36" x14ac:dyDescent="0.25">
      <c r="A162" t="s">
        <v>1585</v>
      </c>
      <c r="B162">
        <v>160</v>
      </c>
      <c r="C162" t="s">
        <v>53</v>
      </c>
      <c r="D162">
        <v>3</v>
      </c>
      <c r="E162">
        <v>1</v>
      </c>
      <c r="F162">
        <v>2</v>
      </c>
      <c r="G162" t="s">
        <v>111</v>
      </c>
      <c r="K162" t="s">
        <v>227</v>
      </c>
      <c r="L162">
        <v>3</v>
      </c>
      <c r="M162">
        <v>1</v>
      </c>
      <c r="N162">
        <v>1</v>
      </c>
      <c r="O162" t="s">
        <v>228</v>
      </c>
      <c r="P162" t="s">
        <v>231</v>
      </c>
      <c r="Q162" t="s">
        <v>234</v>
      </c>
      <c r="S162" t="s">
        <v>33</v>
      </c>
      <c r="T162">
        <v>1</v>
      </c>
      <c r="V162">
        <v>3</v>
      </c>
      <c r="W162" t="s">
        <v>34</v>
      </c>
      <c r="AA162" t="s">
        <v>63</v>
      </c>
      <c r="AB162">
        <v>2</v>
      </c>
      <c r="AD162">
        <v>1</v>
      </c>
      <c r="AE162" t="s">
        <v>103</v>
      </c>
      <c r="AF162" t="s">
        <v>91</v>
      </c>
      <c r="AG162" t="s">
        <v>104</v>
      </c>
      <c r="AI162">
        <v>0</v>
      </c>
      <c r="AJ162">
        <v>16</v>
      </c>
    </row>
    <row r="163" spans="1:36" x14ac:dyDescent="0.25">
      <c r="A163" t="s">
        <v>1586</v>
      </c>
      <c r="B163">
        <v>161</v>
      </c>
      <c r="C163" t="s">
        <v>53</v>
      </c>
      <c r="D163">
        <v>2</v>
      </c>
      <c r="E163">
        <v>1</v>
      </c>
      <c r="F163">
        <v>2</v>
      </c>
      <c r="G163" t="s">
        <v>111</v>
      </c>
      <c r="H163" t="s">
        <v>55</v>
      </c>
      <c r="K163" t="s">
        <v>227</v>
      </c>
      <c r="L163">
        <v>3</v>
      </c>
      <c r="M163">
        <v>1</v>
      </c>
      <c r="N163">
        <v>1</v>
      </c>
      <c r="O163" t="s">
        <v>228</v>
      </c>
      <c r="P163" t="s">
        <v>231</v>
      </c>
      <c r="S163" t="s">
        <v>33</v>
      </c>
      <c r="T163">
        <v>2</v>
      </c>
      <c r="V163">
        <v>2</v>
      </c>
      <c r="W163" t="s">
        <v>34</v>
      </c>
      <c r="AA163" t="s">
        <v>38</v>
      </c>
      <c r="AB163">
        <v>1</v>
      </c>
      <c r="AC163">
        <v>1</v>
      </c>
      <c r="AD163">
        <v>1</v>
      </c>
      <c r="AE163" t="s">
        <v>39</v>
      </c>
      <c r="AF163" t="s">
        <v>70</v>
      </c>
      <c r="AG163" t="s">
        <v>154</v>
      </c>
      <c r="AH163" t="s">
        <v>42</v>
      </c>
      <c r="AI163">
        <v>0</v>
      </c>
      <c r="AJ163">
        <v>15</v>
      </c>
    </row>
    <row r="164" spans="1:36" x14ac:dyDescent="0.25">
      <c r="A164" t="s">
        <v>1372</v>
      </c>
      <c r="B164">
        <v>162</v>
      </c>
      <c r="C164" t="s">
        <v>53</v>
      </c>
      <c r="D164">
        <v>1</v>
      </c>
      <c r="E164">
        <v>2</v>
      </c>
      <c r="F164">
        <v>3</v>
      </c>
      <c r="G164" t="s">
        <v>112</v>
      </c>
      <c r="H164" t="s">
        <v>113</v>
      </c>
      <c r="I164" t="s">
        <v>97</v>
      </c>
      <c r="J164" t="s">
        <v>98</v>
      </c>
      <c r="K164" t="s">
        <v>227</v>
      </c>
      <c r="L164">
        <v>2</v>
      </c>
      <c r="M164">
        <v>2</v>
      </c>
      <c r="N164">
        <v>3</v>
      </c>
      <c r="O164" t="s">
        <v>229</v>
      </c>
      <c r="P164" t="s">
        <v>231</v>
      </c>
      <c r="Q164" t="s">
        <v>235</v>
      </c>
      <c r="R164" t="s">
        <v>238</v>
      </c>
      <c r="S164" t="s">
        <v>43</v>
      </c>
      <c r="T164">
        <v>3</v>
      </c>
      <c r="V164">
        <v>2</v>
      </c>
      <c r="W164" t="s">
        <v>73</v>
      </c>
      <c r="X164" t="s">
        <v>99</v>
      </c>
      <c r="Y164" t="s">
        <v>75</v>
      </c>
      <c r="Z164" t="s">
        <v>101</v>
      </c>
      <c r="AA164" t="s">
        <v>45</v>
      </c>
      <c r="AB164">
        <v>3</v>
      </c>
      <c r="AD164">
        <v>1</v>
      </c>
      <c r="AE164" t="s">
        <v>47</v>
      </c>
      <c r="AF164" t="s">
        <v>141</v>
      </c>
      <c r="AG164" t="s">
        <v>93</v>
      </c>
      <c r="AH164" t="s">
        <v>143</v>
      </c>
      <c r="AI164">
        <v>0</v>
      </c>
      <c r="AJ164">
        <v>28</v>
      </c>
    </row>
    <row r="165" spans="1:36" x14ac:dyDescent="0.25">
      <c r="A165" t="s">
        <v>1373</v>
      </c>
      <c r="B165">
        <v>163</v>
      </c>
      <c r="C165" t="s">
        <v>53</v>
      </c>
      <c r="D165">
        <v>1</v>
      </c>
      <c r="E165">
        <v>2</v>
      </c>
      <c r="F165">
        <v>3</v>
      </c>
      <c r="G165" t="s">
        <v>112</v>
      </c>
      <c r="H165" t="s">
        <v>55</v>
      </c>
      <c r="I165" t="s">
        <v>97</v>
      </c>
      <c r="K165" t="s">
        <v>227</v>
      </c>
      <c r="L165">
        <v>3</v>
      </c>
      <c r="M165">
        <v>1</v>
      </c>
      <c r="N165">
        <v>3</v>
      </c>
      <c r="O165" t="s">
        <v>229</v>
      </c>
      <c r="P165" t="s">
        <v>231</v>
      </c>
      <c r="Q165" t="s">
        <v>234</v>
      </c>
      <c r="S165" t="s">
        <v>43</v>
      </c>
      <c r="T165">
        <v>3</v>
      </c>
      <c r="V165">
        <v>1</v>
      </c>
      <c r="W165" t="s">
        <v>135</v>
      </c>
      <c r="X165" t="s">
        <v>74</v>
      </c>
      <c r="Y165" t="s">
        <v>75</v>
      </c>
      <c r="AA165" t="s">
        <v>63</v>
      </c>
      <c r="AB165">
        <v>3</v>
      </c>
      <c r="AD165">
        <v>1</v>
      </c>
      <c r="AE165" t="s">
        <v>103</v>
      </c>
      <c r="AF165" t="s">
        <v>91</v>
      </c>
      <c r="AG165" t="s">
        <v>148</v>
      </c>
      <c r="AH165" t="s">
        <v>150</v>
      </c>
      <c r="AI165">
        <v>0</v>
      </c>
      <c r="AJ165">
        <v>25</v>
      </c>
    </row>
    <row r="166" spans="1:36" x14ac:dyDescent="0.25">
      <c r="A166" t="s">
        <v>1374</v>
      </c>
      <c r="B166">
        <v>164</v>
      </c>
      <c r="C166" t="s">
        <v>53</v>
      </c>
      <c r="D166">
        <v>3</v>
      </c>
      <c r="E166">
        <v>3</v>
      </c>
      <c r="F166">
        <v>3</v>
      </c>
      <c r="G166" t="s">
        <v>112</v>
      </c>
      <c r="H166" t="s">
        <v>55</v>
      </c>
      <c r="I166" t="s">
        <v>97</v>
      </c>
      <c r="J166" t="s">
        <v>115</v>
      </c>
      <c r="K166" t="s">
        <v>227</v>
      </c>
      <c r="L166">
        <v>1</v>
      </c>
      <c r="M166">
        <v>1</v>
      </c>
      <c r="N166">
        <v>2</v>
      </c>
      <c r="O166" t="s">
        <v>229</v>
      </c>
      <c r="P166" t="s">
        <v>231</v>
      </c>
      <c r="Q166" t="s">
        <v>235</v>
      </c>
      <c r="R166" t="s">
        <v>238</v>
      </c>
      <c r="S166" t="s">
        <v>43</v>
      </c>
      <c r="T166">
        <v>3</v>
      </c>
      <c r="V166">
        <v>3</v>
      </c>
      <c r="W166" t="s">
        <v>135</v>
      </c>
      <c r="X166" t="s">
        <v>99</v>
      </c>
      <c r="Y166" t="s">
        <v>137</v>
      </c>
      <c r="Z166" t="s">
        <v>139</v>
      </c>
      <c r="AA166" t="s">
        <v>38</v>
      </c>
      <c r="AB166">
        <v>3</v>
      </c>
      <c r="AC166">
        <v>3</v>
      </c>
      <c r="AD166">
        <v>3</v>
      </c>
      <c r="AE166" t="s">
        <v>39</v>
      </c>
      <c r="AF166" t="s">
        <v>40</v>
      </c>
      <c r="AG166" t="s">
        <v>153</v>
      </c>
      <c r="AH166" t="s">
        <v>42</v>
      </c>
      <c r="AI166">
        <v>0</v>
      </c>
      <c r="AJ166">
        <v>40</v>
      </c>
    </row>
    <row r="167" spans="1:36" x14ac:dyDescent="0.25">
      <c r="A167" t="s">
        <v>1375</v>
      </c>
      <c r="B167">
        <v>165</v>
      </c>
      <c r="C167" t="s">
        <v>45</v>
      </c>
      <c r="D167">
        <v>3</v>
      </c>
      <c r="F167">
        <v>1</v>
      </c>
      <c r="G167" t="s">
        <v>86</v>
      </c>
      <c r="H167" t="s">
        <v>76</v>
      </c>
      <c r="I167" t="s">
        <v>93</v>
      </c>
      <c r="K167" t="s">
        <v>63</v>
      </c>
      <c r="L167">
        <v>2</v>
      </c>
      <c r="N167">
        <v>1</v>
      </c>
      <c r="O167" t="s">
        <v>103</v>
      </c>
      <c r="P167" t="s">
        <v>95</v>
      </c>
      <c r="Q167" t="s">
        <v>148</v>
      </c>
      <c r="R167" t="s">
        <v>150</v>
      </c>
      <c r="S167" t="s">
        <v>53</v>
      </c>
      <c r="T167">
        <v>1</v>
      </c>
      <c r="U167">
        <v>3</v>
      </c>
      <c r="V167">
        <v>3</v>
      </c>
      <c r="W167" t="s">
        <v>112</v>
      </c>
      <c r="AA167" t="s">
        <v>227</v>
      </c>
      <c r="AB167">
        <v>1</v>
      </c>
      <c r="AC167">
        <v>1</v>
      </c>
      <c r="AD167">
        <v>2</v>
      </c>
      <c r="AE167" t="s">
        <v>229</v>
      </c>
      <c r="AF167" t="s">
        <v>231</v>
      </c>
      <c r="AG167" t="s">
        <v>235</v>
      </c>
      <c r="AI167">
        <v>0</v>
      </c>
      <c r="AJ167">
        <v>20</v>
      </c>
    </row>
    <row r="168" spans="1:36" x14ac:dyDescent="0.25">
      <c r="A168" t="s">
        <v>1376</v>
      </c>
      <c r="B168">
        <v>166</v>
      </c>
      <c r="C168" t="s">
        <v>53</v>
      </c>
      <c r="D168">
        <v>3</v>
      </c>
      <c r="E168">
        <v>3</v>
      </c>
      <c r="F168">
        <v>3</v>
      </c>
      <c r="G168" t="s">
        <v>112</v>
      </c>
      <c r="H168" t="s">
        <v>55</v>
      </c>
      <c r="I168" t="s">
        <v>97</v>
      </c>
      <c r="J168" t="s">
        <v>115</v>
      </c>
      <c r="K168" t="s">
        <v>227</v>
      </c>
      <c r="L168">
        <v>1</v>
      </c>
      <c r="M168">
        <v>1</v>
      </c>
      <c r="N168">
        <v>3</v>
      </c>
      <c r="O168" t="s">
        <v>229</v>
      </c>
      <c r="P168" t="s">
        <v>231</v>
      </c>
      <c r="S168" t="s">
        <v>45</v>
      </c>
      <c r="T168">
        <v>3</v>
      </c>
      <c r="V168">
        <v>3</v>
      </c>
      <c r="W168" t="s">
        <v>86</v>
      </c>
      <c r="X168" t="s">
        <v>141</v>
      </c>
      <c r="Y168" t="s">
        <v>102</v>
      </c>
      <c r="Z168" t="s">
        <v>94</v>
      </c>
      <c r="AA168" t="s">
        <v>38</v>
      </c>
      <c r="AB168">
        <v>3</v>
      </c>
      <c r="AC168">
        <v>3</v>
      </c>
      <c r="AD168">
        <v>3</v>
      </c>
      <c r="AE168" t="s">
        <v>39</v>
      </c>
      <c r="AF168" t="s">
        <v>96</v>
      </c>
      <c r="AG168" t="s">
        <v>153</v>
      </c>
      <c r="AH168" t="s">
        <v>42</v>
      </c>
      <c r="AI168">
        <v>0</v>
      </c>
      <c r="AJ168">
        <v>44</v>
      </c>
    </row>
    <row r="169" spans="1:36" x14ac:dyDescent="0.25">
      <c r="A169" t="s">
        <v>1587</v>
      </c>
      <c r="B169">
        <v>167</v>
      </c>
      <c r="C169" t="s">
        <v>53</v>
      </c>
      <c r="D169">
        <v>3</v>
      </c>
      <c r="E169">
        <v>3</v>
      </c>
      <c r="F169">
        <v>3</v>
      </c>
      <c r="G169" t="s">
        <v>112</v>
      </c>
      <c r="H169" t="s">
        <v>83</v>
      </c>
      <c r="I169" t="s">
        <v>97</v>
      </c>
      <c r="J169" t="s">
        <v>116</v>
      </c>
      <c r="K169" t="s">
        <v>227</v>
      </c>
      <c r="L169">
        <v>3</v>
      </c>
      <c r="M169">
        <v>3</v>
      </c>
      <c r="N169">
        <v>3</v>
      </c>
      <c r="O169" t="s">
        <v>229</v>
      </c>
      <c r="P169" t="s">
        <v>231</v>
      </c>
      <c r="Q169" t="s">
        <v>235</v>
      </c>
      <c r="R169" t="s">
        <v>238</v>
      </c>
      <c r="S169" t="s">
        <v>63</v>
      </c>
      <c r="T169">
        <v>3</v>
      </c>
      <c r="V169">
        <v>3</v>
      </c>
      <c r="W169" t="s">
        <v>103</v>
      </c>
      <c r="X169" t="s">
        <v>91</v>
      </c>
      <c r="Y169" t="s">
        <v>148</v>
      </c>
      <c r="Z169" t="s">
        <v>151</v>
      </c>
      <c r="AA169" t="s">
        <v>38</v>
      </c>
      <c r="AB169">
        <v>3</v>
      </c>
      <c r="AC169">
        <v>3</v>
      </c>
      <c r="AD169">
        <v>1</v>
      </c>
      <c r="AE169" t="s">
        <v>152</v>
      </c>
      <c r="AF169" t="s">
        <v>40</v>
      </c>
      <c r="AG169" t="s">
        <v>154</v>
      </c>
      <c r="AH169" t="s">
        <v>155</v>
      </c>
      <c r="AI169">
        <v>0</v>
      </c>
      <c r="AJ169">
        <v>40</v>
      </c>
    </row>
    <row r="170" spans="1:36" x14ac:dyDescent="0.25">
      <c r="A170" t="s">
        <v>1588</v>
      </c>
      <c r="B170">
        <v>168</v>
      </c>
      <c r="C170" t="s">
        <v>33</v>
      </c>
      <c r="D170">
        <v>3</v>
      </c>
      <c r="F170">
        <v>3</v>
      </c>
      <c r="G170" t="s">
        <v>46</v>
      </c>
      <c r="H170" t="s">
        <v>130</v>
      </c>
      <c r="I170" t="s">
        <v>132</v>
      </c>
      <c r="J170" t="s">
        <v>37</v>
      </c>
      <c r="K170" t="s">
        <v>43</v>
      </c>
      <c r="L170">
        <v>2</v>
      </c>
      <c r="N170">
        <v>1</v>
      </c>
      <c r="O170" t="s">
        <v>135</v>
      </c>
      <c r="P170" t="s">
        <v>74</v>
      </c>
      <c r="S170" t="s">
        <v>56</v>
      </c>
      <c r="T170">
        <v>3</v>
      </c>
      <c r="V170">
        <v>3</v>
      </c>
      <c r="W170" t="s">
        <v>120</v>
      </c>
      <c r="X170" t="s">
        <v>69</v>
      </c>
      <c r="Y170" t="s">
        <v>85</v>
      </c>
      <c r="Z170" t="s">
        <v>88</v>
      </c>
      <c r="AA170" t="s">
        <v>48</v>
      </c>
      <c r="AB170">
        <v>1</v>
      </c>
      <c r="AD170">
        <v>1</v>
      </c>
      <c r="AE170" t="s">
        <v>126</v>
      </c>
      <c r="AF170" t="s">
        <v>50</v>
      </c>
      <c r="AI170">
        <v>0</v>
      </c>
      <c r="AJ170">
        <v>26</v>
      </c>
    </row>
    <row r="171" spans="1:36" x14ac:dyDescent="0.25">
      <c r="A171" t="s">
        <v>1377</v>
      </c>
      <c r="B171">
        <v>169</v>
      </c>
      <c r="C171" t="s">
        <v>33</v>
      </c>
      <c r="D171">
        <v>1</v>
      </c>
      <c r="F171">
        <v>2</v>
      </c>
      <c r="G171" t="s">
        <v>46</v>
      </c>
      <c r="H171" t="s">
        <v>130</v>
      </c>
      <c r="I171" t="s">
        <v>132</v>
      </c>
      <c r="J171" t="s">
        <v>133</v>
      </c>
      <c r="K171" t="s">
        <v>45</v>
      </c>
      <c r="L171">
        <v>3</v>
      </c>
      <c r="N171">
        <v>1</v>
      </c>
      <c r="O171" t="s">
        <v>140</v>
      </c>
      <c r="P171" t="s">
        <v>141</v>
      </c>
      <c r="Q171" t="s">
        <v>102</v>
      </c>
      <c r="S171" t="s">
        <v>56</v>
      </c>
      <c r="T171">
        <v>3</v>
      </c>
      <c r="V171">
        <v>1</v>
      </c>
      <c r="W171" t="s">
        <v>120</v>
      </c>
      <c r="X171" t="s">
        <v>69</v>
      </c>
      <c r="AA171" t="s">
        <v>48</v>
      </c>
      <c r="AB171">
        <v>1</v>
      </c>
      <c r="AD171">
        <v>1</v>
      </c>
      <c r="AE171" t="s">
        <v>126</v>
      </c>
      <c r="AF171" t="s">
        <v>50</v>
      </c>
      <c r="AI171">
        <v>0</v>
      </c>
      <c r="AJ171">
        <v>16</v>
      </c>
    </row>
    <row r="172" spans="1:36" x14ac:dyDescent="0.25">
      <c r="A172" t="s">
        <v>1589</v>
      </c>
      <c r="B172">
        <v>170</v>
      </c>
      <c r="C172" t="s">
        <v>33</v>
      </c>
      <c r="D172">
        <v>2</v>
      </c>
      <c r="F172">
        <v>3</v>
      </c>
      <c r="G172" t="s">
        <v>46</v>
      </c>
      <c r="K172" t="s">
        <v>63</v>
      </c>
      <c r="L172">
        <v>3</v>
      </c>
      <c r="N172">
        <v>3</v>
      </c>
      <c r="O172" t="s">
        <v>103</v>
      </c>
      <c r="P172" t="s">
        <v>146</v>
      </c>
      <c r="Q172" t="s">
        <v>147</v>
      </c>
      <c r="R172" t="s">
        <v>151</v>
      </c>
      <c r="S172" t="s">
        <v>56</v>
      </c>
      <c r="T172">
        <v>2</v>
      </c>
      <c r="V172">
        <v>1</v>
      </c>
      <c r="W172" t="s">
        <v>57</v>
      </c>
      <c r="X172" t="s">
        <v>122</v>
      </c>
      <c r="AA172" t="s">
        <v>48</v>
      </c>
      <c r="AB172">
        <v>3</v>
      </c>
      <c r="AD172">
        <v>3</v>
      </c>
      <c r="AE172" t="s">
        <v>89</v>
      </c>
      <c r="AF172" t="s">
        <v>50</v>
      </c>
      <c r="AG172" t="s">
        <v>127</v>
      </c>
      <c r="AH172" t="s">
        <v>129</v>
      </c>
      <c r="AI172">
        <v>0</v>
      </c>
      <c r="AJ172">
        <v>31</v>
      </c>
    </row>
    <row r="173" spans="1:36" x14ac:dyDescent="0.25">
      <c r="A173" t="s">
        <v>1590</v>
      </c>
      <c r="B173">
        <v>171</v>
      </c>
      <c r="C173" t="s">
        <v>33</v>
      </c>
      <c r="D173">
        <v>2</v>
      </c>
      <c r="F173">
        <v>2</v>
      </c>
      <c r="G173" t="s">
        <v>46</v>
      </c>
      <c r="K173" t="s">
        <v>38</v>
      </c>
      <c r="L173">
        <v>3</v>
      </c>
      <c r="M173">
        <v>3</v>
      </c>
      <c r="N173">
        <v>3</v>
      </c>
      <c r="O173" t="s">
        <v>39</v>
      </c>
      <c r="P173" t="s">
        <v>96</v>
      </c>
      <c r="Q173" t="s">
        <v>154</v>
      </c>
      <c r="R173" t="s">
        <v>156</v>
      </c>
      <c r="S173" t="s">
        <v>56</v>
      </c>
      <c r="T173">
        <v>3</v>
      </c>
      <c r="V173">
        <v>3</v>
      </c>
      <c r="W173" t="s">
        <v>120</v>
      </c>
      <c r="X173" t="s">
        <v>122</v>
      </c>
      <c r="Y173" t="s">
        <v>87</v>
      </c>
      <c r="Z173" t="s">
        <v>125</v>
      </c>
      <c r="AA173" t="s">
        <v>48</v>
      </c>
      <c r="AB173">
        <v>1</v>
      </c>
      <c r="AD173">
        <v>1</v>
      </c>
      <c r="AE173" t="s">
        <v>126</v>
      </c>
      <c r="AF173" t="s">
        <v>50</v>
      </c>
      <c r="AI173">
        <v>0</v>
      </c>
      <c r="AJ173">
        <v>30</v>
      </c>
    </row>
    <row r="174" spans="1:36" x14ac:dyDescent="0.25">
      <c r="A174" t="s">
        <v>1591</v>
      </c>
      <c r="B174">
        <v>172</v>
      </c>
      <c r="C174" t="s">
        <v>33</v>
      </c>
      <c r="D174">
        <v>3</v>
      </c>
      <c r="F174">
        <v>1</v>
      </c>
      <c r="G174" t="s">
        <v>46</v>
      </c>
      <c r="K174" t="s">
        <v>227</v>
      </c>
      <c r="L174">
        <v>1</v>
      </c>
      <c r="M174">
        <v>1</v>
      </c>
      <c r="N174">
        <v>1</v>
      </c>
      <c r="O174" t="s">
        <v>228</v>
      </c>
      <c r="P174" t="s">
        <v>231</v>
      </c>
      <c r="Q174" t="s">
        <v>234</v>
      </c>
      <c r="S174" t="s">
        <v>56</v>
      </c>
      <c r="T174">
        <v>2</v>
      </c>
      <c r="V174">
        <v>1</v>
      </c>
      <c r="W174" t="s">
        <v>68</v>
      </c>
      <c r="AA174" t="s">
        <v>48</v>
      </c>
      <c r="AB174">
        <v>1</v>
      </c>
      <c r="AD174">
        <v>1</v>
      </c>
      <c r="AE174" t="s">
        <v>89</v>
      </c>
      <c r="AI174">
        <v>0</v>
      </c>
      <c r="AJ174">
        <v>9</v>
      </c>
    </row>
    <row r="175" spans="1:36" x14ac:dyDescent="0.25">
      <c r="A175" t="s">
        <v>1592</v>
      </c>
      <c r="B175">
        <v>173</v>
      </c>
      <c r="C175" t="s">
        <v>43</v>
      </c>
      <c r="D175">
        <v>3</v>
      </c>
      <c r="F175">
        <v>1</v>
      </c>
      <c r="G175" t="s">
        <v>73</v>
      </c>
      <c r="H175" t="s">
        <v>99</v>
      </c>
      <c r="I175" t="s">
        <v>75</v>
      </c>
      <c r="J175" t="s">
        <v>138</v>
      </c>
      <c r="K175" t="s">
        <v>45</v>
      </c>
      <c r="L175">
        <v>3</v>
      </c>
      <c r="N175">
        <v>3</v>
      </c>
      <c r="O175" t="s">
        <v>86</v>
      </c>
      <c r="P175" t="s">
        <v>76</v>
      </c>
      <c r="Q175" t="s">
        <v>102</v>
      </c>
      <c r="S175" t="s">
        <v>56</v>
      </c>
      <c r="T175">
        <v>1</v>
      </c>
      <c r="V175">
        <v>3</v>
      </c>
      <c r="W175" t="s">
        <v>120</v>
      </c>
      <c r="X175" t="s">
        <v>69</v>
      </c>
      <c r="Y175" t="s">
        <v>87</v>
      </c>
      <c r="Z175" t="s">
        <v>124</v>
      </c>
      <c r="AA175" t="s">
        <v>48</v>
      </c>
      <c r="AB175">
        <v>1</v>
      </c>
      <c r="AD175">
        <v>1</v>
      </c>
      <c r="AE175" t="s">
        <v>126</v>
      </c>
      <c r="AF175" t="s">
        <v>84</v>
      </c>
      <c r="AI175">
        <v>0</v>
      </c>
      <c r="AJ175">
        <v>21</v>
      </c>
    </row>
    <row r="176" spans="1:36" x14ac:dyDescent="0.25">
      <c r="A176" t="s">
        <v>1378</v>
      </c>
      <c r="B176">
        <v>174</v>
      </c>
      <c r="C176" t="s">
        <v>43</v>
      </c>
      <c r="D176">
        <v>3</v>
      </c>
      <c r="F176">
        <v>1</v>
      </c>
      <c r="G176" t="s">
        <v>135</v>
      </c>
      <c r="H176" t="s">
        <v>74</v>
      </c>
      <c r="I176" t="s">
        <v>75</v>
      </c>
      <c r="K176" t="s">
        <v>63</v>
      </c>
      <c r="L176">
        <v>1</v>
      </c>
      <c r="N176">
        <v>1</v>
      </c>
      <c r="O176" t="s">
        <v>145</v>
      </c>
      <c r="P176" t="s">
        <v>91</v>
      </c>
      <c r="Q176" t="s">
        <v>104</v>
      </c>
      <c r="R176" t="s">
        <v>151</v>
      </c>
      <c r="S176" t="s">
        <v>56</v>
      </c>
      <c r="T176">
        <v>3</v>
      </c>
      <c r="V176">
        <v>1</v>
      </c>
      <c r="W176" t="s">
        <v>120</v>
      </c>
      <c r="X176" t="s">
        <v>121</v>
      </c>
      <c r="AA176" t="s">
        <v>48</v>
      </c>
      <c r="AB176">
        <v>1</v>
      </c>
      <c r="AD176">
        <v>1</v>
      </c>
      <c r="AE176" t="s">
        <v>126</v>
      </c>
      <c r="AF176" t="s">
        <v>84</v>
      </c>
      <c r="AI176">
        <v>0</v>
      </c>
      <c r="AJ176">
        <v>15</v>
      </c>
    </row>
    <row r="177" spans="1:36" x14ac:dyDescent="0.25">
      <c r="A177" t="s">
        <v>1379</v>
      </c>
      <c r="B177">
        <v>175</v>
      </c>
      <c r="C177" t="s">
        <v>56</v>
      </c>
      <c r="D177">
        <v>3</v>
      </c>
      <c r="F177">
        <v>3</v>
      </c>
      <c r="G177" t="s">
        <v>120</v>
      </c>
      <c r="H177" t="s">
        <v>122</v>
      </c>
      <c r="I177" t="s">
        <v>85</v>
      </c>
      <c r="J177" t="s">
        <v>125</v>
      </c>
      <c r="K177" t="s">
        <v>48</v>
      </c>
      <c r="L177">
        <v>3</v>
      </c>
      <c r="N177">
        <v>3</v>
      </c>
      <c r="O177" t="s">
        <v>126</v>
      </c>
      <c r="P177" t="s">
        <v>84</v>
      </c>
      <c r="Q177" t="s">
        <v>90</v>
      </c>
      <c r="R177" t="s">
        <v>129</v>
      </c>
      <c r="S177" t="s">
        <v>43</v>
      </c>
      <c r="T177">
        <v>3</v>
      </c>
      <c r="V177">
        <v>1</v>
      </c>
      <c r="W177" t="s">
        <v>73</v>
      </c>
      <c r="X177" t="s">
        <v>74</v>
      </c>
      <c r="Y177" t="s">
        <v>137</v>
      </c>
      <c r="AA177" t="s">
        <v>38</v>
      </c>
      <c r="AB177">
        <v>3</v>
      </c>
      <c r="AC177">
        <v>3</v>
      </c>
      <c r="AD177">
        <v>3</v>
      </c>
      <c r="AE177" t="s">
        <v>39</v>
      </c>
      <c r="AF177" t="s">
        <v>96</v>
      </c>
      <c r="AG177" t="s">
        <v>154</v>
      </c>
      <c r="AH177" t="s">
        <v>155</v>
      </c>
      <c r="AI177">
        <v>0</v>
      </c>
      <c r="AJ177">
        <v>41</v>
      </c>
    </row>
    <row r="178" spans="1:36" x14ac:dyDescent="0.25">
      <c r="A178" t="s">
        <v>1593</v>
      </c>
      <c r="B178">
        <v>176</v>
      </c>
      <c r="C178" t="s">
        <v>56</v>
      </c>
      <c r="D178">
        <v>3</v>
      </c>
      <c r="F178">
        <v>2</v>
      </c>
      <c r="G178" t="s">
        <v>120</v>
      </c>
      <c r="H178" t="s">
        <v>69</v>
      </c>
      <c r="I178" t="s">
        <v>123</v>
      </c>
      <c r="K178" t="s">
        <v>48</v>
      </c>
      <c r="L178">
        <v>3</v>
      </c>
      <c r="N178">
        <v>1</v>
      </c>
      <c r="O178" t="s">
        <v>126</v>
      </c>
      <c r="P178" t="s">
        <v>84</v>
      </c>
      <c r="Q178" t="s">
        <v>51</v>
      </c>
      <c r="R178" t="s">
        <v>129</v>
      </c>
      <c r="S178" t="s">
        <v>43</v>
      </c>
      <c r="T178">
        <v>1</v>
      </c>
      <c r="V178">
        <v>1</v>
      </c>
      <c r="W178" t="s">
        <v>73</v>
      </c>
      <c r="X178" t="s">
        <v>74</v>
      </c>
      <c r="Y178" t="s">
        <v>75</v>
      </c>
      <c r="AA178" t="s">
        <v>227</v>
      </c>
      <c r="AB178">
        <v>1</v>
      </c>
      <c r="AC178">
        <v>3</v>
      </c>
      <c r="AD178">
        <v>3</v>
      </c>
      <c r="AE178" t="s">
        <v>229</v>
      </c>
      <c r="AF178" t="s">
        <v>233</v>
      </c>
      <c r="AI178">
        <v>0</v>
      </c>
      <c r="AJ178">
        <v>21</v>
      </c>
    </row>
    <row r="179" spans="1:36" x14ac:dyDescent="0.25">
      <c r="A179" t="s">
        <v>1380</v>
      </c>
      <c r="B179">
        <v>177</v>
      </c>
      <c r="C179" t="s">
        <v>56</v>
      </c>
      <c r="D179">
        <v>2</v>
      </c>
      <c r="F179">
        <v>1</v>
      </c>
      <c r="G179" t="s">
        <v>57</v>
      </c>
      <c r="H179" t="s">
        <v>122</v>
      </c>
      <c r="K179" t="s">
        <v>48</v>
      </c>
      <c r="L179">
        <v>1</v>
      </c>
      <c r="N179">
        <v>3</v>
      </c>
      <c r="O179" t="s">
        <v>126</v>
      </c>
      <c r="P179" t="s">
        <v>84</v>
      </c>
      <c r="Q179" t="s">
        <v>127</v>
      </c>
      <c r="S179" t="s">
        <v>45</v>
      </c>
      <c r="T179">
        <v>3</v>
      </c>
      <c r="V179">
        <v>1</v>
      </c>
      <c r="W179" t="s">
        <v>86</v>
      </c>
      <c r="X179" t="s">
        <v>76</v>
      </c>
      <c r="Y179" t="s">
        <v>93</v>
      </c>
      <c r="Z179" t="s">
        <v>94</v>
      </c>
      <c r="AA179" t="s">
        <v>63</v>
      </c>
      <c r="AB179">
        <v>1</v>
      </c>
      <c r="AD179">
        <v>1</v>
      </c>
      <c r="AE179" t="s">
        <v>145</v>
      </c>
      <c r="AF179" t="s">
        <v>91</v>
      </c>
      <c r="AI179">
        <v>0</v>
      </c>
      <c r="AJ179">
        <v>17</v>
      </c>
    </row>
    <row r="180" spans="1:36" x14ac:dyDescent="0.25">
      <c r="A180" s="39" t="s">
        <v>1594</v>
      </c>
      <c r="B180">
        <v>178</v>
      </c>
      <c r="C180" t="s">
        <v>56</v>
      </c>
      <c r="D180">
        <v>2</v>
      </c>
      <c r="F180">
        <v>3</v>
      </c>
      <c r="G180" t="s">
        <v>57</v>
      </c>
      <c r="H180" t="s">
        <v>122</v>
      </c>
      <c r="I180" t="s">
        <v>85</v>
      </c>
      <c r="J180" t="s">
        <v>125</v>
      </c>
      <c r="K180" t="s">
        <v>48</v>
      </c>
      <c r="L180">
        <v>3</v>
      </c>
      <c r="N180">
        <v>2</v>
      </c>
      <c r="O180" t="s">
        <v>126</v>
      </c>
      <c r="P180" t="s">
        <v>84</v>
      </c>
      <c r="Q180" t="s">
        <v>90</v>
      </c>
      <c r="R180" t="s">
        <v>129</v>
      </c>
      <c r="S180" t="s">
        <v>45</v>
      </c>
      <c r="T180">
        <v>3</v>
      </c>
      <c r="V180">
        <v>2</v>
      </c>
      <c r="W180" t="s">
        <v>86</v>
      </c>
      <c r="X180" t="s">
        <v>141</v>
      </c>
      <c r="Y180" t="s">
        <v>93</v>
      </c>
      <c r="Z180" t="s">
        <v>144</v>
      </c>
      <c r="AA180" t="s">
        <v>38</v>
      </c>
      <c r="AB180">
        <v>1</v>
      </c>
      <c r="AC180">
        <v>1</v>
      </c>
      <c r="AD180">
        <v>2</v>
      </c>
      <c r="AE180" t="s">
        <v>39</v>
      </c>
      <c r="AF180" t="s">
        <v>96</v>
      </c>
      <c r="AG180" t="s">
        <v>153</v>
      </c>
      <c r="AH180" t="s">
        <v>42</v>
      </c>
      <c r="AI180">
        <v>0</v>
      </c>
      <c r="AJ180">
        <v>26</v>
      </c>
    </row>
    <row r="181" spans="1:36" x14ac:dyDescent="0.25">
      <c r="A181" t="s">
        <v>1381</v>
      </c>
      <c r="B181">
        <v>179</v>
      </c>
      <c r="C181" t="s">
        <v>56</v>
      </c>
      <c r="D181">
        <v>3</v>
      </c>
      <c r="F181">
        <v>3</v>
      </c>
      <c r="G181" t="s">
        <v>57</v>
      </c>
      <c r="K181" t="s">
        <v>48</v>
      </c>
      <c r="L181">
        <v>1</v>
      </c>
      <c r="N181">
        <v>1</v>
      </c>
      <c r="O181" t="s">
        <v>89</v>
      </c>
      <c r="P181" t="s">
        <v>84</v>
      </c>
      <c r="S181" t="s">
        <v>45</v>
      </c>
      <c r="T181">
        <v>3</v>
      </c>
      <c r="V181">
        <v>2</v>
      </c>
      <c r="W181" t="s">
        <v>86</v>
      </c>
      <c r="X181" t="s">
        <v>76</v>
      </c>
      <c r="AA181" t="s">
        <v>227</v>
      </c>
      <c r="AB181">
        <v>2</v>
      </c>
      <c r="AC181">
        <v>1</v>
      </c>
      <c r="AD181">
        <v>1</v>
      </c>
      <c r="AE181" t="s">
        <v>228</v>
      </c>
      <c r="AF181" t="s">
        <v>231</v>
      </c>
      <c r="AI181">
        <v>0</v>
      </c>
      <c r="AJ181">
        <v>15</v>
      </c>
    </row>
    <row r="182" spans="1:36" x14ac:dyDescent="0.25">
      <c r="A182" t="s">
        <v>1595</v>
      </c>
      <c r="B182">
        <v>180</v>
      </c>
      <c r="C182" t="s">
        <v>56</v>
      </c>
      <c r="D182">
        <v>2</v>
      </c>
      <c r="F182">
        <v>1</v>
      </c>
      <c r="G182" t="s">
        <v>57</v>
      </c>
      <c r="H182" t="s">
        <v>122</v>
      </c>
      <c r="I182" t="s">
        <v>85</v>
      </c>
      <c r="K182" t="s">
        <v>48</v>
      </c>
      <c r="L182">
        <v>2</v>
      </c>
      <c r="N182">
        <v>2</v>
      </c>
      <c r="O182" t="s">
        <v>49</v>
      </c>
      <c r="P182" t="s">
        <v>71</v>
      </c>
      <c r="Q182" t="s">
        <v>51</v>
      </c>
      <c r="S182" t="s">
        <v>63</v>
      </c>
      <c r="T182">
        <v>1</v>
      </c>
      <c r="V182">
        <v>1</v>
      </c>
      <c r="W182" t="s">
        <v>145</v>
      </c>
      <c r="X182" t="s">
        <v>91</v>
      </c>
      <c r="Y182" t="s">
        <v>148</v>
      </c>
      <c r="AA182" t="s">
        <v>38</v>
      </c>
      <c r="AB182">
        <v>1</v>
      </c>
      <c r="AC182">
        <v>1</v>
      </c>
      <c r="AD182">
        <v>2</v>
      </c>
      <c r="AE182" t="s">
        <v>39</v>
      </c>
      <c r="AF182" t="s">
        <v>96</v>
      </c>
      <c r="AG182" t="s">
        <v>153</v>
      </c>
      <c r="AH182" t="s">
        <v>155</v>
      </c>
      <c r="AI182">
        <v>0</v>
      </c>
      <c r="AJ182">
        <v>18</v>
      </c>
    </row>
    <row r="183" spans="1:36" x14ac:dyDescent="0.25">
      <c r="A183" t="s">
        <v>1382</v>
      </c>
      <c r="B183">
        <v>181</v>
      </c>
      <c r="C183" t="s">
        <v>56</v>
      </c>
      <c r="D183">
        <v>3</v>
      </c>
      <c r="F183">
        <v>3</v>
      </c>
      <c r="G183" t="s">
        <v>57</v>
      </c>
      <c r="H183" t="s">
        <v>122</v>
      </c>
      <c r="I183" t="s">
        <v>87</v>
      </c>
      <c r="J183" t="s">
        <v>125</v>
      </c>
      <c r="K183" t="s">
        <v>48</v>
      </c>
      <c r="L183">
        <v>3</v>
      </c>
      <c r="N183">
        <v>3</v>
      </c>
      <c r="O183" t="s">
        <v>126</v>
      </c>
      <c r="P183" t="s">
        <v>84</v>
      </c>
      <c r="Q183" t="s">
        <v>127</v>
      </c>
      <c r="R183" t="s">
        <v>129</v>
      </c>
      <c r="S183" t="s">
        <v>63</v>
      </c>
      <c r="T183">
        <v>1</v>
      </c>
      <c r="V183">
        <v>1</v>
      </c>
      <c r="W183" t="s">
        <v>145</v>
      </c>
      <c r="X183" t="s">
        <v>146</v>
      </c>
      <c r="Y183" t="s">
        <v>148</v>
      </c>
      <c r="AA183" t="s">
        <v>227</v>
      </c>
      <c r="AB183">
        <v>2</v>
      </c>
      <c r="AC183">
        <v>3</v>
      </c>
      <c r="AD183">
        <v>3</v>
      </c>
      <c r="AE183" t="s">
        <v>229</v>
      </c>
      <c r="AF183" t="s">
        <v>231</v>
      </c>
      <c r="AG183" t="s">
        <v>235</v>
      </c>
      <c r="AH183" t="s">
        <v>237</v>
      </c>
      <c r="AI183">
        <v>0</v>
      </c>
      <c r="AJ183">
        <v>29</v>
      </c>
    </row>
    <row r="184" spans="1:36" x14ac:dyDescent="0.25">
      <c r="A184" t="s">
        <v>1383</v>
      </c>
      <c r="B184">
        <v>182</v>
      </c>
      <c r="C184" t="s">
        <v>56</v>
      </c>
      <c r="D184">
        <v>2</v>
      </c>
      <c r="F184">
        <v>1</v>
      </c>
      <c r="G184" t="s">
        <v>57</v>
      </c>
      <c r="H184" t="s">
        <v>122</v>
      </c>
      <c r="I184" t="s">
        <v>85</v>
      </c>
      <c r="J184" t="s">
        <v>125</v>
      </c>
      <c r="K184" t="s">
        <v>48</v>
      </c>
      <c r="L184">
        <v>2</v>
      </c>
      <c r="N184">
        <v>1</v>
      </c>
      <c r="O184" t="s">
        <v>89</v>
      </c>
      <c r="P184" t="s">
        <v>84</v>
      </c>
      <c r="Q184" t="s">
        <v>127</v>
      </c>
      <c r="R184" t="s">
        <v>129</v>
      </c>
      <c r="S184" t="s">
        <v>38</v>
      </c>
      <c r="T184">
        <v>1</v>
      </c>
      <c r="U184">
        <v>2</v>
      </c>
      <c r="V184">
        <v>2</v>
      </c>
      <c r="W184" t="s">
        <v>39</v>
      </c>
      <c r="X184" t="s">
        <v>96</v>
      </c>
      <c r="Y184" t="s">
        <v>153</v>
      </c>
      <c r="Z184" t="s">
        <v>156</v>
      </c>
      <c r="AA184" t="s">
        <v>227</v>
      </c>
      <c r="AB184">
        <v>1</v>
      </c>
      <c r="AC184">
        <v>1</v>
      </c>
      <c r="AD184">
        <v>2</v>
      </c>
      <c r="AE184" t="s">
        <v>228</v>
      </c>
      <c r="AF184" t="s">
        <v>231</v>
      </c>
      <c r="AI184">
        <v>0</v>
      </c>
      <c r="AJ184">
        <v>20</v>
      </c>
    </row>
    <row r="185" spans="1:36" x14ac:dyDescent="0.25">
      <c r="A185" t="s">
        <v>1384</v>
      </c>
      <c r="B185">
        <v>183</v>
      </c>
      <c r="C185" t="s">
        <v>48</v>
      </c>
      <c r="D185">
        <v>3</v>
      </c>
      <c r="F185">
        <v>3</v>
      </c>
      <c r="G185" t="s">
        <v>89</v>
      </c>
      <c r="H185" t="s">
        <v>84</v>
      </c>
      <c r="I185" t="s">
        <v>127</v>
      </c>
      <c r="J185" t="s">
        <v>52</v>
      </c>
      <c r="K185" t="s">
        <v>43</v>
      </c>
      <c r="L185">
        <v>2</v>
      </c>
      <c r="N185">
        <v>1</v>
      </c>
      <c r="O185" t="s">
        <v>135</v>
      </c>
      <c r="S185" t="s">
        <v>56</v>
      </c>
      <c r="T185">
        <v>3</v>
      </c>
      <c r="V185">
        <v>3</v>
      </c>
      <c r="W185" t="s">
        <v>120</v>
      </c>
      <c r="X185" t="s">
        <v>122</v>
      </c>
      <c r="Y185" t="s">
        <v>87</v>
      </c>
      <c r="Z185" t="s">
        <v>124</v>
      </c>
      <c r="AA185" t="s">
        <v>33</v>
      </c>
      <c r="AB185">
        <v>1</v>
      </c>
      <c r="AD185">
        <v>3</v>
      </c>
      <c r="AE185" t="s">
        <v>34</v>
      </c>
      <c r="AI185">
        <v>0</v>
      </c>
      <c r="AJ185">
        <v>22</v>
      </c>
    </row>
    <row r="186" spans="1:36" x14ac:dyDescent="0.25">
      <c r="A186" t="s">
        <v>1385</v>
      </c>
      <c r="B186">
        <v>184</v>
      </c>
      <c r="C186" t="s">
        <v>56</v>
      </c>
      <c r="D186">
        <v>1</v>
      </c>
      <c r="F186">
        <v>1</v>
      </c>
      <c r="G186" t="s">
        <v>120</v>
      </c>
      <c r="H186" t="s">
        <v>69</v>
      </c>
      <c r="I186" t="s">
        <v>123</v>
      </c>
      <c r="J186" t="s">
        <v>125</v>
      </c>
      <c r="K186" t="s">
        <v>33</v>
      </c>
      <c r="L186">
        <v>1</v>
      </c>
      <c r="N186">
        <v>1</v>
      </c>
      <c r="O186" t="s">
        <v>46</v>
      </c>
      <c r="P186" t="s">
        <v>66</v>
      </c>
      <c r="S186" t="s">
        <v>48</v>
      </c>
      <c r="T186">
        <v>1</v>
      </c>
      <c r="V186">
        <v>1</v>
      </c>
      <c r="W186" t="s">
        <v>89</v>
      </c>
      <c r="X186" t="s">
        <v>84</v>
      </c>
      <c r="Y186" t="s">
        <v>51</v>
      </c>
      <c r="AA186" t="s">
        <v>45</v>
      </c>
      <c r="AB186">
        <v>3</v>
      </c>
      <c r="AD186">
        <v>2</v>
      </c>
      <c r="AE186" t="s">
        <v>140</v>
      </c>
      <c r="AF186" t="s">
        <v>141</v>
      </c>
      <c r="AI186">
        <v>0</v>
      </c>
      <c r="AJ186">
        <v>14</v>
      </c>
    </row>
    <row r="187" spans="1:36" x14ac:dyDescent="0.25">
      <c r="A187" t="s">
        <v>1386</v>
      </c>
      <c r="B187">
        <v>185</v>
      </c>
      <c r="C187" t="s">
        <v>48</v>
      </c>
      <c r="D187">
        <v>3</v>
      </c>
      <c r="F187">
        <v>2</v>
      </c>
      <c r="G187" t="s">
        <v>89</v>
      </c>
      <c r="H187" t="s">
        <v>50</v>
      </c>
      <c r="I187" t="s">
        <v>127</v>
      </c>
      <c r="J187" t="s">
        <v>129</v>
      </c>
      <c r="K187" t="s">
        <v>63</v>
      </c>
      <c r="L187">
        <v>1</v>
      </c>
      <c r="N187">
        <v>2</v>
      </c>
      <c r="O187" t="s">
        <v>145</v>
      </c>
      <c r="P187" t="s">
        <v>146</v>
      </c>
      <c r="Q187" t="s">
        <v>104</v>
      </c>
      <c r="R187" t="s">
        <v>150</v>
      </c>
      <c r="S187" t="s">
        <v>56</v>
      </c>
      <c r="T187">
        <v>3</v>
      </c>
      <c r="V187">
        <v>1</v>
      </c>
      <c r="W187" t="s">
        <v>57</v>
      </c>
      <c r="X187" t="s">
        <v>122</v>
      </c>
      <c r="Y187" t="s">
        <v>123</v>
      </c>
      <c r="AA187" t="s">
        <v>33</v>
      </c>
      <c r="AB187">
        <v>2</v>
      </c>
      <c r="AD187">
        <v>1</v>
      </c>
      <c r="AE187" t="s">
        <v>34</v>
      </c>
      <c r="AI187">
        <v>0</v>
      </c>
      <c r="AJ187">
        <v>19</v>
      </c>
    </row>
    <row r="188" spans="1:36" x14ac:dyDescent="0.25">
      <c r="A188" t="s">
        <v>1387</v>
      </c>
      <c r="B188">
        <v>186</v>
      </c>
      <c r="C188" t="s">
        <v>56</v>
      </c>
      <c r="D188">
        <v>3</v>
      </c>
      <c r="F188">
        <v>2</v>
      </c>
      <c r="G188" t="s">
        <v>57</v>
      </c>
      <c r="H188" t="s">
        <v>121</v>
      </c>
      <c r="I188" t="s">
        <v>87</v>
      </c>
      <c r="K188" t="s">
        <v>33</v>
      </c>
      <c r="L188">
        <v>1</v>
      </c>
      <c r="N188">
        <v>1</v>
      </c>
      <c r="O188" t="s">
        <v>46</v>
      </c>
      <c r="S188" t="s">
        <v>48</v>
      </c>
      <c r="T188">
        <v>2</v>
      </c>
      <c r="V188">
        <v>2</v>
      </c>
      <c r="W188" t="s">
        <v>89</v>
      </c>
      <c r="X188" t="s">
        <v>84</v>
      </c>
      <c r="Y188" t="s">
        <v>90</v>
      </c>
      <c r="Z188" t="s">
        <v>128</v>
      </c>
      <c r="AA188" t="s">
        <v>38</v>
      </c>
      <c r="AB188">
        <v>1</v>
      </c>
      <c r="AC188">
        <v>1</v>
      </c>
      <c r="AD188">
        <v>2</v>
      </c>
      <c r="AE188" t="s">
        <v>67</v>
      </c>
      <c r="AF188" t="s">
        <v>96</v>
      </c>
      <c r="AI188">
        <v>0</v>
      </c>
      <c r="AJ188">
        <v>16</v>
      </c>
    </row>
    <row r="189" spans="1:36" x14ac:dyDescent="0.25">
      <c r="A189" t="s">
        <v>1388</v>
      </c>
      <c r="B189">
        <v>187</v>
      </c>
      <c r="C189" t="s">
        <v>48</v>
      </c>
      <c r="D189">
        <v>3</v>
      </c>
      <c r="F189">
        <v>3</v>
      </c>
      <c r="G189" t="s">
        <v>89</v>
      </c>
      <c r="H189" t="s">
        <v>84</v>
      </c>
      <c r="I189" t="s">
        <v>90</v>
      </c>
      <c r="J189" t="s">
        <v>128</v>
      </c>
      <c r="K189" t="s">
        <v>227</v>
      </c>
      <c r="L189">
        <v>2</v>
      </c>
      <c r="M189">
        <v>1</v>
      </c>
      <c r="N189">
        <v>1</v>
      </c>
      <c r="O189" t="s">
        <v>228</v>
      </c>
      <c r="P189" t="s">
        <v>231</v>
      </c>
      <c r="Q189" t="s">
        <v>235</v>
      </c>
      <c r="S189" t="s">
        <v>56</v>
      </c>
      <c r="T189">
        <v>3</v>
      </c>
      <c r="V189">
        <v>3</v>
      </c>
      <c r="W189" t="s">
        <v>57</v>
      </c>
      <c r="X189" t="s">
        <v>122</v>
      </c>
      <c r="Y189" t="s">
        <v>123</v>
      </c>
      <c r="Z189" t="s">
        <v>124</v>
      </c>
      <c r="AA189" t="s">
        <v>33</v>
      </c>
      <c r="AB189">
        <v>1</v>
      </c>
      <c r="AD189">
        <v>2</v>
      </c>
      <c r="AE189" t="s">
        <v>34</v>
      </c>
      <c r="AI189">
        <v>0</v>
      </c>
      <c r="AJ189">
        <v>27</v>
      </c>
    </row>
    <row r="190" spans="1:36" x14ac:dyDescent="0.25">
      <c r="A190" t="s">
        <v>1596</v>
      </c>
      <c r="B190">
        <v>188</v>
      </c>
      <c r="C190" t="s">
        <v>43</v>
      </c>
      <c r="D190">
        <v>3</v>
      </c>
      <c r="F190">
        <v>1</v>
      </c>
      <c r="G190" t="s">
        <v>135</v>
      </c>
      <c r="H190" t="s">
        <v>74</v>
      </c>
      <c r="I190" t="s">
        <v>137</v>
      </c>
      <c r="K190" t="s">
        <v>45</v>
      </c>
      <c r="L190">
        <v>3</v>
      </c>
      <c r="N190">
        <v>1</v>
      </c>
      <c r="O190" t="s">
        <v>140</v>
      </c>
      <c r="P190" t="s">
        <v>141</v>
      </c>
      <c r="Q190" t="s">
        <v>102</v>
      </c>
      <c r="S190" t="s">
        <v>56</v>
      </c>
      <c r="T190">
        <v>2</v>
      </c>
      <c r="V190">
        <v>3</v>
      </c>
      <c r="W190" t="s">
        <v>120</v>
      </c>
      <c r="AA190" t="s">
        <v>33</v>
      </c>
      <c r="AB190">
        <v>1</v>
      </c>
      <c r="AD190">
        <v>2</v>
      </c>
      <c r="AE190" t="s">
        <v>34</v>
      </c>
      <c r="AI190">
        <v>0</v>
      </c>
      <c r="AJ190">
        <v>16</v>
      </c>
    </row>
    <row r="191" spans="1:36" x14ac:dyDescent="0.25">
      <c r="A191" t="s">
        <v>1597</v>
      </c>
      <c r="B191">
        <v>189</v>
      </c>
      <c r="C191" t="s">
        <v>43</v>
      </c>
      <c r="D191">
        <v>3</v>
      </c>
      <c r="F191">
        <v>1</v>
      </c>
      <c r="G191" t="s">
        <v>135</v>
      </c>
      <c r="H191" t="s">
        <v>136</v>
      </c>
      <c r="K191" t="s">
        <v>63</v>
      </c>
      <c r="L191">
        <v>3</v>
      </c>
      <c r="N191">
        <v>1</v>
      </c>
      <c r="O191" t="s">
        <v>72</v>
      </c>
      <c r="P191" t="s">
        <v>91</v>
      </c>
      <c r="S191" t="s">
        <v>56</v>
      </c>
      <c r="T191">
        <v>2</v>
      </c>
      <c r="V191">
        <v>1</v>
      </c>
      <c r="W191" t="s">
        <v>120</v>
      </c>
      <c r="X191" t="s">
        <v>69</v>
      </c>
      <c r="Y191" t="s">
        <v>123</v>
      </c>
      <c r="AA191" t="s">
        <v>33</v>
      </c>
      <c r="AB191">
        <v>2</v>
      </c>
      <c r="AD191">
        <v>2</v>
      </c>
      <c r="AE191" t="s">
        <v>34</v>
      </c>
      <c r="AI191">
        <v>0</v>
      </c>
      <c r="AJ191">
        <v>15</v>
      </c>
    </row>
    <row r="192" spans="1:36" x14ac:dyDescent="0.25">
      <c r="A192" t="s">
        <v>1389</v>
      </c>
      <c r="B192">
        <v>190</v>
      </c>
      <c r="C192" t="s">
        <v>43</v>
      </c>
      <c r="D192">
        <v>3</v>
      </c>
      <c r="F192">
        <v>1</v>
      </c>
      <c r="G192" t="s">
        <v>135</v>
      </c>
      <c r="H192" t="s">
        <v>74</v>
      </c>
      <c r="I192" t="s">
        <v>75</v>
      </c>
      <c r="J192" t="s">
        <v>101</v>
      </c>
      <c r="K192" t="s">
        <v>38</v>
      </c>
      <c r="L192">
        <v>2</v>
      </c>
      <c r="M192">
        <v>1</v>
      </c>
      <c r="N192">
        <v>3</v>
      </c>
      <c r="O192" t="s">
        <v>67</v>
      </c>
      <c r="P192" t="s">
        <v>96</v>
      </c>
      <c r="Q192" t="s">
        <v>154</v>
      </c>
      <c r="R192" t="s">
        <v>42</v>
      </c>
      <c r="S192" t="s">
        <v>56</v>
      </c>
      <c r="T192">
        <v>2</v>
      </c>
      <c r="V192">
        <v>3</v>
      </c>
      <c r="W192" t="s">
        <v>120</v>
      </c>
      <c r="X192" t="s">
        <v>122</v>
      </c>
      <c r="Y192" t="s">
        <v>87</v>
      </c>
      <c r="AA192" t="s">
        <v>33</v>
      </c>
      <c r="AB192">
        <v>1</v>
      </c>
      <c r="AD192">
        <v>1</v>
      </c>
      <c r="AE192" t="s">
        <v>46</v>
      </c>
      <c r="AI192">
        <v>0</v>
      </c>
      <c r="AJ192">
        <v>21</v>
      </c>
    </row>
    <row r="193" spans="1:36" x14ac:dyDescent="0.25">
      <c r="A193" t="s">
        <v>1390</v>
      </c>
      <c r="B193">
        <v>191</v>
      </c>
      <c r="C193" t="s">
        <v>43</v>
      </c>
      <c r="D193">
        <v>3</v>
      </c>
      <c r="F193">
        <v>1</v>
      </c>
      <c r="G193" t="s">
        <v>135</v>
      </c>
      <c r="H193" t="s">
        <v>99</v>
      </c>
      <c r="I193" t="s">
        <v>137</v>
      </c>
      <c r="K193" t="s">
        <v>227</v>
      </c>
      <c r="L193">
        <v>1</v>
      </c>
      <c r="M193">
        <v>1</v>
      </c>
      <c r="N193">
        <v>1</v>
      </c>
      <c r="O193" t="s">
        <v>228</v>
      </c>
      <c r="P193" t="s">
        <v>231</v>
      </c>
      <c r="Q193" t="s">
        <v>235</v>
      </c>
      <c r="S193" t="s">
        <v>56</v>
      </c>
      <c r="T193">
        <v>1</v>
      </c>
      <c r="V193">
        <v>2</v>
      </c>
      <c r="W193" t="s">
        <v>120</v>
      </c>
      <c r="X193" t="s">
        <v>69</v>
      </c>
      <c r="Y193" t="s">
        <v>87</v>
      </c>
      <c r="AA193" t="s">
        <v>33</v>
      </c>
      <c r="AB193">
        <v>1</v>
      </c>
      <c r="AD193">
        <v>2</v>
      </c>
      <c r="AE193" t="s">
        <v>34</v>
      </c>
      <c r="AI193">
        <v>0</v>
      </c>
      <c r="AJ193">
        <v>14</v>
      </c>
    </row>
    <row r="194" spans="1:36" x14ac:dyDescent="0.25">
      <c r="A194" t="s">
        <v>1391</v>
      </c>
      <c r="B194">
        <v>192</v>
      </c>
      <c r="C194" t="s">
        <v>45</v>
      </c>
      <c r="D194">
        <v>3</v>
      </c>
      <c r="F194">
        <v>1</v>
      </c>
      <c r="G194" t="s">
        <v>140</v>
      </c>
      <c r="H194" t="s">
        <v>92</v>
      </c>
      <c r="I194" t="s">
        <v>102</v>
      </c>
      <c r="K194" t="s">
        <v>63</v>
      </c>
      <c r="L194">
        <v>1</v>
      </c>
      <c r="N194">
        <v>1</v>
      </c>
      <c r="O194" t="s">
        <v>145</v>
      </c>
      <c r="P194" t="s">
        <v>146</v>
      </c>
      <c r="Q194" t="s">
        <v>148</v>
      </c>
      <c r="R194" t="s">
        <v>150</v>
      </c>
      <c r="S194" t="s">
        <v>56</v>
      </c>
      <c r="T194">
        <v>3</v>
      </c>
      <c r="V194">
        <v>1</v>
      </c>
      <c r="W194" t="s">
        <v>57</v>
      </c>
      <c r="X194" t="s">
        <v>122</v>
      </c>
      <c r="AA194" t="s">
        <v>33</v>
      </c>
      <c r="AB194">
        <v>1</v>
      </c>
      <c r="AD194">
        <v>3</v>
      </c>
      <c r="AE194" t="s">
        <v>34</v>
      </c>
      <c r="AI194">
        <v>0</v>
      </c>
      <c r="AJ194">
        <v>16</v>
      </c>
    </row>
    <row r="195" spans="1:36" x14ac:dyDescent="0.25">
      <c r="A195" t="s">
        <v>1392</v>
      </c>
      <c r="B195">
        <v>193</v>
      </c>
      <c r="C195" t="s">
        <v>45</v>
      </c>
      <c r="D195">
        <v>3</v>
      </c>
      <c r="F195">
        <v>1</v>
      </c>
      <c r="G195" t="s">
        <v>140</v>
      </c>
      <c r="H195" t="s">
        <v>141</v>
      </c>
      <c r="K195" t="s">
        <v>38</v>
      </c>
      <c r="L195">
        <v>1</v>
      </c>
      <c r="M195">
        <v>2</v>
      </c>
      <c r="N195">
        <v>1</v>
      </c>
      <c r="O195" t="s">
        <v>67</v>
      </c>
      <c r="P195" t="s">
        <v>40</v>
      </c>
      <c r="Q195" t="s">
        <v>154</v>
      </c>
      <c r="R195" t="s">
        <v>42</v>
      </c>
      <c r="S195" t="s">
        <v>56</v>
      </c>
      <c r="T195">
        <v>3</v>
      </c>
      <c r="V195">
        <v>2</v>
      </c>
      <c r="W195" t="s">
        <v>120</v>
      </c>
      <c r="AA195" t="s">
        <v>33</v>
      </c>
      <c r="AB195">
        <v>1</v>
      </c>
      <c r="AD195">
        <v>1</v>
      </c>
      <c r="AE195" t="s">
        <v>46</v>
      </c>
      <c r="AI195">
        <v>0</v>
      </c>
      <c r="AJ195">
        <v>15</v>
      </c>
    </row>
    <row r="196" spans="1:36" x14ac:dyDescent="0.25">
      <c r="A196" t="s">
        <v>1393</v>
      </c>
      <c r="B196">
        <v>194</v>
      </c>
      <c r="C196" t="s">
        <v>45</v>
      </c>
      <c r="D196">
        <v>3</v>
      </c>
      <c r="F196">
        <v>1</v>
      </c>
      <c r="G196" t="s">
        <v>140</v>
      </c>
      <c r="H196" t="s">
        <v>76</v>
      </c>
      <c r="K196" t="s">
        <v>227</v>
      </c>
      <c r="L196">
        <v>2</v>
      </c>
      <c r="M196">
        <v>1</v>
      </c>
      <c r="N196">
        <v>2</v>
      </c>
      <c r="O196" t="s">
        <v>228</v>
      </c>
      <c r="P196" t="s">
        <v>231</v>
      </c>
      <c r="Q196" t="s">
        <v>234</v>
      </c>
      <c r="S196" t="s">
        <v>56</v>
      </c>
      <c r="T196">
        <v>3</v>
      </c>
      <c r="V196">
        <v>1</v>
      </c>
      <c r="W196" t="s">
        <v>57</v>
      </c>
      <c r="X196" t="s">
        <v>122</v>
      </c>
      <c r="AA196" t="s">
        <v>33</v>
      </c>
      <c r="AB196">
        <v>1</v>
      </c>
      <c r="AD196">
        <v>2</v>
      </c>
      <c r="AE196" t="s">
        <v>34</v>
      </c>
      <c r="AI196">
        <v>0</v>
      </c>
      <c r="AJ196">
        <v>15</v>
      </c>
    </row>
    <row r="197" spans="1:36" x14ac:dyDescent="0.25">
      <c r="A197" t="s">
        <v>1598</v>
      </c>
      <c r="B197">
        <v>195</v>
      </c>
      <c r="C197" t="s">
        <v>63</v>
      </c>
      <c r="D197">
        <v>3</v>
      </c>
      <c r="F197">
        <v>3</v>
      </c>
      <c r="G197" t="s">
        <v>145</v>
      </c>
      <c r="H197" t="s">
        <v>146</v>
      </c>
      <c r="I197" t="s">
        <v>148</v>
      </c>
      <c r="J197" t="s">
        <v>150</v>
      </c>
      <c r="K197" t="s">
        <v>38</v>
      </c>
      <c r="L197">
        <v>1</v>
      </c>
      <c r="M197">
        <v>1</v>
      </c>
      <c r="N197">
        <v>2</v>
      </c>
      <c r="O197" t="s">
        <v>67</v>
      </c>
      <c r="P197" t="s">
        <v>96</v>
      </c>
      <c r="Q197" t="s">
        <v>154</v>
      </c>
      <c r="S197" t="s">
        <v>56</v>
      </c>
      <c r="T197">
        <v>3</v>
      </c>
      <c r="V197">
        <v>3</v>
      </c>
      <c r="W197" t="s">
        <v>57</v>
      </c>
      <c r="X197" t="s">
        <v>122</v>
      </c>
      <c r="Y197" t="s">
        <v>123</v>
      </c>
      <c r="Z197" t="s">
        <v>88</v>
      </c>
      <c r="AA197" t="s">
        <v>33</v>
      </c>
      <c r="AB197">
        <v>1</v>
      </c>
      <c r="AD197">
        <v>1</v>
      </c>
      <c r="AE197" t="s">
        <v>46</v>
      </c>
      <c r="AI197">
        <v>0</v>
      </c>
      <c r="AJ197">
        <v>31</v>
      </c>
    </row>
    <row r="198" spans="1:36" x14ac:dyDescent="0.25">
      <c r="A198" t="s">
        <v>1394</v>
      </c>
      <c r="B198">
        <v>196</v>
      </c>
      <c r="C198" t="s">
        <v>63</v>
      </c>
      <c r="D198">
        <v>3</v>
      </c>
      <c r="F198">
        <v>3</v>
      </c>
      <c r="G198" t="s">
        <v>145</v>
      </c>
      <c r="H198" t="s">
        <v>146</v>
      </c>
      <c r="I198" t="s">
        <v>148</v>
      </c>
      <c r="J198" t="s">
        <v>150</v>
      </c>
      <c r="K198" t="s">
        <v>227</v>
      </c>
      <c r="L198">
        <v>2</v>
      </c>
      <c r="M198">
        <v>1</v>
      </c>
      <c r="N198">
        <v>2</v>
      </c>
      <c r="O198" t="s">
        <v>228</v>
      </c>
      <c r="S198" t="s">
        <v>56</v>
      </c>
      <c r="T198">
        <v>3</v>
      </c>
      <c r="V198">
        <v>3</v>
      </c>
      <c r="W198" t="s">
        <v>57</v>
      </c>
      <c r="X198" t="s">
        <v>122</v>
      </c>
      <c r="Y198" t="s">
        <v>123</v>
      </c>
      <c r="Z198" t="s">
        <v>124</v>
      </c>
      <c r="AA198" t="s">
        <v>33</v>
      </c>
      <c r="AB198">
        <v>1</v>
      </c>
      <c r="AD198">
        <v>2</v>
      </c>
      <c r="AE198" t="s">
        <v>34</v>
      </c>
      <c r="AI198">
        <v>0</v>
      </c>
      <c r="AJ198">
        <v>29</v>
      </c>
    </row>
    <row r="199" spans="1:36" x14ac:dyDescent="0.25">
      <c r="A199" t="s">
        <v>1395</v>
      </c>
      <c r="B199">
        <v>197</v>
      </c>
      <c r="C199" t="s">
        <v>56</v>
      </c>
      <c r="D199">
        <v>3</v>
      </c>
      <c r="F199">
        <v>1</v>
      </c>
      <c r="G199" t="s">
        <v>57</v>
      </c>
      <c r="H199" t="s">
        <v>122</v>
      </c>
      <c r="I199" t="s">
        <v>85</v>
      </c>
      <c r="K199" t="s">
        <v>33</v>
      </c>
      <c r="L199">
        <v>1</v>
      </c>
      <c r="N199">
        <v>1</v>
      </c>
      <c r="O199" t="s">
        <v>65</v>
      </c>
      <c r="P199" t="s">
        <v>35</v>
      </c>
      <c r="S199" t="s">
        <v>38</v>
      </c>
      <c r="T199">
        <v>1</v>
      </c>
      <c r="U199">
        <v>1</v>
      </c>
      <c r="V199">
        <v>3</v>
      </c>
      <c r="W199" t="s">
        <v>67</v>
      </c>
      <c r="X199" t="s">
        <v>96</v>
      </c>
      <c r="Y199" t="s">
        <v>154</v>
      </c>
      <c r="AA199" t="s">
        <v>227</v>
      </c>
      <c r="AB199">
        <v>1</v>
      </c>
      <c r="AC199">
        <v>1</v>
      </c>
      <c r="AD199">
        <v>2</v>
      </c>
      <c r="AE199" t="s">
        <v>228</v>
      </c>
      <c r="AI199">
        <v>0</v>
      </c>
      <c r="AJ199">
        <v>14</v>
      </c>
    </row>
    <row r="200" spans="1:36" x14ac:dyDescent="0.25">
      <c r="A200" t="s">
        <v>1599</v>
      </c>
      <c r="B200">
        <v>198</v>
      </c>
      <c r="C200" t="s">
        <v>56</v>
      </c>
      <c r="D200">
        <v>3</v>
      </c>
      <c r="F200">
        <v>1</v>
      </c>
      <c r="G200" t="s">
        <v>68</v>
      </c>
      <c r="H200" t="s">
        <v>122</v>
      </c>
      <c r="K200" t="s">
        <v>43</v>
      </c>
      <c r="L200">
        <v>3</v>
      </c>
      <c r="N200">
        <v>1</v>
      </c>
      <c r="O200" t="s">
        <v>44</v>
      </c>
      <c r="S200" t="s">
        <v>48</v>
      </c>
      <c r="T200">
        <v>1</v>
      </c>
      <c r="V200">
        <v>2</v>
      </c>
      <c r="W200" t="s">
        <v>126</v>
      </c>
      <c r="X200" t="s">
        <v>84</v>
      </c>
      <c r="Y200" t="s">
        <v>127</v>
      </c>
      <c r="AA200" t="s">
        <v>33</v>
      </c>
      <c r="AB200">
        <v>1</v>
      </c>
      <c r="AD200">
        <v>3</v>
      </c>
      <c r="AE200" t="s">
        <v>34</v>
      </c>
      <c r="AI200">
        <v>0</v>
      </c>
      <c r="AJ200">
        <v>14</v>
      </c>
    </row>
    <row r="201" spans="1:36" x14ac:dyDescent="0.25">
      <c r="A201" t="s">
        <v>1396</v>
      </c>
      <c r="B201">
        <v>199</v>
      </c>
      <c r="C201" t="s">
        <v>48</v>
      </c>
      <c r="D201">
        <v>2</v>
      </c>
      <c r="F201">
        <v>2</v>
      </c>
      <c r="G201" t="s">
        <v>126</v>
      </c>
      <c r="H201" t="s">
        <v>84</v>
      </c>
      <c r="I201" t="s">
        <v>127</v>
      </c>
      <c r="J201" t="s">
        <v>52</v>
      </c>
      <c r="K201" t="s">
        <v>45</v>
      </c>
      <c r="L201">
        <v>3</v>
      </c>
      <c r="N201">
        <v>1</v>
      </c>
      <c r="O201" t="s">
        <v>140</v>
      </c>
      <c r="S201" t="s">
        <v>56</v>
      </c>
      <c r="T201">
        <v>3</v>
      </c>
      <c r="V201">
        <v>1</v>
      </c>
      <c r="W201" t="s">
        <v>120</v>
      </c>
      <c r="X201" t="s">
        <v>69</v>
      </c>
      <c r="Y201" t="s">
        <v>87</v>
      </c>
      <c r="AA201" t="s">
        <v>43</v>
      </c>
      <c r="AB201">
        <v>1</v>
      </c>
      <c r="AD201">
        <v>1</v>
      </c>
      <c r="AE201" t="s">
        <v>73</v>
      </c>
      <c r="AF201" t="s">
        <v>136</v>
      </c>
      <c r="AG201" t="s">
        <v>137</v>
      </c>
      <c r="AI201">
        <v>0</v>
      </c>
      <c r="AJ201">
        <v>17</v>
      </c>
    </row>
    <row r="202" spans="1:36" x14ac:dyDescent="0.25">
      <c r="A202" t="s">
        <v>1397</v>
      </c>
      <c r="B202">
        <v>200</v>
      </c>
      <c r="C202" t="s">
        <v>56</v>
      </c>
      <c r="D202">
        <v>3</v>
      </c>
      <c r="F202">
        <v>3</v>
      </c>
      <c r="G202" t="s">
        <v>57</v>
      </c>
      <c r="H202" t="s">
        <v>122</v>
      </c>
      <c r="I202" t="s">
        <v>123</v>
      </c>
      <c r="J202" t="s">
        <v>124</v>
      </c>
      <c r="K202" t="s">
        <v>43</v>
      </c>
      <c r="L202">
        <v>3</v>
      </c>
      <c r="N202">
        <v>3</v>
      </c>
      <c r="O202" t="s">
        <v>44</v>
      </c>
      <c r="P202" t="s">
        <v>136</v>
      </c>
      <c r="Q202" t="s">
        <v>137</v>
      </c>
      <c r="R202" t="s">
        <v>139</v>
      </c>
      <c r="S202" t="s">
        <v>48</v>
      </c>
      <c r="T202">
        <v>3</v>
      </c>
      <c r="V202">
        <v>3</v>
      </c>
      <c r="W202" t="s">
        <v>126</v>
      </c>
      <c r="X202" t="s">
        <v>50</v>
      </c>
      <c r="Y202" t="s">
        <v>90</v>
      </c>
      <c r="Z202" t="s">
        <v>129</v>
      </c>
      <c r="AA202" t="s">
        <v>63</v>
      </c>
      <c r="AB202">
        <v>1</v>
      </c>
      <c r="AD202">
        <v>1</v>
      </c>
      <c r="AE202" t="s">
        <v>145</v>
      </c>
      <c r="AF202" t="s">
        <v>95</v>
      </c>
      <c r="AI202">
        <v>0</v>
      </c>
      <c r="AJ202">
        <v>32</v>
      </c>
    </row>
    <row r="203" spans="1:36" x14ac:dyDescent="0.25">
      <c r="A203" t="s">
        <v>1398</v>
      </c>
      <c r="B203">
        <v>201</v>
      </c>
      <c r="C203" t="s">
        <v>56</v>
      </c>
      <c r="D203">
        <v>3</v>
      </c>
      <c r="F203">
        <v>3</v>
      </c>
      <c r="G203" t="s">
        <v>57</v>
      </c>
      <c r="H203" t="s">
        <v>122</v>
      </c>
      <c r="I203" t="s">
        <v>85</v>
      </c>
      <c r="J203" t="s">
        <v>124</v>
      </c>
      <c r="K203" t="s">
        <v>43</v>
      </c>
      <c r="L203">
        <v>1</v>
      </c>
      <c r="N203">
        <v>1</v>
      </c>
      <c r="O203" t="s">
        <v>44</v>
      </c>
      <c r="S203" t="s">
        <v>48</v>
      </c>
      <c r="T203">
        <v>3</v>
      </c>
      <c r="V203">
        <v>3</v>
      </c>
      <c r="W203" t="s">
        <v>89</v>
      </c>
      <c r="X203" t="s">
        <v>84</v>
      </c>
      <c r="Y203" t="s">
        <v>127</v>
      </c>
      <c r="Z203" t="s">
        <v>52</v>
      </c>
      <c r="AA203" t="s">
        <v>38</v>
      </c>
      <c r="AB203">
        <v>1</v>
      </c>
      <c r="AC203">
        <v>1</v>
      </c>
      <c r="AD203">
        <v>2</v>
      </c>
      <c r="AE203" t="s">
        <v>39</v>
      </c>
      <c r="AF203" t="s">
        <v>96</v>
      </c>
      <c r="AI203">
        <v>0</v>
      </c>
      <c r="AJ203">
        <v>21</v>
      </c>
    </row>
    <row r="204" spans="1:36" x14ac:dyDescent="0.25">
      <c r="A204" t="s">
        <v>1399</v>
      </c>
      <c r="B204">
        <v>202</v>
      </c>
      <c r="C204" t="s">
        <v>48</v>
      </c>
      <c r="D204">
        <v>1</v>
      </c>
      <c r="F204">
        <v>1</v>
      </c>
      <c r="G204" t="s">
        <v>126</v>
      </c>
      <c r="H204" t="s">
        <v>50</v>
      </c>
      <c r="I204" t="s">
        <v>127</v>
      </c>
      <c r="J204" t="s">
        <v>129</v>
      </c>
      <c r="K204" t="s">
        <v>227</v>
      </c>
      <c r="L204">
        <v>3</v>
      </c>
      <c r="M204">
        <v>2</v>
      </c>
      <c r="N204">
        <v>3</v>
      </c>
      <c r="O204" t="s">
        <v>229</v>
      </c>
      <c r="P204" t="s">
        <v>231</v>
      </c>
      <c r="S204" t="s">
        <v>56</v>
      </c>
      <c r="T204">
        <v>3</v>
      </c>
      <c r="V204">
        <v>1</v>
      </c>
      <c r="W204" t="s">
        <v>120</v>
      </c>
      <c r="X204" t="s">
        <v>122</v>
      </c>
      <c r="Y204" t="s">
        <v>123</v>
      </c>
      <c r="Z204" t="s">
        <v>88</v>
      </c>
      <c r="AA204" t="s">
        <v>43</v>
      </c>
      <c r="AB204">
        <v>2</v>
      </c>
      <c r="AD204">
        <v>1</v>
      </c>
      <c r="AE204" t="s">
        <v>135</v>
      </c>
      <c r="AF204" t="s">
        <v>136</v>
      </c>
      <c r="AG204" t="s">
        <v>75</v>
      </c>
      <c r="AI204">
        <v>0</v>
      </c>
      <c r="AJ204">
        <v>21</v>
      </c>
    </row>
    <row r="205" spans="1:36" x14ac:dyDescent="0.25">
      <c r="A205" t="s">
        <v>1600</v>
      </c>
      <c r="B205">
        <v>203</v>
      </c>
      <c r="C205" t="s">
        <v>56</v>
      </c>
      <c r="D205">
        <v>2</v>
      </c>
      <c r="F205">
        <v>2</v>
      </c>
      <c r="G205" t="s">
        <v>68</v>
      </c>
      <c r="H205" t="s">
        <v>121</v>
      </c>
      <c r="K205" t="s">
        <v>43</v>
      </c>
      <c r="L205">
        <v>1</v>
      </c>
      <c r="N205">
        <v>1</v>
      </c>
      <c r="O205" t="s">
        <v>135</v>
      </c>
      <c r="P205" t="s">
        <v>136</v>
      </c>
      <c r="Q205" t="s">
        <v>137</v>
      </c>
      <c r="S205" t="s">
        <v>33</v>
      </c>
      <c r="T205">
        <v>1</v>
      </c>
      <c r="V205">
        <v>3</v>
      </c>
      <c r="W205" t="s">
        <v>34</v>
      </c>
      <c r="AA205" t="s">
        <v>45</v>
      </c>
      <c r="AB205">
        <v>3</v>
      </c>
      <c r="AD205">
        <v>1</v>
      </c>
      <c r="AE205" t="s">
        <v>140</v>
      </c>
      <c r="AF205" t="s">
        <v>76</v>
      </c>
      <c r="AI205">
        <v>0</v>
      </c>
      <c r="AJ205">
        <v>14</v>
      </c>
    </row>
    <row r="206" spans="1:36" x14ac:dyDescent="0.25">
      <c r="A206" t="s">
        <v>1601</v>
      </c>
      <c r="B206">
        <v>204</v>
      </c>
      <c r="C206" t="s">
        <v>33</v>
      </c>
      <c r="D206">
        <v>2</v>
      </c>
      <c r="F206">
        <v>2</v>
      </c>
      <c r="G206" t="s">
        <v>34</v>
      </c>
      <c r="K206" t="s">
        <v>63</v>
      </c>
      <c r="L206">
        <v>3</v>
      </c>
      <c r="N206">
        <v>3</v>
      </c>
      <c r="O206" t="s">
        <v>103</v>
      </c>
      <c r="P206" t="s">
        <v>146</v>
      </c>
      <c r="Q206" t="s">
        <v>148</v>
      </c>
      <c r="R206" t="s">
        <v>150</v>
      </c>
      <c r="S206" t="s">
        <v>56</v>
      </c>
      <c r="T206">
        <v>3</v>
      </c>
      <c r="V206">
        <v>3</v>
      </c>
      <c r="W206" t="s">
        <v>68</v>
      </c>
      <c r="X206" t="s">
        <v>122</v>
      </c>
      <c r="Y206" t="s">
        <v>123</v>
      </c>
      <c r="Z206" t="s">
        <v>88</v>
      </c>
      <c r="AA206" t="s">
        <v>43</v>
      </c>
      <c r="AB206">
        <v>2</v>
      </c>
      <c r="AD206">
        <v>1</v>
      </c>
      <c r="AE206" t="s">
        <v>135</v>
      </c>
      <c r="AI206">
        <v>0</v>
      </c>
      <c r="AJ206">
        <v>21</v>
      </c>
    </row>
    <row r="207" spans="1:36" x14ac:dyDescent="0.25">
      <c r="A207" t="s">
        <v>1400</v>
      </c>
      <c r="B207">
        <v>205</v>
      </c>
      <c r="C207" t="s">
        <v>56</v>
      </c>
      <c r="D207">
        <v>2</v>
      </c>
      <c r="F207">
        <v>1</v>
      </c>
      <c r="G207" t="s">
        <v>68</v>
      </c>
      <c r="H207" t="s">
        <v>122</v>
      </c>
      <c r="I207" t="s">
        <v>85</v>
      </c>
      <c r="K207" t="s">
        <v>43</v>
      </c>
      <c r="L207">
        <v>2</v>
      </c>
      <c r="N207">
        <v>1</v>
      </c>
      <c r="O207" t="s">
        <v>44</v>
      </c>
      <c r="P207" t="s">
        <v>99</v>
      </c>
      <c r="Q207" t="s">
        <v>75</v>
      </c>
      <c r="S207" t="s">
        <v>33</v>
      </c>
      <c r="T207">
        <v>2</v>
      </c>
      <c r="V207">
        <v>2</v>
      </c>
      <c r="W207" t="s">
        <v>34</v>
      </c>
      <c r="AA207" t="s">
        <v>38</v>
      </c>
      <c r="AB207">
        <v>1</v>
      </c>
      <c r="AC207">
        <v>1</v>
      </c>
      <c r="AD207">
        <v>3</v>
      </c>
      <c r="AE207" t="s">
        <v>39</v>
      </c>
      <c r="AF207" t="s">
        <v>96</v>
      </c>
      <c r="AI207">
        <v>0</v>
      </c>
      <c r="AJ207">
        <v>15</v>
      </c>
    </row>
    <row r="208" spans="1:36" x14ac:dyDescent="0.25">
      <c r="A208" t="s">
        <v>1401</v>
      </c>
      <c r="B208">
        <v>206</v>
      </c>
      <c r="C208" t="s">
        <v>56</v>
      </c>
      <c r="D208">
        <v>3</v>
      </c>
      <c r="F208">
        <v>1</v>
      </c>
      <c r="G208" t="s">
        <v>68</v>
      </c>
      <c r="H208" t="s">
        <v>121</v>
      </c>
      <c r="I208" t="s">
        <v>87</v>
      </c>
      <c r="K208" t="s">
        <v>43</v>
      </c>
      <c r="L208">
        <v>3</v>
      </c>
      <c r="N208">
        <v>1</v>
      </c>
      <c r="O208" t="s">
        <v>135</v>
      </c>
      <c r="P208" t="s">
        <v>136</v>
      </c>
      <c r="Q208" t="s">
        <v>137</v>
      </c>
      <c r="R208" t="s">
        <v>138</v>
      </c>
      <c r="S208" t="s">
        <v>33</v>
      </c>
      <c r="T208">
        <v>2</v>
      </c>
      <c r="V208">
        <v>2</v>
      </c>
      <c r="W208" t="s">
        <v>34</v>
      </c>
      <c r="AA208" t="s">
        <v>227</v>
      </c>
      <c r="AB208">
        <v>1</v>
      </c>
      <c r="AC208">
        <v>3</v>
      </c>
      <c r="AD208">
        <v>3</v>
      </c>
      <c r="AE208" t="s">
        <v>229</v>
      </c>
      <c r="AI208">
        <v>0</v>
      </c>
      <c r="AJ208">
        <v>21</v>
      </c>
    </row>
    <row r="209" spans="1:36" x14ac:dyDescent="0.25">
      <c r="A209" t="s">
        <v>1602</v>
      </c>
      <c r="B209">
        <v>207</v>
      </c>
      <c r="C209" t="s">
        <v>45</v>
      </c>
      <c r="D209">
        <v>3</v>
      </c>
      <c r="F209">
        <v>2</v>
      </c>
      <c r="G209" t="s">
        <v>140</v>
      </c>
      <c r="K209" t="s">
        <v>63</v>
      </c>
      <c r="L209">
        <v>2</v>
      </c>
      <c r="N209">
        <v>2</v>
      </c>
      <c r="O209" t="s">
        <v>145</v>
      </c>
      <c r="P209" t="s">
        <v>146</v>
      </c>
      <c r="Q209" t="s">
        <v>148</v>
      </c>
      <c r="R209" t="s">
        <v>149</v>
      </c>
      <c r="S209" t="s">
        <v>56</v>
      </c>
      <c r="T209">
        <v>3</v>
      </c>
      <c r="V209">
        <v>2</v>
      </c>
      <c r="W209" t="s">
        <v>57</v>
      </c>
      <c r="X209" t="s">
        <v>121</v>
      </c>
      <c r="Y209" t="s">
        <v>123</v>
      </c>
      <c r="Z209" t="s">
        <v>88</v>
      </c>
      <c r="AA209" t="s">
        <v>43</v>
      </c>
      <c r="AB209">
        <v>1</v>
      </c>
      <c r="AD209">
        <v>1</v>
      </c>
      <c r="AE209" t="s">
        <v>135</v>
      </c>
      <c r="AF209" t="s">
        <v>136</v>
      </c>
      <c r="AG209" t="s">
        <v>100</v>
      </c>
      <c r="AI209">
        <v>0</v>
      </c>
      <c r="AJ209">
        <v>22</v>
      </c>
    </row>
    <row r="210" spans="1:36" x14ac:dyDescent="0.25">
      <c r="A210" t="s">
        <v>1402</v>
      </c>
      <c r="B210">
        <v>208</v>
      </c>
      <c r="C210" t="s">
        <v>56</v>
      </c>
      <c r="D210">
        <v>3</v>
      </c>
      <c r="F210">
        <v>3</v>
      </c>
      <c r="G210" t="s">
        <v>57</v>
      </c>
      <c r="H210" t="s">
        <v>122</v>
      </c>
      <c r="I210" t="s">
        <v>85</v>
      </c>
      <c r="J210" t="s">
        <v>125</v>
      </c>
      <c r="K210" t="s">
        <v>43</v>
      </c>
      <c r="L210">
        <v>1</v>
      </c>
      <c r="N210">
        <v>1</v>
      </c>
      <c r="O210" t="s">
        <v>135</v>
      </c>
      <c r="P210" t="s">
        <v>136</v>
      </c>
      <c r="S210" t="s">
        <v>45</v>
      </c>
      <c r="T210">
        <v>3</v>
      </c>
      <c r="V210">
        <v>1</v>
      </c>
      <c r="W210" t="s">
        <v>140</v>
      </c>
      <c r="AA210" t="s">
        <v>38</v>
      </c>
      <c r="AB210">
        <v>3</v>
      </c>
      <c r="AC210">
        <v>3</v>
      </c>
      <c r="AD210">
        <v>3</v>
      </c>
      <c r="AE210" t="s">
        <v>39</v>
      </c>
      <c r="AF210" t="s">
        <v>96</v>
      </c>
      <c r="AG210" t="s">
        <v>153</v>
      </c>
      <c r="AH210" t="s">
        <v>156</v>
      </c>
      <c r="AI210">
        <v>0</v>
      </c>
      <c r="AJ210">
        <v>30</v>
      </c>
    </row>
    <row r="211" spans="1:36" x14ac:dyDescent="0.25">
      <c r="A211" t="s">
        <v>1603</v>
      </c>
      <c r="B211">
        <v>209</v>
      </c>
      <c r="C211" t="s">
        <v>45</v>
      </c>
      <c r="D211">
        <v>3</v>
      </c>
      <c r="F211">
        <v>1</v>
      </c>
      <c r="G211" t="s">
        <v>140</v>
      </c>
      <c r="H211" t="s">
        <v>76</v>
      </c>
      <c r="I211" t="s">
        <v>93</v>
      </c>
      <c r="K211" t="s">
        <v>227</v>
      </c>
      <c r="L211">
        <v>2</v>
      </c>
      <c r="M211">
        <v>1</v>
      </c>
      <c r="N211">
        <v>3</v>
      </c>
      <c r="O211" t="s">
        <v>229</v>
      </c>
      <c r="S211" t="s">
        <v>56</v>
      </c>
      <c r="T211">
        <v>3</v>
      </c>
      <c r="V211">
        <v>2</v>
      </c>
      <c r="W211" t="s">
        <v>68</v>
      </c>
      <c r="AA211" t="s">
        <v>43</v>
      </c>
      <c r="AB211">
        <v>1</v>
      </c>
      <c r="AD211">
        <v>1</v>
      </c>
      <c r="AE211" t="s">
        <v>73</v>
      </c>
      <c r="AF211" t="s">
        <v>136</v>
      </c>
      <c r="AI211">
        <v>0</v>
      </c>
      <c r="AJ211">
        <v>15</v>
      </c>
    </row>
    <row r="212" spans="1:36" x14ac:dyDescent="0.25">
      <c r="A212" t="s">
        <v>1604</v>
      </c>
      <c r="B212">
        <v>210</v>
      </c>
      <c r="C212" t="s">
        <v>56</v>
      </c>
      <c r="D212">
        <v>3</v>
      </c>
      <c r="F212">
        <v>3</v>
      </c>
      <c r="G212" t="s">
        <v>57</v>
      </c>
      <c r="H212" t="s">
        <v>122</v>
      </c>
      <c r="I212" t="s">
        <v>85</v>
      </c>
      <c r="J212" t="s">
        <v>124</v>
      </c>
      <c r="K212" t="s">
        <v>43</v>
      </c>
      <c r="L212">
        <v>3</v>
      </c>
      <c r="N212">
        <v>3</v>
      </c>
      <c r="O212" t="s">
        <v>73</v>
      </c>
      <c r="P212" t="s">
        <v>74</v>
      </c>
      <c r="Q212" t="s">
        <v>75</v>
      </c>
      <c r="R212" t="s">
        <v>139</v>
      </c>
      <c r="S212" t="s">
        <v>63</v>
      </c>
      <c r="T212">
        <v>1</v>
      </c>
      <c r="V212">
        <v>1</v>
      </c>
      <c r="W212" t="s">
        <v>145</v>
      </c>
      <c r="X212" t="s">
        <v>146</v>
      </c>
      <c r="AA212" t="s">
        <v>38</v>
      </c>
      <c r="AB212">
        <v>3</v>
      </c>
      <c r="AC212">
        <v>3</v>
      </c>
      <c r="AD212">
        <v>3</v>
      </c>
      <c r="AE212" t="s">
        <v>39</v>
      </c>
      <c r="AF212" t="s">
        <v>96</v>
      </c>
      <c r="AG212" t="s">
        <v>153</v>
      </c>
      <c r="AH212" t="s">
        <v>156</v>
      </c>
      <c r="AI212">
        <v>0</v>
      </c>
      <c r="AJ212">
        <v>30</v>
      </c>
    </row>
    <row r="213" spans="1:36" x14ac:dyDescent="0.25">
      <c r="A213" t="s">
        <v>1403</v>
      </c>
      <c r="B213">
        <v>211</v>
      </c>
      <c r="C213" t="s">
        <v>56</v>
      </c>
      <c r="D213">
        <v>3</v>
      </c>
      <c r="F213">
        <v>1</v>
      </c>
      <c r="G213" t="s">
        <v>57</v>
      </c>
      <c r="H213" t="s">
        <v>122</v>
      </c>
      <c r="I213" t="s">
        <v>85</v>
      </c>
      <c r="K213" t="s">
        <v>43</v>
      </c>
      <c r="L213">
        <v>3</v>
      </c>
      <c r="N213">
        <v>1</v>
      </c>
      <c r="O213" t="s">
        <v>135</v>
      </c>
      <c r="P213" t="s">
        <v>136</v>
      </c>
      <c r="Q213" t="s">
        <v>137</v>
      </c>
      <c r="S213" t="s">
        <v>63</v>
      </c>
      <c r="T213">
        <v>1</v>
      </c>
      <c r="V213">
        <v>1</v>
      </c>
      <c r="W213" t="s">
        <v>145</v>
      </c>
      <c r="X213" t="s">
        <v>146</v>
      </c>
      <c r="AA213" t="s">
        <v>227</v>
      </c>
      <c r="AB213">
        <v>1</v>
      </c>
      <c r="AC213">
        <v>3</v>
      </c>
      <c r="AD213">
        <v>3</v>
      </c>
      <c r="AE213" t="s">
        <v>229</v>
      </c>
      <c r="AI213">
        <v>0</v>
      </c>
      <c r="AJ213">
        <v>17</v>
      </c>
    </row>
    <row r="214" spans="1:36" x14ac:dyDescent="0.25">
      <c r="A214" t="s">
        <v>1605</v>
      </c>
      <c r="B214">
        <v>212</v>
      </c>
      <c r="C214" t="s">
        <v>56</v>
      </c>
      <c r="D214">
        <v>2</v>
      </c>
      <c r="F214">
        <v>1</v>
      </c>
      <c r="G214" t="s">
        <v>57</v>
      </c>
      <c r="H214" t="s">
        <v>122</v>
      </c>
      <c r="I214" t="s">
        <v>87</v>
      </c>
      <c r="J214" t="s">
        <v>125</v>
      </c>
      <c r="K214" t="s">
        <v>43</v>
      </c>
      <c r="L214">
        <v>2</v>
      </c>
      <c r="N214">
        <v>1</v>
      </c>
      <c r="O214" t="s">
        <v>73</v>
      </c>
      <c r="P214" t="s">
        <v>99</v>
      </c>
      <c r="Q214" t="s">
        <v>75</v>
      </c>
      <c r="R214" t="s">
        <v>101</v>
      </c>
      <c r="S214" t="s">
        <v>38</v>
      </c>
      <c r="T214">
        <v>1</v>
      </c>
      <c r="U214">
        <v>1</v>
      </c>
      <c r="V214">
        <v>2</v>
      </c>
      <c r="W214" t="s">
        <v>39</v>
      </c>
      <c r="X214" t="s">
        <v>96</v>
      </c>
      <c r="AA214" t="s">
        <v>227</v>
      </c>
      <c r="AB214">
        <v>1</v>
      </c>
      <c r="AC214">
        <v>3</v>
      </c>
      <c r="AD214">
        <v>3</v>
      </c>
      <c r="AE214" t="s">
        <v>229</v>
      </c>
      <c r="AI214">
        <v>0</v>
      </c>
      <c r="AJ214">
        <v>20</v>
      </c>
    </row>
    <row r="215" spans="1:36" x14ac:dyDescent="0.25">
      <c r="A215" t="s">
        <v>1606</v>
      </c>
      <c r="B215">
        <v>213</v>
      </c>
      <c r="C215" t="s">
        <v>56</v>
      </c>
      <c r="D215">
        <v>2</v>
      </c>
      <c r="F215">
        <v>2</v>
      </c>
      <c r="G215" t="s">
        <v>57</v>
      </c>
      <c r="H215" t="s">
        <v>122</v>
      </c>
      <c r="I215" t="s">
        <v>123</v>
      </c>
      <c r="J215" t="s">
        <v>124</v>
      </c>
      <c r="K215" t="s">
        <v>45</v>
      </c>
      <c r="L215">
        <v>3</v>
      </c>
      <c r="N215">
        <v>3</v>
      </c>
      <c r="O215" t="s">
        <v>86</v>
      </c>
      <c r="P215" t="s">
        <v>141</v>
      </c>
      <c r="S215" t="s">
        <v>48</v>
      </c>
      <c r="T215">
        <v>1</v>
      </c>
      <c r="V215">
        <v>3</v>
      </c>
      <c r="W215" t="s">
        <v>126</v>
      </c>
      <c r="X215" t="s">
        <v>50</v>
      </c>
      <c r="Y215" t="s">
        <v>90</v>
      </c>
      <c r="Z215" t="s">
        <v>129</v>
      </c>
      <c r="AA215" t="s">
        <v>33</v>
      </c>
      <c r="AB215">
        <v>1</v>
      </c>
      <c r="AD215">
        <v>2</v>
      </c>
      <c r="AE215" t="s">
        <v>34</v>
      </c>
      <c r="AI215">
        <v>0</v>
      </c>
      <c r="AJ215">
        <v>20</v>
      </c>
    </row>
    <row r="216" spans="1:36" x14ac:dyDescent="0.25">
      <c r="A216" t="s">
        <v>1404</v>
      </c>
      <c r="B216">
        <v>214</v>
      </c>
      <c r="C216" t="s">
        <v>56</v>
      </c>
      <c r="D216">
        <v>3</v>
      </c>
      <c r="F216">
        <v>1</v>
      </c>
      <c r="G216" t="s">
        <v>120</v>
      </c>
      <c r="H216" t="s">
        <v>122</v>
      </c>
      <c r="I216" t="s">
        <v>87</v>
      </c>
      <c r="K216" t="s">
        <v>45</v>
      </c>
      <c r="L216">
        <v>3</v>
      </c>
      <c r="N216">
        <v>1</v>
      </c>
      <c r="O216" t="s">
        <v>86</v>
      </c>
      <c r="P216" t="s">
        <v>141</v>
      </c>
      <c r="Q216" t="s">
        <v>93</v>
      </c>
      <c r="S216" t="s">
        <v>48</v>
      </c>
      <c r="T216">
        <v>2</v>
      </c>
      <c r="V216">
        <v>1</v>
      </c>
      <c r="W216" t="s">
        <v>126</v>
      </c>
      <c r="X216" t="s">
        <v>84</v>
      </c>
      <c r="Y216" t="s">
        <v>127</v>
      </c>
      <c r="Z216" t="s">
        <v>129</v>
      </c>
      <c r="AA216" t="s">
        <v>43</v>
      </c>
      <c r="AB216">
        <v>1</v>
      </c>
      <c r="AD216">
        <v>2</v>
      </c>
      <c r="AE216" t="s">
        <v>73</v>
      </c>
      <c r="AF216" t="s">
        <v>99</v>
      </c>
      <c r="AG216" t="s">
        <v>100</v>
      </c>
      <c r="AI216">
        <v>0</v>
      </c>
      <c r="AJ216">
        <v>19</v>
      </c>
    </row>
    <row r="217" spans="1:36" x14ac:dyDescent="0.25">
      <c r="A217" t="s">
        <v>1607</v>
      </c>
      <c r="B217">
        <v>215</v>
      </c>
      <c r="C217" t="s">
        <v>56</v>
      </c>
      <c r="D217">
        <v>3</v>
      </c>
      <c r="F217">
        <v>1</v>
      </c>
      <c r="G217" t="s">
        <v>57</v>
      </c>
      <c r="H217" t="s">
        <v>122</v>
      </c>
      <c r="I217" t="s">
        <v>123</v>
      </c>
      <c r="J217" t="s">
        <v>124</v>
      </c>
      <c r="K217" t="s">
        <v>45</v>
      </c>
      <c r="L217">
        <v>3</v>
      </c>
      <c r="N217">
        <v>1</v>
      </c>
      <c r="O217" t="s">
        <v>86</v>
      </c>
      <c r="P217" t="s">
        <v>76</v>
      </c>
      <c r="Q217" t="s">
        <v>102</v>
      </c>
      <c r="R217" t="s">
        <v>94</v>
      </c>
      <c r="S217" t="s">
        <v>48</v>
      </c>
      <c r="T217">
        <v>2</v>
      </c>
      <c r="V217">
        <v>2</v>
      </c>
      <c r="W217" t="s">
        <v>126</v>
      </c>
      <c r="X217" t="s">
        <v>84</v>
      </c>
      <c r="Y217" t="s">
        <v>90</v>
      </c>
      <c r="Z217" t="s">
        <v>128</v>
      </c>
      <c r="AA217" t="s">
        <v>63</v>
      </c>
      <c r="AB217">
        <v>1</v>
      </c>
      <c r="AD217">
        <v>1</v>
      </c>
      <c r="AE217" t="s">
        <v>145</v>
      </c>
      <c r="AF217" t="s">
        <v>146</v>
      </c>
      <c r="AI217">
        <v>0</v>
      </c>
      <c r="AJ217">
        <v>21</v>
      </c>
    </row>
    <row r="218" spans="1:36" x14ac:dyDescent="0.25">
      <c r="A218" t="s">
        <v>1405</v>
      </c>
      <c r="B218">
        <v>216</v>
      </c>
      <c r="C218" t="s">
        <v>48</v>
      </c>
      <c r="D218">
        <v>2</v>
      </c>
      <c r="F218">
        <v>2</v>
      </c>
      <c r="G218" t="s">
        <v>126</v>
      </c>
      <c r="H218" t="s">
        <v>50</v>
      </c>
      <c r="I218" t="s">
        <v>90</v>
      </c>
      <c r="J218" t="s">
        <v>129</v>
      </c>
      <c r="K218" t="s">
        <v>38</v>
      </c>
      <c r="L218">
        <v>1</v>
      </c>
      <c r="M218">
        <v>1</v>
      </c>
      <c r="N218">
        <v>3</v>
      </c>
      <c r="O218" t="s">
        <v>39</v>
      </c>
      <c r="P218" t="s">
        <v>96</v>
      </c>
      <c r="Q218" t="s">
        <v>154</v>
      </c>
      <c r="R218" t="s">
        <v>42</v>
      </c>
      <c r="S218" t="s">
        <v>56</v>
      </c>
      <c r="T218">
        <v>3</v>
      </c>
      <c r="V218">
        <v>1</v>
      </c>
      <c r="W218" t="s">
        <v>57</v>
      </c>
      <c r="X218" t="s">
        <v>121</v>
      </c>
      <c r="Y218" t="s">
        <v>123</v>
      </c>
      <c r="AA218" t="s">
        <v>45</v>
      </c>
      <c r="AB218">
        <v>2</v>
      </c>
      <c r="AD218">
        <v>1</v>
      </c>
      <c r="AE218" t="s">
        <v>86</v>
      </c>
      <c r="AI218">
        <v>0</v>
      </c>
      <c r="AJ218">
        <v>19</v>
      </c>
    </row>
    <row r="219" spans="1:36" x14ac:dyDescent="0.25">
      <c r="A219" t="s">
        <v>1608</v>
      </c>
      <c r="B219">
        <v>217</v>
      </c>
      <c r="C219" t="s">
        <v>48</v>
      </c>
      <c r="D219">
        <v>3</v>
      </c>
      <c r="F219">
        <v>3</v>
      </c>
      <c r="G219" t="s">
        <v>126</v>
      </c>
      <c r="H219" t="s">
        <v>50</v>
      </c>
      <c r="I219" t="s">
        <v>127</v>
      </c>
      <c r="J219" t="s">
        <v>128</v>
      </c>
      <c r="K219" t="s">
        <v>227</v>
      </c>
      <c r="L219">
        <v>1</v>
      </c>
      <c r="M219">
        <v>2</v>
      </c>
      <c r="N219">
        <v>3</v>
      </c>
      <c r="O219" t="s">
        <v>228</v>
      </c>
      <c r="P219" t="s">
        <v>231</v>
      </c>
      <c r="Q219" t="s">
        <v>235</v>
      </c>
      <c r="S219" t="s">
        <v>56</v>
      </c>
      <c r="T219">
        <v>3</v>
      </c>
      <c r="V219">
        <v>3</v>
      </c>
      <c r="W219" t="s">
        <v>57</v>
      </c>
      <c r="X219" t="s">
        <v>122</v>
      </c>
      <c r="Y219" t="s">
        <v>123</v>
      </c>
      <c r="Z219" t="s">
        <v>124</v>
      </c>
      <c r="AA219" t="s">
        <v>45</v>
      </c>
      <c r="AB219">
        <v>2</v>
      </c>
      <c r="AD219">
        <v>1</v>
      </c>
      <c r="AE219" t="s">
        <v>47</v>
      </c>
      <c r="AI219">
        <v>0</v>
      </c>
      <c r="AJ219">
        <v>31</v>
      </c>
    </row>
    <row r="220" spans="1:36" x14ac:dyDescent="0.25">
      <c r="A220" t="s">
        <v>1609</v>
      </c>
      <c r="B220">
        <v>218</v>
      </c>
      <c r="C220" t="s">
        <v>56</v>
      </c>
      <c r="D220">
        <v>2</v>
      </c>
      <c r="F220">
        <v>1</v>
      </c>
      <c r="G220" t="s">
        <v>120</v>
      </c>
      <c r="H220" t="s">
        <v>69</v>
      </c>
      <c r="I220" t="s">
        <v>87</v>
      </c>
      <c r="K220" t="s">
        <v>45</v>
      </c>
      <c r="L220">
        <v>3</v>
      </c>
      <c r="N220">
        <v>1</v>
      </c>
      <c r="O220" t="s">
        <v>140</v>
      </c>
      <c r="P220" t="s">
        <v>141</v>
      </c>
      <c r="S220" t="s">
        <v>33</v>
      </c>
      <c r="T220">
        <v>1</v>
      </c>
      <c r="V220">
        <v>3</v>
      </c>
      <c r="W220" t="s">
        <v>34</v>
      </c>
      <c r="X220" t="s">
        <v>35</v>
      </c>
      <c r="AA220" t="s">
        <v>43</v>
      </c>
      <c r="AB220">
        <v>1</v>
      </c>
      <c r="AD220">
        <v>1</v>
      </c>
      <c r="AE220" t="s">
        <v>135</v>
      </c>
      <c r="AF220" t="s">
        <v>136</v>
      </c>
      <c r="AG220" t="s">
        <v>100</v>
      </c>
      <c r="AH220" t="s">
        <v>138</v>
      </c>
      <c r="AI220">
        <v>0</v>
      </c>
      <c r="AJ220">
        <v>17</v>
      </c>
    </row>
    <row r="221" spans="1:36" x14ac:dyDescent="0.25">
      <c r="A221" t="s">
        <v>1406</v>
      </c>
      <c r="B221">
        <v>219</v>
      </c>
      <c r="C221" t="s">
        <v>56</v>
      </c>
      <c r="D221">
        <v>2</v>
      </c>
      <c r="F221">
        <v>1</v>
      </c>
      <c r="G221" t="s">
        <v>57</v>
      </c>
      <c r="H221" t="s">
        <v>122</v>
      </c>
      <c r="K221" t="s">
        <v>45</v>
      </c>
      <c r="L221">
        <v>3</v>
      </c>
      <c r="N221">
        <v>1</v>
      </c>
      <c r="O221" t="s">
        <v>86</v>
      </c>
      <c r="P221" t="s">
        <v>141</v>
      </c>
      <c r="S221" t="s">
        <v>33</v>
      </c>
      <c r="T221">
        <v>1</v>
      </c>
      <c r="V221">
        <v>2</v>
      </c>
      <c r="W221" t="s">
        <v>46</v>
      </c>
      <c r="AA221" t="s">
        <v>63</v>
      </c>
      <c r="AB221">
        <v>1</v>
      </c>
      <c r="AD221">
        <v>1</v>
      </c>
      <c r="AE221" t="s">
        <v>103</v>
      </c>
      <c r="AF221" t="s">
        <v>146</v>
      </c>
      <c r="AG221" t="s">
        <v>104</v>
      </c>
      <c r="AI221">
        <v>0</v>
      </c>
      <c r="AJ221">
        <v>13</v>
      </c>
    </row>
    <row r="222" spans="1:36" x14ac:dyDescent="0.25">
      <c r="A222" t="s">
        <v>1610</v>
      </c>
      <c r="B222">
        <v>220</v>
      </c>
      <c r="C222" t="s">
        <v>33</v>
      </c>
      <c r="D222">
        <v>1</v>
      </c>
      <c r="F222">
        <v>3</v>
      </c>
      <c r="G222" t="s">
        <v>46</v>
      </c>
      <c r="K222" t="s">
        <v>38</v>
      </c>
      <c r="L222">
        <v>3</v>
      </c>
      <c r="M222">
        <v>3</v>
      </c>
      <c r="N222">
        <v>3</v>
      </c>
      <c r="O222" t="s">
        <v>39</v>
      </c>
      <c r="P222" t="s">
        <v>96</v>
      </c>
      <c r="Q222" t="s">
        <v>154</v>
      </c>
      <c r="R222" t="s">
        <v>156</v>
      </c>
      <c r="S222" t="s">
        <v>56</v>
      </c>
      <c r="T222">
        <v>3</v>
      </c>
      <c r="V222">
        <v>3</v>
      </c>
      <c r="W222" t="s">
        <v>57</v>
      </c>
      <c r="X222" t="s">
        <v>122</v>
      </c>
      <c r="Y222" t="s">
        <v>85</v>
      </c>
      <c r="Z222" t="s">
        <v>124</v>
      </c>
      <c r="AA222" t="s">
        <v>45</v>
      </c>
      <c r="AB222">
        <v>1</v>
      </c>
      <c r="AD222">
        <v>1</v>
      </c>
      <c r="AE222" t="s">
        <v>140</v>
      </c>
      <c r="AI222">
        <v>0</v>
      </c>
      <c r="AJ222">
        <v>25</v>
      </c>
    </row>
    <row r="223" spans="1:36" x14ac:dyDescent="0.25">
      <c r="A223" t="s">
        <v>1611</v>
      </c>
      <c r="B223">
        <v>221</v>
      </c>
      <c r="C223" t="s">
        <v>33</v>
      </c>
      <c r="D223">
        <v>1</v>
      </c>
      <c r="F223">
        <v>2</v>
      </c>
      <c r="G223" t="s">
        <v>46</v>
      </c>
      <c r="K223" t="s">
        <v>227</v>
      </c>
      <c r="L223">
        <v>1</v>
      </c>
      <c r="M223">
        <v>1</v>
      </c>
      <c r="N223">
        <v>3</v>
      </c>
      <c r="O223" t="s">
        <v>228</v>
      </c>
      <c r="P223" t="s">
        <v>231</v>
      </c>
      <c r="Q223" t="s">
        <v>234</v>
      </c>
      <c r="S223" t="s">
        <v>56</v>
      </c>
      <c r="T223">
        <v>3</v>
      </c>
      <c r="V223">
        <v>1</v>
      </c>
      <c r="W223" t="s">
        <v>57</v>
      </c>
      <c r="X223" t="s">
        <v>122</v>
      </c>
      <c r="AA223" t="s">
        <v>45</v>
      </c>
      <c r="AB223">
        <v>3</v>
      </c>
      <c r="AD223">
        <v>1</v>
      </c>
      <c r="AE223" t="s">
        <v>140</v>
      </c>
      <c r="AI223">
        <v>0</v>
      </c>
      <c r="AJ223">
        <v>14</v>
      </c>
    </row>
    <row r="224" spans="1:36" x14ac:dyDescent="0.25">
      <c r="A224" t="s">
        <v>1407</v>
      </c>
      <c r="B224">
        <v>222</v>
      </c>
      <c r="C224" t="s">
        <v>43</v>
      </c>
      <c r="D224">
        <v>1</v>
      </c>
      <c r="F224">
        <v>2</v>
      </c>
      <c r="G224" t="s">
        <v>135</v>
      </c>
      <c r="H224" t="s">
        <v>136</v>
      </c>
      <c r="I224" t="s">
        <v>137</v>
      </c>
      <c r="J224" t="s">
        <v>139</v>
      </c>
      <c r="K224" t="s">
        <v>63</v>
      </c>
      <c r="L224">
        <v>3</v>
      </c>
      <c r="N224">
        <v>3</v>
      </c>
      <c r="O224" t="s">
        <v>145</v>
      </c>
      <c r="P224" t="s">
        <v>146</v>
      </c>
      <c r="Q224" t="s">
        <v>148</v>
      </c>
      <c r="R224" t="s">
        <v>150</v>
      </c>
      <c r="S224" t="s">
        <v>56</v>
      </c>
      <c r="T224">
        <v>2</v>
      </c>
      <c r="V224">
        <v>1</v>
      </c>
      <c r="W224" t="s">
        <v>57</v>
      </c>
      <c r="X224" t="s">
        <v>122</v>
      </c>
      <c r="AA224" t="s">
        <v>45</v>
      </c>
      <c r="AB224">
        <v>3</v>
      </c>
      <c r="AD224">
        <v>3</v>
      </c>
      <c r="AE224" t="s">
        <v>86</v>
      </c>
      <c r="AF224" t="s">
        <v>141</v>
      </c>
      <c r="AG224" t="s">
        <v>93</v>
      </c>
      <c r="AH224" t="s">
        <v>94</v>
      </c>
      <c r="AI224">
        <v>0</v>
      </c>
      <c r="AJ224">
        <v>27</v>
      </c>
    </row>
    <row r="225" spans="1:36" x14ac:dyDescent="0.25">
      <c r="A225" t="s">
        <v>1612</v>
      </c>
      <c r="B225">
        <v>223</v>
      </c>
      <c r="C225" t="s">
        <v>43</v>
      </c>
      <c r="D225">
        <v>1</v>
      </c>
      <c r="F225">
        <v>2</v>
      </c>
      <c r="G225" t="s">
        <v>73</v>
      </c>
      <c r="H225" t="s">
        <v>136</v>
      </c>
      <c r="I225" t="s">
        <v>137</v>
      </c>
      <c r="J225" t="s">
        <v>101</v>
      </c>
      <c r="K225" t="s">
        <v>38</v>
      </c>
      <c r="L225">
        <v>2</v>
      </c>
      <c r="M225">
        <v>1</v>
      </c>
      <c r="N225">
        <v>2</v>
      </c>
      <c r="O225" t="s">
        <v>39</v>
      </c>
      <c r="P225" t="s">
        <v>96</v>
      </c>
      <c r="Q225" t="s">
        <v>154</v>
      </c>
      <c r="R225" t="s">
        <v>42</v>
      </c>
      <c r="S225" t="s">
        <v>56</v>
      </c>
      <c r="T225">
        <v>2</v>
      </c>
      <c r="V225">
        <v>2</v>
      </c>
      <c r="W225" t="s">
        <v>120</v>
      </c>
      <c r="X225" t="s">
        <v>122</v>
      </c>
      <c r="Y225" t="s">
        <v>87</v>
      </c>
      <c r="AA225" t="s">
        <v>45</v>
      </c>
      <c r="AB225">
        <v>2</v>
      </c>
      <c r="AD225">
        <v>1</v>
      </c>
      <c r="AE225" t="s">
        <v>140</v>
      </c>
      <c r="AI225">
        <v>0</v>
      </c>
      <c r="AJ225">
        <v>19</v>
      </c>
    </row>
    <row r="226" spans="1:36" x14ac:dyDescent="0.25">
      <c r="A226" t="s">
        <v>1613</v>
      </c>
      <c r="B226">
        <v>224</v>
      </c>
      <c r="C226" t="s">
        <v>56</v>
      </c>
      <c r="D226">
        <v>3</v>
      </c>
      <c r="F226">
        <v>2</v>
      </c>
      <c r="G226" t="s">
        <v>57</v>
      </c>
      <c r="H226" t="s">
        <v>121</v>
      </c>
      <c r="I226" t="s">
        <v>123</v>
      </c>
      <c r="K226" t="s">
        <v>45</v>
      </c>
      <c r="L226">
        <v>2</v>
      </c>
      <c r="N226">
        <v>1</v>
      </c>
      <c r="O226" t="s">
        <v>140</v>
      </c>
      <c r="S226" t="s">
        <v>43</v>
      </c>
      <c r="T226">
        <v>1</v>
      </c>
      <c r="V226">
        <v>3</v>
      </c>
      <c r="W226" t="s">
        <v>135</v>
      </c>
      <c r="X226" t="s">
        <v>136</v>
      </c>
      <c r="Y226" t="s">
        <v>100</v>
      </c>
      <c r="Z226" t="s">
        <v>138</v>
      </c>
      <c r="AA226" t="s">
        <v>227</v>
      </c>
      <c r="AB226">
        <v>2</v>
      </c>
      <c r="AC226">
        <v>1</v>
      </c>
      <c r="AD226">
        <v>1</v>
      </c>
      <c r="AE226" t="s">
        <v>228</v>
      </c>
      <c r="AF226" t="s">
        <v>231</v>
      </c>
      <c r="AI226">
        <v>0</v>
      </c>
      <c r="AJ226">
        <v>17</v>
      </c>
    </row>
    <row r="227" spans="1:36" x14ac:dyDescent="0.25">
      <c r="A227" t="s">
        <v>1408</v>
      </c>
      <c r="B227">
        <v>225</v>
      </c>
      <c r="C227" t="s">
        <v>56</v>
      </c>
      <c r="D227">
        <v>3</v>
      </c>
      <c r="F227">
        <v>1</v>
      </c>
      <c r="G227" t="s">
        <v>57</v>
      </c>
      <c r="H227" t="s">
        <v>122</v>
      </c>
      <c r="I227" t="s">
        <v>85</v>
      </c>
      <c r="K227" t="s">
        <v>45</v>
      </c>
      <c r="L227">
        <v>3</v>
      </c>
      <c r="N227">
        <v>1</v>
      </c>
      <c r="O227" t="s">
        <v>86</v>
      </c>
      <c r="P227" t="s">
        <v>141</v>
      </c>
      <c r="Q227" t="s">
        <v>93</v>
      </c>
      <c r="S227" t="s">
        <v>63</v>
      </c>
      <c r="T227">
        <v>1</v>
      </c>
      <c r="V227">
        <v>2</v>
      </c>
      <c r="W227" t="s">
        <v>145</v>
      </c>
      <c r="X227" t="s">
        <v>146</v>
      </c>
      <c r="Y227" t="s">
        <v>104</v>
      </c>
      <c r="AA227" t="s">
        <v>38</v>
      </c>
      <c r="AB227">
        <v>1</v>
      </c>
      <c r="AC227">
        <v>1</v>
      </c>
      <c r="AD227">
        <v>2</v>
      </c>
      <c r="AE227" t="s">
        <v>39</v>
      </c>
      <c r="AF227" t="s">
        <v>96</v>
      </c>
      <c r="AI227">
        <v>0</v>
      </c>
      <c r="AJ227">
        <v>17</v>
      </c>
    </row>
    <row r="228" spans="1:36" x14ac:dyDescent="0.25">
      <c r="A228" t="s">
        <v>1409</v>
      </c>
      <c r="B228">
        <v>226</v>
      </c>
      <c r="C228" t="s">
        <v>56</v>
      </c>
      <c r="D228">
        <v>2</v>
      </c>
      <c r="F228">
        <v>1</v>
      </c>
      <c r="G228" t="s">
        <v>57</v>
      </c>
      <c r="H228" t="s">
        <v>122</v>
      </c>
      <c r="I228" t="s">
        <v>123</v>
      </c>
      <c r="J228" t="s">
        <v>124</v>
      </c>
      <c r="K228" t="s">
        <v>45</v>
      </c>
      <c r="L228">
        <v>3</v>
      </c>
      <c r="N228">
        <v>1</v>
      </c>
      <c r="O228" t="s">
        <v>86</v>
      </c>
      <c r="P228" t="s">
        <v>141</v>
      </c>
      <c r="S228" t="s">
        <v>63</v>
      </c>
      <c r="T228">
        <v>1</v>
      </c>
      <c r="V228">
        <v>1</v>
      </c>
      <c r="W228" t="s">
        <v>145</v>
      </c>
      <c r="X228" t="s">
        <v>146</v>
      </c>
      <c r="AA228" t="s">
        <v>227</v>
      </c>
      <c r="AB228">
        <v>2</v>
      </c>
      <c r="AC228">
        <v>1</v>
      </c>
      <c r="AD228">
        <v>3</v>
      </c>
      <c r="AE228" t="s">
        <v>229</v>
      </c>
      <c r="AF228" t="s">
        <v>231</v>
      </c>
      <c r="AG228" t="s">
        <v>235</v>
      </c>
      <c r="AI228">
        <v>0</v>
      </c>
      <c r="AJ228">
        <v>18</v>
      </c>
    </row>
    <row r="229" spans="1:36" x14ac:dyDescent="0.25">
      <c r="A229" t="s">
        <v>1614</v>
      </c>
      <c r="B229">
        <v>227</v>
      </c>
      <c r="C229" t="s">
        <v>38</v>
      </c>
      <c r="D229">
        <v>1</v>
      </c>
      <c r="E229">
        <v>1</v>
      </c>
      <c r="F229">
        <v>2</v>
      </c>
      <c r="G229" t="s">
        <v>39</v>
      </c>
      <c r="H229" t="s">
        <v>96</v>
      </c>
      <c r="I229" t="s">
        <v>154</v>
      </c>
      <c r="K229" t="s">
        <v>227</v>
      </c>
      <c r="L229">
        <v>1</v>
      </c>
      <c r="M229">
        <v>1</v>
      </c>
      <c r="N229">
        <v>3</v>
      </c>
      <c r="O229" t="s">
        <v>228</v>
      </c>
      <c r="P229" t="s">
        <v>231</v>
      </c>
      <c r="Q229" t="s">
        <v>235</v>
      </c>
      <c r="S229" t="s">
        <v>56</v>
      </c>
      <c r="T229">
        <v>3</v>
      </c>
      <c r="V229">
        <v>1</v>
      </c>
      <c r="W229" t="s">
        <v>57</v>
      </c>
      <c r="X229" t="s">
        <v>122</v>
      </c>
      <c r="AA229" t="s">
        <v>45</v>
      </c>
      <c r="AB229">
        <v>2</v>
      </c>
      <c r="AD229">
        <v>1</v>
      </c>
      <c r="AE229" t="s">
        <v>140</v>
      </c>
      <c r="AI229">
        <v>0</v>
      </c>
      <c r="AJ229">
        <v>15</v>
      </c>
    </row>
    <row r="230" spans="1:36" x14ac:dyDescent="0.25">
      <c r="A230" t="s">
        <v>1410</v>
      </c>
      <c r="B230">
        <v>228</v>
      </c>
      <c r="C230" t="s">
        <v>56</v>
      </c>
      <c r="D230">
        <v>3</v>
      </c>
      <c r="F230">
        <v>3</v>
      </c>
      <c r="G230" t="s">
        <v>120</v>
      </c>
      <c r="H230" t="s">
        <v>122</v>
      </c>
      <c r="I230" t="s">
        <v>123</v>
      </c>
      <c r="J230" t="s">
        <v>88</v>
      </c>
      <c r="K230" t="s">
        <v>63</v>
      </c>
      <c r="L230">
        <v>3</v>
      </c>
      <c r="N230">
        <v>3</v>
      </c>
      <c r="O230" t="s">
        <v>72</v>
      </c>
      <c r="P230" t="s">
        <v>146</v>
      </c>
      <c r="Q230" t="s">
        <v>147</v>
      </c>
      <c r="R230" t="s">
        <v>151</v>
      </c>
      <c r="S230" t="s">
        <v>48</v>
      </c>
      <c r="T230">
        <v>3</v>
      </c>
      <c r="V230">
        <v>3</v>
      </c>
      <c r="W230" t="s">
        <v>49</v>
      </c>
      <c r="X230" t="s">
        <v>50</v>
      </c>
      <c r="Y230" t="s">
        <v>127</v>
      </c>
      <c r="Z230" t="s">
        <v>129</v>
      </c>
      <c r="AA230" t="s">
        <v>33</v>
      </c>
      <c r="AB230">
        <v>2</v>
      </c>
      <c r="AD230">
        <v>2</v>
      </c>
      <c r="AE230" t="s">
        <v>34</v>
      </c>
      <c r="AI230">
        <v>0</v>
      </c>
      <c r="AJ230">
        <v>30</v>
      </c>
    </row>
    <row r="231" spans="1:36" x14ac:dyDescent="0.25">
      <c r="A231" t="s">
        <v>1411</v>
      </c>
      <c r="B231">
        <v>229</v>
      </c>
      <c r="C231" t="s">
        <v>56</v>
      </c>
      <c r="D231">
        <v>2</v>
      </c>
      <c r="F231">
        <v>2</v>
      </c>
      <c r="G231" t="s">
        <v>120</v>
      </c>
      <c r="H231" t="s">
        <v>69</v>
      </c>
      <c r="K231" t="s">
        <v>63</v>
      </c>
      <c r="L231">
        <v>2</v>
      </c>
      <c r="N231">
        <v>1</v>
      </c>
      <c r="O231" t="s">
        <v>103</v>
      </c>
      <c r="P231" t="s">
        <v>91</v>
      </c>
      <c r="S231" t="s">
        <v>48</v>
      </c>
      <c r="T231">
        <v>3</v>
      </c>
      <c r="V231">
        <v>2</v>
      </c>
      <c r="W231" t="s">
        <v>49</v>
      </c>
      <c r="AA231" t="s">
        <v>43</v>
      </c>
      <c r="AB231">
        <v>1</v>
      </c>
      <c r="AD231">
        <v>1</v>
      </c>
      <c r="AE231" t="s">
        <v>73</v>
      </c>
      <c r="AF231" t="s">
        <v>99</v>
      </c>
      <c r="AG231" t="s">
        <v>137</v>
      </c>
      <c r="AH231" t="s">
        <v>101</v>
      </c>
      <c r="AI231">
        <v>0</v>
      </c>
      <c r="AJ231">
        <v>15</v>
      </c>
    </row>
    <row r="232" spans="1:36" x14ac:dyDescent="0.25">
      <c r="A232" t="s">
        <v>1615</v>
      </c>
      <c r="B232">
        <v>230</v>
      </c>
      <c r="C232" t="s">
        <v>56</v>
      </c>
      <c r="D232">
        <v>3</v>
      </c>
      <c r="F232">
        <v>2</v>
      </c>
      <c r="G232" t="s">
        <v>120</v>
      </c>
      <c r="H232" t="s">
        <v>122</v>
      </c>
      <c r="K232" t="s">
        <v>63</v>
      </c>
      <c r="L232">
        <v>1</v>
      </c>
      <c r="N232">
        <v>1</v>
      </c>
      <c r="O232" t="s">
        <v>145</v>
      </c>
      <c r="P232" t="s">
        <v>91</v>
      </c>
      <c r="Q232" t="s">
        <v>104</v>
      </c>
      <c r="S232" t="s">
        <v>48</v>
      </c>
      <c r="T232">
        <v>2</v>
      </c>
      <c r="V232">
        <v>1</v>
      </c>
      <c r="W232" t="s">
        <v>49</v>
      </c>
      <c r="X232" t="s">
        <v>50</v>
      </c>
      <c r="Y232" t="s">
        <v>127</v>
      </c>
      <c r="Z232" t="s">
        <v>129</v>
      </c>
      <c r="AA232" t="s">
        <v>45</v>
      </c>
      <c r="AB232">
        <v>2</v>
      </c>
      <c r="AD232">
        <v>1</v>
      </c>
      <c r="AE232" t="s">
        <v>86</v>
      </c>
      <c r="AI232">
        <v>0</v>
      </c>
      <c r="AJ232">
        <v>15</v>
      </c>
    </row>
    <row r="233" spans="1:36" x14ac:dyDescent="0.25">
      <c r="A233" t="s">
        <v>1412</v>
      </c>
      <c r="B233">
        <v>231</v>
      </c>
      <c r="C233" t="s">
        <v>56</v>
      </c>
      <c r="D233">
        <v>2</v>
      </c>
      <c r="F233">
        <v>1</v>
      </c>
      <c r="G233" t="s">
        <v>57</v>
      </c>
      <c r="H233" t="s">
        <v>121</v>
      </c>
      <c r="I233" t="s">
        <v>85</v>
      </c>
      <c r="K233" t="s">
        <v>63</v>
      </c>
      <c r="L233">
        <v>1</v>
      </c>
      <c r="N233">
        <v>1</v>
      </c>
      <c r="O233" t="s">
        <v>103</v>
      </c>
      <c r="P233" t="s">
        <v>91</v>
      </c>
      <c r="Q233" t="s">
        <v>147</v>
      </c>
      <c r="S233" t="s">
        <v>48</v>
      </c>
      <c r="T233">
        <v>2</v>
      </c>
      <c r="V233">
        <v>1</v>
      </c>
      <c r="W233" t="s">
        <v>49</v>
      </c>
      <c r="X233" t="s">
        <v>50</v>
      </c>
      <c r="Y233" t="s">
        <v>127</v>
      </c>
      <c r="AA233" t="s">
        <v>38</v>
      </c>
      <c r="AB233">
        <v>1</v>
      </c>
      <c r="AC233">
        <v>1</v>
      </c>
      <c r="AD233">
        <v>1</v>
      </c>
      <c r="AE233" t="s">
        <v>39</v>
      </c>
      <c r="AF233" t="s">
        <v>96</v>
      </c>
      <c r="AG233" t="s">
        <v>154</v>
      </c>
      <c r="AI233">
        <v>0</v>
      </c>
      <c r="AJ233">
        <v>14</v>
      </c>
    </row>
    <row r="234" spans="1:36" x14ac:dyDescent="0.25">
      <c r="A234" t="s">
        <v>1413</v>
      </c>
      <c r="B234">
        <v>232</v>
      </c>
      <c r="C234" t="s">
        <v>48</v>
      </c>
      <c r="D234">
        <v>1</v>
      </c>
      <c r="F234">
        <v>2</v>
      </c>
      <c r="G234" t="s">
        <v>49</v>
      </c>
      <c r="H234" t="s">
        <v>50</v>
      </c>
      <c r="I234" t="s">
        <v>127</v>
      </c>
      <c r="J234" t="s">
        <v>129</v>
      </c>
      <c r="K234" t="s">
        <v>227</v>
      </c>
      <c r="L234">
        <v>3</v>
      </c>
      <c r="M234">
        <v>1</v>
      </c>
      <c r="N234">
        <v>2</v>
      </c>
      <c r="O234" t="s">
        <v>229</v>
      </c>
      <c r="P234" t="s">
        <v>231</v>
      </c>
      <c r="S234" t="s">
        <v>56</v>
      </c>
      <c r="T234">
        <v>3</v>
      </c>
      <c r="V234">
        <v>2</v>
      </c>
      <c r="W234" t="s">
        <v>120</v>
      </c>
      <c r="X234" t="s">
        <v>122</v>
      </c>
      <c r="AA234" t="s">
        <v>63</v>
      </c>
      <c r="AB234">
        <v>1</v>
      </c>
      <c r="AD234">
        <v>2</v>
      </c>
      <c r="AE234" t="s">
        <v>145</v>
      </c>
      <c r="AF234" t="s">
        <v>91</v>
      </c>
      <c r="AG234" t="s">
        <v>147</v>
      </c>
      <c r="AI234">
        <v>0</v>
      </c>
      <c r="AJ234">
        <v>20</v>
      </c>
    </row>
    <row r="235" spans="1:36" x14ac:dyDescent="0.25">
      <c r="A235" t="s">
        <v>1414</v>
      </c>
      <c r="B235">
        <v>233</v>
      </c>
      <c r="C235" t="s">
        <v>56</v>
      </c>
      <c r="D235">
        <v>2</v>
      </c>
      <c r="F235">
        <v>2</v>
      </c>
      <c r="G235" t="s">
        <v>120</v>
      </c>
      <c r="H235" t="s">
        <v>122</v>
      </c>
      <c r="K235" t="s">
        <v>63</v>
      </c>
      <c r="L235">
        <v>2</v>
      </c>
      <c r="N235">
        <v>1</v>
      </c>
      <c r="O235" t="s">
        <v>72</v>
      </c>
      <c r="P235" t="s">
        <v>95</v>
      </c>
      <c r="S235" t="s">
        <v>33</v>
      </c>
      <c r="T235">
        <v>2</v>
      </c>
      <c r="V235">
        <v>2</v>
      </c>
      <c r="W235" t="s">
        <v>34</v>
      </c>
      <c r="X235" t="s">
        <v>35</v>
      </c>
      <c r="AA235" t="s">
        <v>43</v>
      </c>
      <c r="AB235">
        <v>2</v>
      </c>
      <c r="AD235">
        <v>1</v>
      </c>
      <c r="AE235" t="s">
        <v>135</v>
      </c>
      <c r="AI235">
        <v>0</v>
      </c>
      <c r="AJ235">
        <v>14</v>
      </c>
    </row>
    <row r="236" spans="1:36" x14ac:dyDescent="0.25">
      <c r="A236" t="s">
        <v>1616</v>
      </c>
      <c r="B236">
        <v>234</v>
      </c>
      <c r="C236" t="s">
        <v>56</v>
      </c>
      <c r="D236">
        <v>3</v>
      </c>
      <c r="F236">
        <v>1</v>
      </c>
      <c r="G236" t="s">
        <v>68</v>
      </c>
      <c r="K236" t="s">
        <v>63</v>
      </c>
      <c r="L236">
        <v>1</v>
      </c>
      <c r="N236">
        <v>2</v>
      </c>
      <c r="O236" t="s">
        <v>145</v>
      </c>
      <c r="P236" t="s">
        <v>146</v>
      </c>
      <c r="S236" t="s">
        <v>33</v>
      </c>
      <c r="T236">
        <v>2</v>
      </c>
      <c r="V236">
        <v>2</v>
      </c>
      <c r="W236" t="s">
        <v>34</v>
      </c>
      <c r="AA236" t="s">
        <v>45</v>
      </c>
      <c r="AB236">
        <v>3</v>
      </c>
      <c r="AD236">
        <v>1</v>
      </c>
      <c r="AE236" t="s">
        <v>86</v>
      </c>
      <c r="AF236" t="s">
        <v>141</v>
      </c>
      <c r="AI236">
        <v>0</v>
      </c>
      <c r="AJ236">
        <v>14</v>
      </c>
    </row>
    <row r="237" spans="1:36" x14ac:dyDescent="0.25">
      <c r="A237" t="s">
        <v>1617</v>
      </c>
      <c r="B237">
        <v>235</v>
      </c>
      <c r="C237" t="s">
        <v>56</v>
      </c>
      <c r="D237">
        <v>2</v>
      </c>
      <c r="F237">
        <v>1</v>
      </c>
      <c r="G237" t="s">
        <v>57</v>
      </c>
      <c r="H237" t="s">
        <v>122</v>
      </c>
      <c r="I237" t="s">
        <v>85</v>
      </c>
      <c r="J237" t="s">
        <v>125</v>
      </c>
      <c r="K237" t="s">
        <v>63</v>
      </c>
      <c r="L237">
        <v>1</v>
      </c>
      <c r="N237">
        <v>2</v>
      </c>
      <c r="O237" t="s">
        <v>72</v>
      </c>
      <c r="P237" t="s">
        <v>95</v>
      </c>
      <c r="Q237" t="s">
        <v>148</v>
      </c>
      <c r="R237" t="s">
        <v>151</v>
      </c>
      <c r="S237" t="s">
        <v>33</v>
      </c>
      <c r="T237">
        <v>2</v>
      </c>
      <c r="V237">
        <v>2</v>
      </c>
      <c r="W237" t="s">
        <v>34</v>
      </c>
      <c r="AA237" t="s">
        <v>38</v>
      </c>
      <c r="AB237">
        <v>2</v>
      </c>
      <c r="AC237">
        <v>1</v>
      </c>
      <c r="AD237">
        <v>2</v>
      </c>
      <c r="AE237" t="s">
        <v>39</v>
      </c>
      <c r="AF237" t="s">
        <v>96</v>
      </c>
      <c r="AG237" t="s">
        <v>153</v>
      </c>
      <c r="AH237" t="s">
        <v>42</v>
      </c>
      <c r="AI237">
        <v>0</v>
      </c>
      <c r="AJ237">
        <v>20</v>
      </c>
    </row>
    <row r="238" spans="1:36" x14ac:dyDescent="0.25">
      <c r="A238" t="s">
        <v>1415</v>
      </c>
      <c r="B238">
        <v>236</v>
      </c>
      <c r="C238" t="s">
        <v>56</v>
      </c>
      <c r="D238">
        <v>2</v>
      </c>
      <c r="F238">
        <v>2</v>
      </c>
      <c r="G238" t="s">
        <v>120</v>
      </c>
      <c r="H238" t="s">
        <v>69</v>
      </c>
      <c r="I238" t="s">
        <v>87</v>
      </c>
      <c r="J238" t="s">
        <v>88</v>
      </c>
      <c r="K238" t="s">
        <v>63</v>
      </c>
      <c r="L238">
        <v>2</v>
      </c>
      <c r="N238">
        <v>1</v>
      </c>
      <c r="O238" t="s">
        <v>72</v>
      </c>
      <c r="P238" t="s">
        <v>91</v>
      </c>
      <c r="Q238" t="s">
        <v>148</v>
      </c>
      <c r="R238" t="s">
        <v>151</v>
      </c>
      <c r="S238" t="s">
        <v>33</v>
      </c>
      <c r="T238">
        <v>1</v>
      </c>
      <c r="V238">
        <v>3</v>
      </c>
      <c r="W238" t="s">
        <v>34</v>
      </c>
      <c r="AA238" t="s">
        <v>227</v>
      </c>
      <c r="AB238">
        <v>2</v>
      </c>
      <c r="AC238">
        <v>3</v>
      </c>
      <c r="AD238">
        <v>2</v>
      </c>
      <c r="AE238" t="s">
        <v>229</v>
      </c>
      <c r="AF238" t="s">
        <v>231</v>
      </c>
      <c r="AI238">
        <v>0</v>
      </c>
      <c r="AJ238">
        <v>21</v>
      </c>
    </row>
    <row r="239" spans="1:36" x14ac:dyDescent="0.25">
      <c r="A239" t="s">
        <v>1416</v>
      </c>
      <c r="B239">
        <v>237</v>
      </c>
      <c r="C239" t="s">
        <v>56</v>
      </c>
      <c r="D239">
        <v>1</v>
      </c>
      <c r="F239">
        <v>2</v>
      </c>
      <c r="G239" t="s">
        <v>120</v>
      </c>
      <c r="H239" t="s">
        <v>69</v>
      </c>
      <c r="I239" t="s">
        <v>87</v>
      </c>
      <c r="K239" t="s">
        <v>63</v>
      </c>
      <c r="L239">
        <v>1</v>
      </c>
      <c r="N239">
        <v>1</v>
      </c>
      <c r="O239" t="s">
        <v>145</v>
      </c>
      <c r="P239" t="s">
        <v>146</v>
      </c>
      <c r="S239" t="s">
        <v>43</v>
      </c>
      <c r="T239">
        <v>1</v>
      </c>
      <c r="V239">
        <v>1</v>
      </c>
      <c r="W239" t="s">
        <v>73</v>
      </c>
      <c r="X239" t="s">
        <v>99</v>
      </c>
      <c r="Y239" t="s">
        <v>75</v>
      </c>
      <c r="Z239" t="s">
        <v>101</v>
      </c>
      <c r="AA239" t="s">
        <v>45</v>
      </c>
      <c r="AB239">
        <v>3</v>
      </c>
      <c r="AD239">
        <v>1</v>
      </c>
      <c r="AE239" t="s">
        <v>86</v>
      </c>
      <c r="AI239">
        <v>0</v>
      </c>
      <c r="AJ239">
        <v>13</v>
      </c>
    </row>
    <row r="240" spans="1:36" x14ac:dyDescent="0.25">
      <c r="A240" t="s">
        <v>1618</v>
      </c>
      <c r="B240">
        <v>238</v>
      </c>
      <c r="C240" t="s">
        <v>56</v>
      </c>
      <c r="D240">
        <v>3</v>
      </c>
      <c r="F240">
        <v>3</v>
      </c>
      <c r="G240" t="s">
        <v>120</v>
      </c>
      <c r="H240" t="s">
        <v>69</v>
      </c>
      <c r="I240" t="s">
        <v>87</v>
      </c>
      <c r="J240" t="s">
        <v>125</v>
      </c>
      <c r="K240" t="s">
        <v>63</v>
      </c>
      <c r="L240">
        <v>3</v>
      </c>
      <c r="N240">
        <v>2</v>
      </c>
      <c r="O240" t="s">
        <v>103</v>
      </c>
      <c r="P240" t="s">
        <v>91</v>
      </c>
      <c r="Q240" t="s">
        <v>147</v>
      </c>
      <c r="R240" t="s">
        <v>151</v>
      </c>
      <c r="S240" t="s">
        <v>43</v>
      </c>
      <c r="T240">
        <v>1</v>
      </c>
      <c r="V240">
        <v>1</v>
      </c>
      <c r="W240" t="s">
        <v>73</v>
      </c>
      <c r="X240" t="s">
        <v>136</v>
      </c>
      <c r="Y240" t="s">
        <v>75</v>
      </c>
      <c r="AA240" t="s">
        <v>38</v>
      </c>
      <c r="AB240">
        <v>2</v>
      </c>
      <c r="AC240">
        <v>2</v>
      </c>
      <c r="AD240">
        <v>3</v>
      </c>
      <c r="AE240" t="s">
        <v>39</v>
      </c>
      <c r="AF240" t="s">
        <v>96</v>
      </c>
      <c r="AG240" t="s">
        <v>154</v>
      </c>
      <c r="AH240" t="s">
        <v>156</v>
      </c>
      <c r="AI240">
        <v>0</v>
      </c>
      <c r="AJ240">
        <v>27</v>
      </c>
    </row>
    <row r="241" spans="1:36" x14ac:dyDescent="0.25">
      <c r="A241" t="s">
        <v>1417</v>
      </c>
      <c r="B241">
        <v>239</v>
      </c>
      <c r="C241" t="s">
        <v>56</v>
      </c>
      <c r="D241">
        <v>3</v>
      </c>
      <c r="F241">
        <v>2</v>
      </c>
      <c r="G241" t="s">
        <v>120</v>
      </c>
      <c r="H241" t="s">
        <v>69</v>
      </c>
      <c r="I241" t="s">
        <v>87</v>
      </c>
      <c r="K241" t="s">
        <v>63</v>
      </c>
      <c r="L241">
        <v>3</v>
      </c>
      <c r="N241">
        <v>1</v>
      </c>
      <c r="O241" t="s">
        <v>145</v>
      </c>
      <c r="P241" t="s">
        <v>91</v>
      </c>
      <c r="Q241" t="s">
        <v>147</v>
      </c>
      <c r="R241" t="s">
        <v>151</v>
      </c>
      <c r="S241" t="s">
        <v>43</v>
      </c>
      <c r="T241">
        <v>1</v>
      </c>
      <c r="V241">
        <v>1</v>
      </c>
      <c r="W241" t="s">
        <v>73</v>
      </c>
      <c r="X241" t="s">
        <v>136</v>
      </c>
      <c r="Y241" t="s">
        <v>137</v>
      </c>
      <c r="AA241" t="s">
        <v>227</v>
      </c>
      <c r="AB241">
        <v>1</v>
      </c>
      <c r="AC241">
        <v>3</v>
      </c>
      <c r="AD241">
        <v>3</v>
      </c>
      <c r="AE241" t="s">
        <v>229</v>
      </c>
      <c r="AF241" t="s">
        <v>231</v>
      </c>
      <c r="AI241">
        <v>0</v>
      </c>
      <c r="AJ241">
        <v>21</v>
      </c>
    </row>
    <row r="242" spans="1:36" x14ac:dyDescent="0.25">
      <c r="A242" t="s">
        <v>1418</v>
      </c>
      <c r="B242">
        <v>240</v>
      </c>
      <c r="C242" t="s">
        <v>56</v>
      </c>
      <c r="D242">
        <v>2</v>
      </c>
      <c r="F242">
        <v>1</v>
      </c>
      <c r="G242" t="s">
        <v>57</v>
      </c>
      <c r="H242" t="s">
        <v>122</v>
      </c>
      <c r="I242" t="s">
        <v>87</v>
      </c>
      <c r="J242" t="s">
        <v>125</v>
      </c>
      <c r="K242" t="s">
        <v>63</v>
      </c>
      <c r="L242">
        <v>1</v>
      </c>
      <c r="N242">
        <v>1</v>
      </c>
      <c r="O242" t="s">
        <v>103</v>
      </c>
      <c r="P242" t="s">
        <v>146</v>
      </c>
      <c r="Q242" t="s">
        <v>148</v>
      </c>
      <c r="R242" t="s">
        <v>150</v>
      </c>
      <c r="S242" t="s">
        <v>45</v>
      </c>
      <c r="T242">
        <v>3</v>
      </c>
      <c r="V242">
        <v>1</v>
      </c>
      <c r="W242" t="s">
        <v>86</v>
      </c>
      <c r="X242" t="s">
        <v>141</v>
      </c>
      <c r="Y242" t="s">
        <v>102</v>
      </c>
      <c r="Z242" t="s">
        <v>144</v>
      </c>
      <c r="AA242" t="s">
        <v>38</v>
      </c>
      <c r="AB242">
        <v>1</v>
      </c>
      <c r="AC242">
        <v>1</v>
      </c>
      <c r="AD242">
        <v>1</v>
      </c>
      <c r="AE242" t="s">
        <v>39</v>
      </c>
      <c r="AF242" t="s">
        <v>96</v>
      </c>
      <c r="AG242" t="s">
        <v>153</v>
      </c>
      <c r="AI242">
        <v>0</v>
      </c>
      <c r="AJ242">
        <v>19</v>
      </c>
    </row>
    <row r="243" spans="1:36" x14ac:dyDescent="0.25">
      <c r="A243" t="s">
        <v>1419</v>
      </c>
      <c r="B243">
        <v>241</v>
      </c>
      <c r="C243" t="s">
        <v>45</v>
      </c>
      <c r="D243">
        <v>3</v>
      </c>
      <c r="F243">
        <v>1</v>
      </c>
      <c r="G243" t="s">
        <v>86</v>
      </c>
      <c r="K243" t="s">
        <v>227</v>
      </c>
      <c r="L243">
        <v>3</v>
      </c>
      <c r="M243">
        <v>1</v>
      </c>
      <c r="N243">
        <v>3</v>
      </c>
      <c r="O243" t="s">
        <v>229</v>
      </c>
      <c r="P243" t="s">
        <v>231</v>
      </c>
      <c r="Q243" t="s">
        <v>234</v>
      </c>
      <c r="R243" t="s">
        <v>239</v>
      </c>
      <c r="S243" t="s">
        <v>56</v>
      </c>
      <c r="T243">
        <v>2</v>
      </c>
      <c r="V243">
        <v>2</v>
      </c>
      <c r="W243" t="s">
        <v>57</v>
      </c>
      <c r="AA243" t="s">
        <v>63</v>
      </c>
      <c r="AB243">
        <v>3</v>
      </c>
      <c r="AD243">
        <v>2</v>
      </c>
      <c r="AE243" t="s">
        <v>145</v>
      </c>
      <c r="AF243" t="s">
        <v>91</v>
      </c>
      <c r="AG243" t="s">
        <v>148</v>
      </c>
      <c r="AH243" t="s">
        <v>151</v>
      </c>
      <c r="AI243">
        <v>0</v>
      </c>
      <c r="AJ243">
        <v>21</v>
      </c>
    </row>
    <row r="244" spans="1:36" x14ac:dyDescent="0.25">
      <c r="A244" t="s">
        <v>1420</v>
      </c>
      <c r="B244">
        <v>242</v>
      </c>
      <c r="C244" t="s">
        <v>56</v>
      </c>
      <c r="D244">
        <v>3</v>
      </c>
      <c r="F244">
        <v>3</v>
      </c>
      <c r="G244" t="s">
        <v>57</v>
      </c>
      <c r="H244" t="s">
        <v>122</v>
      </c>
      <c r="I244" t="s">
        <v>85</v>
      </c>
      <c r="J244" t="s">
        <v>125</v>
      </c>
      <c r="K244" t="s">
        <v>63</v>
      </c>
      <c r="L244">
        <v>3</v>
      </c>
      <c r="N244">
        <v>3</v>
      </c>
      <c r="O244" t="s">
        <v>72</v>
      </c>
      <c r="P244" t="s">
        <v>91</v>
      </c>
      <c r="Q244" t="s">
        <v>148</v>
      </c>
      <c r="R244" t="s">
        <v>150</v>
      </c>
      <c r="S244" t="s">
        <v>38</v>
      </c>
      <c r="T244">
        <v>1</v>
      </c>
      <c r="U244">
        <v>1</v>
      </c>
      <c r="V244">
        <v>2</v>
      </c>
      <c r="W244" t="s">
        <v>39</v>
      </c>
      <c r="X244" t="s">
        <v>96</v>
      </c>
      <c r="AA244" t="s">
        <v>227</v>
      </c>
      <c r="AB244">
        <v>3</v>
      </c>
      <c r="AC244">
        <v>3</v>
      </c>
      <c r="AD244">
        <v>3</v>
      </c>
      <c r="AE244" t="s">
        <v>229</v>
      </c>
      <c r="AF244" t="s">
        <v>232</v>
      </c>
      <c r="AG244" t="s">
        <v>235</v>
      </c>
      <c r="AH244" t="s">
        <v>239</v>
      </c>
      <c r="AI244">
        <v>0</v>
      </c>
      <c r="AJ244">
        <v>33</v>
      </c>
    </row>
    <row r="245" spans="1:36" x14ac:dyDescent="0.25">
      <c r="A245" t="s">
        <v>1421</v>
      </c>
      <c r="B245">
        <v>243</v>
      </c>
      <c r="C245" t="s">
        <v>48</v>
      </c>
      <c r="D245">
        <v>3</v>
      </c>
      <c r="F245">
        <v>2</v>
      </c>
      <c r="G245" t="s">
        <v>126</v>
      </c>
      <c r="H245" t="s">
        <v>84</v>
      </c>
      <c r="I245" t="s">
        <v>127</v>
      </c>
      <c r="J245" t="s">
        <v>52</v>
      </c>
      <c r="K245" t="s">
        <v>33</v>
      </c>
      <c r="L245">
        <v>1</v>
      </c>
      <c r="N245">
        <v>2</v>
      </c>
      <c r="O245" t="s">
        <v>46</v>
      </c>
      <c r="P245" t="s">
        <v>66</v>
      </c>
      <c r="S245" t="s">
        <v>56</v>
      </c>
      <c r="T245">
        <v>3</v>
      </c>
      <c r="V245">
        <v>2</v>
      </c>
      <c r="W245" t="s">
        <v>120</v>
      </c>
      <c r="X245" t="s">
        <v>69</v>
      </c>
      <c r="Y245" t="s">
        <v>87</v>
      </c>
      <c r="Z245" t="s">
        <v>124</v>
      </c>
      <c r="AA245" t="s">
        <v>38</v>
      </c>
      <c r="AB245">
        <v>1</v>
      </c>
      <c r="AC245">
        <v>1</v>
      </c>
      <c r="AD245">
        <v>2</v>
      </c>
      <c r="AE245" t="s">
        <v>39</v>
      </c>
      <c r="AF245" t="s">
        <v>96</v>
      </c>
      <c r="AI245">
        <v>0</v>
      </c>
      <c r="AJ245">
        <v>21</v>
      </c>
    </row>
    <row r="246" spans="1:36" x14ac:dyDescent="0.25">
      <c r="A246" t="s">
        <v>1619</v>
      </c>
      <c r="B246">
        <v>244</v>
      </c>
      <c r="C246" t="s">
        <v>48</v>
      </c>
      <c r="D246">
        <v>2</v>
      </c>
      <c r="F246">
        <v>2</v>
      </c>
      <c r="G246" t="s">
        <v>49</v>
      </c>
      <c r="H246" t="s">
        <v>50</v>
      </c>
      <c r="I246" t="s">
        <v>127</v>
      </c>
      <c r="J246" t="s">
        <v>129</v>
      </c>
      <c r="K246" t="s">
        <v>43</v>
      </c>
      <c r="L246">
        <v>3</v>
      </c>
      <c r="N246">
        <v>1</v>
      </c>
      <c r="O246" t="s">
        <v>73</v>
      </c>
      <c r="P246" t="s">
        <v>99</v>
      </c>
      <c r="Q246" t="s">
        <v>137</v>
      </c>
      <c r="R246" t="s">
        <v>139</v>
      </c>
      <c r="S246" t="s">
        <v>56</v>
      </c>
      <c r="T246">
        <v>2</v>
      </c>
      <c r="V246">
        <v>1</v>
      </c>
      <c r="W246" t="s">
        <v>120</v>
      </c>
      <c r="AA246" t="s">
        <v>38</v>
      </c>
      <c r="AB246">
        <v>1</v>
      </c>
      <c r="AC246">
        <v>2</v>
      </c>
      <c r="AD246">
        <v>2</v>
      </c>
      <c r="AE246" t="s">
        <v>39</v>
      </c>
      <c r="AF246" t="s">
        <v>40</v>
      </c>
      <c r="AG246" t="s">
        <v>153</v>
      </c>
      <c r="AH246" t="s">
        <v>155</v>
      </c>
      <c r="AI246">
        <v>0</v>
      </c>
      <c r="AJ246">
        <v>21</v>
      </c>
    </row>
    <row r="247" spans="1:36" x14ac:dyDescent="0.25">
      <c r="A247" t="s">
        <v>1422</v>
      </c>
      <c r="B247">
        <v>245</v>
      </c>
      <c r="C247" t="s">
        <v>48</v>
      </c>
      <c r="D247">
        <v>2</v>
      </c>
      <c r="F247">
        <v>1</v>
      </c>
      <c r="G247" t="s">
        <v>49</v>
      </c>
      <c r="H247" t="s">
        <v>71</v>
      </c>
      <c r="I247" t="s">
        <v>127</v>
      </c>
      <c r="J247" t="s">
        <v>52</v>
      </c>
      <c r="K247" t="s">
        <v>45</v>
      </c>
      <c r="L247">
        <v>3</v>
      </c>
      <c r="N247">
        <v>2</v>
      </c>
      <c r="O247" t="s">
        <v>140</v>
      </c>
      <c r="S247" t="s">
        <v>56</v>
      </c>
      <c r="T247">
        <v>3</v>
      </c>
      <c r="V247">
        <v>1</v>
      </c>
      <c r="W247" t="s">
        <v>120</v>
      </c>
      <c r="X247" t="s">
        <v>69</v>
      </c>
      <c r="AA247" t="s">
        <v>38</v>
      </c>
      <c r="AB247">
        <v>1</v>
      </c>
      <c r="AC247">
        <v>1</v>
      </c>
      <c r="AD247">
        <v>2</v>
      </c>
      <c r="AE247" t="s">
        <v>39</v>
      </c>
      <c r="AF247" t="s">
        <v>96</v>
      </c>
      <c r="AI247">
        <v>0</v>
      </c>
      <c r="AJ247">
        <v>16</v>
      </c>
    </row>
    <row r="248" spans="1:36" x14ac:dyDescent="0.25">
      <c r="A248" t="s">
        <v>1423</v>
      </c>
      <c r="B248">
        <v>246</v>
      </c>
      <c r="C248" t="s">
        <v>48</v>
      </c>
      <c r="D248">
        <v>3</v>
      </c>
      <c r="F248">
        <v>3</v>
      </c>
      <c r="G248" t="s">
        <v>49</v>
      </c>
      <c r="H248" t="s">
        <v>50</v>
      </c>
      <c r="I248" t="s">
        <v>127</v>
      </c>
      <c r="J248" t="s">
        <v>128</v>
      </c>
      <c r="K248" t="s">
        <v>63</v>
      </c>
      <c r="L248">
        <v>1</v>
      </c>
      <c r="N248">
        <v>2</v>
      </c>
      <c r="O248" t="s">
        <v>103</v>
      </c>
      <c r="P248" t="s">
        <v>146</v>
      </c>
      <c r="S248" t="s">
        <v>56</v>
      </c>
      <c r="T248">
        <v>3</v>
      </c>
      <c r="V248">
        <v>1</v>
      </c>
      <c r="W248" t="s">
        <v>57</v>
      </c>
      <c r="X248" t="s">
        <v>122</v>
      </c>
      <c r="AA248" t="s">
        <v>38</v>
      </c>
      <c r="AB248">
        <v>3</v>
      </c>
      <c r="AC248">
        <v>2</v>
      </c>
      <c r="AD248">
        <v>3</v>
      </c>
      <c r="AE248" t="s">
        <v>39</v>
      </c>
      <c r="AF248" t="s">
        <v>40</v>
      </c>
      <c r="AG248" t="s">
        <v>153</v>
      </c>
      <c r="AH248" t="s">
        <v>42</v>
      </c>
      <c r="AI248">
        <v>0</v>
      </c>
      <c r="AJ248">
        <v>25</v>
      </c>
    </row>
    <row r="249" spans="1:36" x14ac:dyDescent="0.25">
      <c r="A249" t="s">
        <v>1424</v>
      </c>
      <c r="B249">
        <v>247</v>
      </c>
      <c r="C249" t="s">
        <v>48</v>
      </c>
      <c r="D249">
        <v>1</v>
      </c>
      <c r="F249">
        <v>1</v>
      </c>
      <c r="G249" t="s">
        <v>126</v>
      </c>
      <c r="H249" t="s">
        <v>50</v>
      </c>
      <c r="I249" t="s">
        <v>90</v>
      </c>
      <c r="J249" t="s">
        <v>129</v>
      </c>
      <c r="K249" t="s">
        <v>227</v>
      </c>
      <c r="L249">
        <v>3</v>
      </c>
      <c r="M249">
        <v>1</v>
      </c>
      <c r="N249">
        <v>3</v>
      </c>
      <c r="O249" t="s">
        <v>229</v>
      </c>
      <c r="P249" t="s">
        <v>231</v>
      </c>
      <c r="Q249" t="s">
        <v>235</v>
      </c>
      <c r="R249" t="s">
        <v>238</v>
      </c>
      <c r="S249" t="s">
        <v>56</v>
      </c>
      <c r="T249">
        <v>3</v>
      </c>
      <c r="V249">
        <v>3</v>
      </c>
      <c r="W249" t="s">
        <v>120</v>
      </c>
      <c r="AA249" t="s">
        <v>38</v>
      </c>
      <c r="AB249">
        <v>1</v>
      </c>
      <c r="AC249">
        <v>3</v>
      </c>
      <c r="AD249">
        <v>3</v>
      </c>
      <c r="AE249" t="s">
        <v>39</v>
      </c>
      <c r="AF249" t="s">
        <v>40</v>
      </c>
      <c r="AG249" t="s">
        <v>154</v>
      </c>
      <c r="AH249" t="s">
        <v>156</v>
      </c>
      <c r="AI249">
        <v>0</v>
      </c>
      <c r="AJ249">
        <v>25</v>
      </c>
    </row>
    <row r="250" spans="1:36" x14ac:dyDescent="0.25">
      <c r="A250" t="s">
        <v>1425</v>
      </c>
      <c r="B250">
        <v>248</v>
      </c>
      <c r="C250" t="s">
        <v>56</v>
      </c>
      <c r="D250">
        <v>2</v>
      </c>
      <c r="F250">
        <v>1</v>
      </c>
      <c r="G250" t="s">
        <v>68</v>
      </c>
      <c r="H250" t="s">
        <v>122</v>
      </c>
      <c r="K250" t="s">
        <v>38</v>
      </c>
      <c r="L250">
        <v>1</v>
      </c>
      <c r="M250">
        <v>1</v>
      </c>
      <c r="N250">
        <v>2</v>
      </c>
      <c r="O250" t="s">
        <v>67</v>
      </c>
      <c r="P250" t="s">
        <v>70</v>
      </c>
      <c r="Q250" t="s">
        <v>41</v>
      </c>
      <c r="S250" t="s">
        <v>33</v>
      </c>
      <c r="T250">
        <v>1</v>
      </c>
      <c r="V250">
        <v>1</v>
      </c>
      <c r="W250" t="s">
        <v>46</v>
      </c>
      <c r="AA250" t="s">
        <v>43</v>
      </c>
      <c r="AB250">
        <v>1</v>
      </c>
      <c r="AD250">
        <v>1</v>
      </c>
      <c r="AE250" t="s">
        <v>73</v>
      </c>
      <c r="AF250" t="s">
        <v>99</v>
      </c>
      <c r="AG250" t="s">
        <v>100</v>
      </c>
      <c r="AI250">
        <v>0</v>
      </c>
      <c r="AJ250">
        <v>13</v>
      </c>
    </row>
    <row r="251" spans="1:36" x14ac:dyDescent="0.25">
      <c r="A251" t="s">
        <v>1620</v>
      </c>
      <c r="B251">
        <v>249</v>
      </c>
      <c r="C251" t="s">
        <v>56</v>
      </c>
      <c r="D251">
        <v>1</v>
      </c>
      <c r="F251">
        <v>3</v>
      </c>
      <c r="G251" t="s">
        <v>68</v>
      </c>
      <c r="H251" t="s">
        <v>69</v>
      </c>
      <c r="I251" t="s">
        <v>87</v>
      </c>
      <c r="K251" t="s">
        <v>38</v>
      </c>
      <c r="L251">
        <v>1</v>
      </c>
      <c r="M251">
        <v>3</v>
      </c>
      <c r="N251">
        <v>2</v>
      </c>
      <c r="O251" t="s">
        <v>67</v>
      </c>
      <c r="P251" t="s">
        <v>96</v>
      </c>
      <c r="S251" t="s">
        <v>33</v>
      </c>
      <c r="T251">
        <v>1</v>
      </c>
      <c r="V251">
        <v>2</v>
      </c>
      <c r="W251" t="s">
        <v>46</v>
      </c>
      <c r="AA251" t="s">
        <v>45</v>
      </c>
      <c r="AB251">
        <v>3</v>
      </c>
      <c r="AD251">
        <v>2</v>
      </c>
      <c r="AE251" t="s">
        <v>140</v>
      </c>
      <c r="AF251" t="s">
        <v>76</v>
      </c>
      <c r="AI251">
        <v>0</v>
      </c>
      <c r="AJ251">
        <v>17</v>
      </c>
    </row>
    <row r="252" spans="1:36" x14ac:dyDescent="0.25">
      <c r="A252" t="s">
        <v>1621</v>
      </c>
      <c r="B252">
        <v>250</v>
      </c>
      <c r="C252" t="s">
        <v>33</v>
      </c>
      <c r="D252">
        <v>1</v>
      </c>
      <c r="F252">
        <v>1</v>
      </c>
      <c r="G252" t="s">
        <v>46</v>
      </c>
      <c r="H252" t="s">
        <v>66</v>
      </c>
      <c r="K252" t="s">
        <v>63</v>
      </c>
      <c r="L252">
        <v>3</v>
      </c>
      <c r="N252">
        <v>2</v>
      </c>
      <c r="O252" t="s">
        <v>103</v>
      </c>
      <c r="P252" t="s">
        <v>146</v>
      </c>
      <c r="Q252" t="s">
        <v>104</v>
      </c>
      <c r="R252" t="s">
        <v>150</v>
      </c>
      <c r="S252" t="s">
        <v>56</v>
      </c>
      <c r="T252">
        <v>3</v>
      </c>
      <c r="V252">
        <v>2</v>
      </c>
      <c r="W252" t="s">
        <v>57</v>
      </c>
      <c r="X252" t="s">
        <v>122</v>
      </c>
      <c r="Y252" t="s">
        <v>87</v>
      </c>
      <c r="Z252" t="s">
        <v>124</v>
      </c>
      <c r="AA252" t="s">
        <v>38</v>
      </c>
      <c r="AB252">
        <v>1</v>
      </c>
      <c r="AC252">
        <v>1</v>
      </c>
      <c r="AD252">
        <v>1</v>
      </c>
      <c r="AE252" t="s">
        <v>39</v>
      </c>
      <c r="AF252" t="s">
        <v>40</v>
      </c>
      <c r="AI252">
        <v>0</v>
      </c>
      <c r="AJ252">
        <v>18</v>
      </c>
    </row>
    <row r="253" spans="1:36" x14ac:dyDescent="0.25">
      <c r="A253" t="s">
        <v>1622</v>
      </c>
      <c r="B253">
        <v>251</v>
      </c>
      <c r="C253" t="s">
        <v>56</v>
      </c>
      <c r="D253">
        <v>1</v>
      </c>
      <c r="F253">
        <v>1</v>
      </c>
      <c r="G253" t="s">
        <v>57</v>
      </c>
      <c r="H253" t="s">
        <v>122</v>
      </c>
      <c r="I253" t="s">
        <v>85</v>
      </c>
      <c r="J253" t="s">
        <v>88</v>
      </c>
      <c r="K253" t="s">
        <v>38</v>
      </c>
      <c r="L253">
        <v>1</v>
      </c>
      <c r="M253">
        <v>1</v>
      </c>
      <c r="N253">
        <v>2</v>
      </c>
      <c r="O253" t="s">
        <v>67</v>
      </c>
      <c r="P253" t="s">
        <v>70</v>
      </c>
      <c r="Q253" t="s">
        <v>41</v>
      </c>
      <c r="S253" t="s">
        <v>33</v>
      </c>
      <c r="T253">
        <v>1</v>
      </c>
      <c r="V253">
        <v>1</v>
      </c>
      <c r="W253" t="s">
        <v>46</v>
      </c>
      <c r="AA253" t="s">
        <v>227</v>
      </c>
      <c r="AB253">
        <v>2</v>
      </c>
      <c r="AC253">
        <v>1</v>
      </c>
      <c r="AD253">
        <v>2</v>
      </c>
      <c r="AE253" t="s">
        <v>228</v>
      </c>
      <c r="AF253" t="s">
        <v>231</v>
      </c>
      <c r="AI253">
        <v>0</v>
      </c>
      <c r="AJ253">
        <v>13</v>
      </c>
    </row>
    <row r="254" spans="1:36" x14ac:dyDescent="0.25">
      <c r="A254" t="s">
        <v>1426</v>
      </c>
      <c r="B254">
        <v>252</v>
      </c>
      <c r="C254" t="s">
        <v>43</v>
      </c>
      <c r="D254">
        <v>2</v>
      </c>
      <c r="F254">
        <v>1</v>
      </c>
      <c r="G254" t="s">
        <v>44</v>
      </c>
      <c r="K254" t="s">
        <v>45</v>
      </c>
      <c r="L254">
        <v>3</v>
      </c>
      <c r="N254">
        <v>1</v>
      </c>
      <c r="O254" t="s">
        <v>140</v>
      </c>
      <c r="P254" t="s">
        <v>141</v>
      </c>
      <c r="S254" t="s">
        <v>56</v>
      </c>
      <c r="T254">
        <v>2</v>
      </c>
      <c r="V254">
        <v>1</v>
      </c>
      <c r="W254" t="s">
        <v>120</v>
      </c>
      <c r="X254" t="s">
        <v>122</v>
      </c>
      <c r="AA254" t="s">
        <v>38</v>
      </c>
      <c r="AB254">
        <v>1</v>
      </c>
      <c r="AC254">
        <v>1</v>
      </c>
      <c r="AD254">
        <v>2</v>
      </c>
      <c r="AE254" t="s">
        <v>39</v>
      </c>
      <c r="AF254" t="s">
        <v>40</v>
      </c>
      <c r="AI254">
        <v>0</v>
      </c>
      <c r="AJ254">
        <v>12</v>
      </c>
    </row>
    <row r="255" spans="1:36" x14ac:dyDescent="0.25">
      <c r="A255" t="s">
        <v>1623</v>
      </c>
      <c r="B255">
        <v>253</v>
      </c>
      <c r="C255" t="s">
        <v>43</v>
      </c>
      <c r="D255">
        <v>2</v>
      </c>
      <c r="F255">
        <v>1</v>
      </c>
      <c r="G255" t="s">
        <v>44</v>
      </c>
      <c r="K255" t="s">
        <v>63</v>
      </c>
      <c r="L255">
        <v>2</v>
      </c>
      <c r="N255">
        <v>1</v>
      </c>
      <c r="O255" t="s">
        <v>103</v>
      </c>
      <c r="P255" t="s">
        <v>146</v>
      </c>
      <c r="Q255" t="s">
        <v>104</v>
      </c>
      <c r="S255" t="s">
        <v>56</v>
      </c>
      <c r="T255">
        <v>3</v>
      </c>
      <c r="V255">
        <v>1</v>
      </c>
      <c r="W255" t="s">
        <v>120</v>
      </c>
      <c r="X255" t="s">
        <v>69</v>
      </c>
      <c r="AA255" t="s">
        <v>38</v>
      </c>
      <c r="AB255">
        <v>1</v>
      </c>
      <c r="AC255">
        <v>1</v>
      </c>
      <c r="AD255">
        <v>2</v>
      </c>
      <c r="AE255" t="s">
        <v>39</v>
      </c>
      <c r="AI255">
        <v>0</v>
      </c>
      <c r="AJ255">
        <v>12</v>
      </c>
    </row>
    <row r="256" spans="1:36" x14ac:dyDescent="0.25">
      <c r="A256" t="s">
        <v>1427</v>
      </c>
      <c r="B256">
        <v>254</v>
      </c>
      <c r="C256" t="s">
        <v>56</v>
      </c>
      <c r="D256">
        <v>3</v>
      </c>
      <c r="F256">
        <v>3</v>
      </c>
      <c r="G256" t="s">
        <v>120</v>
      </c>
      <c r="H256" t="s">
        <v>69</v>
      </c>
      <c r="I256" t="s">
        <v>87</v>
      </c>
      <c r="J256" t="s">
        <v>125</v>
      </c>
      <c r="K256" t="s">
        <v>38</v>
      </c>
      <c r="L256">
        <v>2</v>
      </c>
      <c r="M256">
        <v>3</v>
      </c>
      <c r="N256">
        <v>2</v>
      </c>
      <c r="O256" t="s">
        <v>39</v>
      </c>
      <c r="P256" t="s">
        <v>70</v>
      </c>
      <c r="Q256" t="s">
        <v>41</v>
      </c>
      <c r="R256" t="s">
        <v>156</v>
      </c>
      <c r="S256" t="s">
        <v>43</v>
      </c>
      <c r="T256">
        <v>1</v>
      </c>
      <c r="V256">
        <v>1</v>
      </c>
      <c r="W256" t="s">
        <v>73</v>
      </c>
      <c r="X256" t="s">
        <v>136</v>
      </c>
      <c r="AA256" t="s">
        <v>227</v>
      </c>
      <c r="AB256">
        <v>1</v>
      </c>
      <c r="AC256">
        <v>3</v>
      </c>
      <c r="AD256">
        <v>3</v>
      </c>
      <c r="AE256" t="s">
        <v>229</v>
      </c>
      <c r="AF256" t="s">
        <v>233</v>
      </c>
      <c r="AG256" t="s">
        <v>235</v>
      </c>
      <c r="AH256" t="s">
        <v>238</v>
      </c>
      <c r="AI256">
        <v>0</v>
      </c>
      <c r="AJ256">
        <v>27</v>
      </c>
    </row>
    <row r="257" spans="1:36" x14ac:dyDescent="0.25">
      <c r="A257" t="s">
        <v>1428</v>
      </c>
      <c r="B257">
        <v>255</v>
      </c>
      <c r="C257" t="s">
        <v>45</v>
      </c>
      <c r="D257">
        <v>3</v>
      </c>
      <c r="F257">
        <v>2</v>
      </c>
      <c r="G257" t="s">
        <v>140</v>
      </c>
      <c r="H257" t="s">
        <v>76</v>
      </c>
      <c r="I257" t="s">
        <v>102</v>
      </c>
      <c r="K257" t="s">
        <v>63</v>
      </c>
      <c r="L257">
        <v>1</v>
      </c>
      <c r="N257">
        <v>1</v>
      </c>
      <c r="O257" t="s">
        <v>103</v>
      </c>
      <c r="P257" t="s">
        <v>146</v>
      </c>
      <c r="Q257" t="s">
        <v>147</v>
      </c>
      <c r="S257" t="s">
        <v>56</v>
      </c>
      <c r="T257">
        <v>3</v>
      </c>
      <c r="V257">
        <v>1</v>
      </c>
      <c r="W257" t="s">
        <v>57</v>
      </c>
      <c r="X257" t="s">
        <v>122</v>
      </c>
      <c r="Y257" t="s">
        <v>85</v>
      </c>
      <c r="AA257" t="s">
        <v>38</v>
      </c>
      <c r="AB257">
        <v>1</v>
      </c>
      <c r="AC257">
        <v>1</v>
      </c>
      <c r="AD257">
        <v>2</v>
      </c>
      <c r="AE257" t="s">
        <v>39</v>
      </c>
      <c r="AF257" t="s">
        <v>96</v>
      </c>
      <c r="AG257" t="s">
        <v>153</v>
      </c>
      <c r="AH257" t="s">
        <v>155</v>
      </c>
      <c r="AI257">
        <v>0</v>
      </c>
      <c r="AJ257">
        <v>19</v>
      </c>
    </row>
    <row r="258" spans="1:36" x14ac:dyDescent="0.25">
      <c r="A258" t="s">
        <v>1624</v>
      </c>
      <c r="B258">
        <v>256</v>
      </c>
      <c r="C258" t="s">
        <v>56</v>
      </c>
      <c r="D258">
        <v>3</v>
      </c>
      <c r="F258">
        <v>3</v>
      </c>
      <c r="G258" t="s">
        <v>57</v>
      </c>
      <c r="K258" t="s">
        <v>38</v>
      </c>
      <c r="L258">
        <v>2</v>
      </c>
      <c r="M258">
        <v>1</v>
      </c>
      <c r="N258">
        <v>1</v>
      </c>
      <c r="O258" t="s">
        <v>39</v>
      </c>
      <c r="P258" t="s">
        <v>70</v>
      </c>
      <c r="Q258" t="s">
        <v>153</v>
      </c>
      <c r="R258" t="s">
        <v>156</v>
      </c>
      <c r="S258" t="s">
        <v>45</v>
      </c>
      <c r="T258">
        <v>3</v>
      </c>
      <c r="V258">
        <v>2</v>
      </c>
      <c r="W258" t="s">
        <v>140</v>
      </c>
      <c r="X258" t="s">
        <v>141</v>
      </c>
      <c r="AA258" t="s">
        <v>227</v>
      </c>
      <c r="AB258">
        <v>2</v>
      </c>
      <c r="AC258">
        <v>1</v>
      </c>
      <c r="AD258">
        <v>2</v>
      </c>
      <c r="AE258" t="s">
        <v>228</v>
      </c>
      <c r="AI258">
        <v>0</v>
      </c>
      <c r="AJ258">
        <v>18</v>
      </c>
    </row>
    <row r="259" spans="1:36" x14ac:dyDescent="0.25">
      <c r="A259" t="s">
        <v>1625</v>
      </c>
      <c r="B259">
        <v>257</v>
      </c>
      <c r="C259" t="s">
        <v>63</v>
      </c>
      <c r="D259">
        <v>3</v>
      </c>
      <c r="F259">
        <v>2</v>
      </c>
      <c r="G259" t="s">
        <v>103</v>
      </c>
      <c r="H259" t="s">
        <v>146</v>
      </c>
      <c r="I259" t="s">
        <v>104</v>
      </c>
      <c r="J259" t="s">
        <v>151</v>
      </c>
      <c r="K259" t="s">
        <v>227</v>
      </c>
      <c r="L259">
        <v>3</v>
      </c>
      <c r="M259">
        <v>1</v>
      </c>
      <c r="N259">
        <v>3</v>
      </c>
      <c r="O259" t="s">
        <v>229</v>
      </c>
      <c r="P259" t="s">
        <v>231</v>
      </c>
      <c r="Q259" t="s">
        <v>235</v>
      </c>
      <c r="R259" t="s">
        <v>238</v>
      </c>
      <c r="S259" t="s">
        <v>56</v>
      </c>
      <c r="T259">
        <v>3</v>
      </c>
      <c r="V259">
        <v>1</v>
      </c>
      <c r="W259" t="s">
        <v>57</v>
      </c>
      <c r="AA259" t="s">
        <v>38</v>
      </c>
      <c r="AB259">
        <v>3</v>
      </c>
      <c r="AC259">
        <v>2</v>
      </c>
      <c r="AD259">
        <v>2</v>
      </c>
      <c r="AE259" t="s">
        <v>39</v>
      </c>
      <c r="AF259" t="s">
        <v>96</v>
      </c>
      <c r="AG259" t="s">
        <v>153</v>
      </c>
      <c r="AH259" t="s">
        <v>155</v>
      </c>
      <c r="AI259">
        <v>0</v>
      </c>
      <c r="AJ259">
        <v>26</v>
      </c>
    </row>
    <row r="260" spans="1:36" x14ac:dyDescent="0.25">
      <c r="A260" t="s">
        <v>1626</v>
      </c>
      <c r="B260">
        <v>258</v>
      </c>
      <c r="C260" t="s">
        <v>48</v>
      </c>
      <c r="D260">
        <v>2</v>
      </c>
      <c r="F260">
        <v>1</v>
      </c>
      <c r="G260" t="s">
        <v>89</v>
      </c>
      <c r="H260" t="s">
        <v>84</v>
      </c>
      <c r="I260" t="s">
        <v>127</v>
      </c>
      <c r="J260" t="s">
        <v>128</v>
      </c>
      <c r="K260" t="s">
        <v>33</v>
      </c>
      <c r="L260">
        <v>1</v>
      </c>
      <c r="N260">
        <v>3</v>
      </c>
      <c r="O260" t="s">
        <v>46</v>
      </c>
      <c r="S260" t="s">
        <v>56</v>
      </c>
      <c r="T260">
        <v>2</v>
      </c>
      <c r="V260">
        <v>1</v>
      </c>
      <c r="W260" t="s">
        <v>120</v>
      </c>
      <c r="X260" t="s">
        <v>69</v>
      </c>
      <c r="Y260" t="s">
        <v>123</v>
      </c>
      <c r="AA260" t="s">
        <v>227</v>
      </c>
      <c r="AB260">
        <v>2</v>
      </c>
      <c r="AC260">
        <v>1</v>
      </c>
      <c r="AD260">
        <v>1</v>
      </c>
      <c r="AE260" t="s">
        <v>228</v>
      </c>
      <c r="AI260">
        <v>0</v>
      </c>
      <c r="AJ260">
        <v>14</v>
      </c>
    </row>
    <row r="261" spans="1:36" x14ac:dyDescent="0.25">
      <c r="A261" t="s">
        <v>1429</v>
      </c>
      <c r="B261">
        <v>259</v>
      </c>
      <c r="C261" t="s">
        <v>56</v>
      </c>
      <c r="D261">
        <v>2</v>
      </c>
      <c r="F261">
        <v>2</v>
      </c>
      <c r="G261" t="s">
        <v>120</v>
      </c>
      <c r="H261" t="s">
        <v>122</v>
      </c>
      <c r="K261" t="s">
        <v>227</v>
      </c>
      <c r="L261">
        <v>3</v>
      </c>
      <c r="M261">
        <v>3</v>
      </c>
      <c r="N261">
        <v>3</v>
      </c>
      <c r="O261" t="s">
        <v>229</v>
      </c>
      <c r="P261" t="s">
        <v>231</v>
      </c>
      <c r="Q261" t="s">
        <v>235</v>
      </c>
      <c r="R261" t="s">
        <v>237</v>
      </c>
      <c r="S261" t="s">
        <v>48</v>
      </c>
      <c r="T261">
        <v>1</v>
      </c>
      <c r="V261">
        <v>1</v>
      </c>
      <c r="W261" t="s">
        <v>126</v>
      </c>
      <c r="X261" t="s">
        <v>84</v>
      </c>
      <c r="Y261" t="s">
        <v>127</v>
      </c>
      <c r="AA261" t="s">
        <v>43</v>
      </c>
      <c r="AB261">
        <v>3</v>
      </c>
      <c r="AD261">
        <v>3</v>
      </c>
      <c r="AE261" t="s">
        <v>73</v>
      </c>
      <c r="AF261" t="s">
        <v>99</v>
      </c>
      <c r="AG261" t="s">
        <v>75</v>
      </c>
      <c r="AH261" t="s">
        <v>101</v>
      </c>
      <c r="AI261">
        <v>0</v>
      </c>
      <c r="AJ261">
        <v>25</v>
      </c>
    </row>
    <row r="262" spans="1:36" x14ac:dyDescent="0.25">
      <c r="A262" t="s">
        <v>1627</v>
      </c>
      <c r="B262">
        <v>260</v>
      </c>
      <c r="C262" t="s">
        <v>56</v>
      </c>
      <c r="D262">
        <v>2</v>
      </c>
      <c r="F262">
        <v>1</v>
      </c>
      <c r="G262" t="s">
        <v>68</v>
      </c>
      <c r="H262" t="s">
        <v>122</v>
      </c>
      <c r="I262" t="s">
        <v>123</v>
      </c>
      <c r="K262" t="s">
        <v>227</v>
      </c>
      <c r="L262">
        <v>2</v>
      </c>
      <c r="M262">
        <v>1</v>
      </c>
      <c r="N262">
        <v>1</v>
      </c>
      <c r="O262" t="s">
        <v>228</v>
      </c>
      <c r="P262" t="s">
        <v>231</v>
      </c>
      <c r="S262" t="s">
        <v>48</v>
      </c>
      <c r="T262">
        <v>1</v>
      </c>
      <c r="V262">
        <v>1</v>
      </c>
      <c r="W262" t="s">
        <v>89</v>
      </c>
      <c r="X262" t="s">
        <v>50</v>
      </c>
      <c r="Y262" t="s">
        <v>127</v>
      </c>
      <c r="Z262" t="s">
        <v>129</v>
      </c>
      <c r="AA262" t="s">
        <v>45</v>
      </c>
      <c r="AB262">
        <v>2</v>
      </c>
      <c r="AD262">
        <v>1</v>
      </c>
      <c r="AE262" t="s">
        <v>140</v>
      </c>
      <c r="AI262">
        <v>0</v>
      </c>
      <c r="AJ262">
        <v>13</v>
      </c>
    </row>
    <row r="263" spans="1:36" x14ac:dyDescent="0.25">
      <c r="A263" t="s">
        <v>1430</v>
      </c>
      <c r="B263">
        <v>261</v>
      </c>
      <c r="C263" t="s">
        <v>56</v>
      </c>
      <c r="D263">
        <v>3</v>
      </c>
      <c r="F263">
        <v>1</v>
      </c>
      <c r="G263" t="s">
        <v>57</v>
      </c>
      <c r="H263" t="s">
        <v>122</v>
      </c>
      <c r="I263" t="s">
        <v>85</v>
      </c>
      <c r="K263" t="s">
        <v>227</v>
      </c>
      <c r="L263">
        <v>1</v>
      </c>
      <c r="M263">
        <v>3</v>
      </c>
      <c r="N263">
        <v>3</v>
      </c>
      <c r="O263" t="s">
        <v>229</v>
      </c>
      <c r="P263" t="s">
        <v>231</v>
      </c>
      <c r="Q263" t="s">
        <v>236</v>
      </c>
      <c r="R263" t="s">
        <v>239</v>
      </c>
      <c r="S263" t="s">
        <v>48</v>
      </c>
      <c r="T263">
        <v>1</v>
      </c>
      <c r="V263">
        <v>1</v>
      </c>
      <c r="W263" t="s">
        <v>126</v>
      </c>
      <c r="X263" t="s">
        <v>84</v>
      </c>
      <c r="Y263" t="s">
        <v>90</v>
      </c>
      <c r="AA263" t="s">
        <v>63</v>
      </c>
      <c r="AB263">
        <v>3</v>
      </c>
      <c r="AD263">
        <v>2</v>
      </c>
      <c r="AE263" t="s">
        <v>103</v>
      </c>
      <c r="AF263" t="s">
        <v>146</v>
      </c>
      <c r="AG263" t="s">
        <v>104</v>
      </c>
      <c r="AH263" t="s">
        <v>149</v>
      </c>
      <c r="AI263">
        <v>0</v>
      </c>
      <c r="AJ263">
        <v>23</v>
      </c>
    </row>
    <row r="264" spans="1:36" x14ac:dyDescent="0.25">
      <c r="A264" t="s">
        <v>1431</v>
      </c>
      <c r="B264">
        <v>262</v>
      </c>
      <c r="C264" t="s">
        <v>48</v>
      </c>
      <c r="D264">
        <v>2</v>
      </c>
      <c r="F264">
        <v>2</v>
      </c>
      <c r="G264" t="s">
        <v>126</v>
      </c>
      <c r="H264" t="s">
        <v>50</v>
      </c>
      <c r="I264" t="s">
        <v>127</v>
      </c>
      <c r="J264" t="s">
        <v>129</v>
      </c>
      <c r="K264" t="s">
        <v>38</v>
      </c>
      <c r="L264">
        <v>2</v>
      </c>
      <c r="M264">
        <v>3</v>
      </c>
      <c r="N264">
        <v>1</v>
      </c>
      <c r="O264" t="s">
        <v>39</v>
      </c>
      <c r="P264" t="s">
        <v>40</v>
      </c>
      <c r="Q264" t="s">
        <v>154</v>
      </c>
      <c r="R264" t="s">
        <v>155</v>
      </c>
      <c r="S264" t="s">
        <v>56</v>
      </c>
      <c r="T264">
        <v>3</v>
      </c>
      <c r="V264">
        <v>1</v>
      </c>
      <c r="W264" t="s">
        <v>120</v>
      </c>
      <c r="X264" t="s">
        <v>121</v>
      </c>
      <c r="AA264" t="s">
        <v>227</v>
      </c>
      <c r="AB264">
        <v>1</v>
      </c>
      <c r="AC264">
        <v>3</v>
      </c>
      <c r="AD264">
        <v>1</v>
      </c>
      <c r="AE264" t="s">
        <v>229</v>
      </c>
      <c r="AF264" t="s">
        <v>231</v>
      </c>
      <c r="AG264" t="s">
        <v>235</v>
      </c>
      <c r="AH264" t="s">
        <v>238</v>
      </c>
      <c r="AI264">
        <v>0</v>
      </c>
      <c r="AJ264">
        <v>23</v>
      </c>
    </row>
    <row r="265" spans="1:36" x14ac:dyDescent="0.25">
      <c r="A265" t="s">
        <v>1628</v>
      </c>
      <c r="B265">
        <v>263</v>
      </c>
      <c r="C265" t="s">
        <v>56</v>
      </c>
      <c r="D265">
        <v>1</v>
      </c>
      <c r="F265">
        <v>1</v>
      </c>
      <c r="G265" t="s">
        <v>120</v>
      </c>
      <c r="H265" t="s">
        <v>69</v>
      </c>
      <c r="I265" t="s">
        <v>87</v>
      </c>
      <c r="J265" t="s">
        <v>125</v>
      </c>
      <c r="K265" t="s">
        <v>227</v>
      </c>
      <c r="L265">
        <v>2</v>
      </c>
      <c r="M265">
        <v>1</v>
      </c>
      <c r="N265">
        <v>1</v>
      </c>
      <c r="O265" t="s">
        <v>228</v>
      </c>
      <c r="P265" t="s">
        <v>231</v>
      </c>
      <c r="S265" t="s">
        <v>33</v>
      </c>
      <c r="T265">
        <v>1</v>
      </c>
      <c r="V265">
        <v>2</v>
      </c>
      <c r="W265" t="s">
        <v>46</v>
      </c>
      <c r="AA265" t="s">
        <v>43</v>
      </c>
      <c r="AB265">
        <v>2</v>
      </c>
      <c r="AD265">
        <v>1</v>
      </c>
      <c r="AE265" t="s">
        <v>73</v>
      </c>
      <c r="AF265" t="s">
        <v>136</v>
      </c>
      <c r="AG265" t="s">
        <v>75</v>
      </c>
      <c r="AI265">
        <v>0</v>
      </c>
      <c r="AJ265">
        <v>15</v>
      </c>
    </row>
    <row r="266" spans="1:36" x14ac:dyDescent="0.25">
      <c r="A266" t="s">
        <v>1432</v>
      </c>
      <c r="B266">
        <v>264</v>
      </c>
      <c r="C266" t="s">
        <v>33</v>
      </c>
      <c r="D266">
        <v>2</v>
      </c>
      <c r="F266">
        <v>3</v>
      </c>
      <c r="G266" t="s">
        <v>46</v>
      </c>
      <c r="K266" t="s">
        <v>45</v>
      </c>
      <c r="L266">
        <v>3</v>
      </c>
      <c r="N266">
        <v>1</v>
      </c>
      <c r="O266" t="s">
        <v>140</v>
      </c>
      <c r="S266" t="s">
        <v>56</v>
      </c>
      <c r="T266">
        <v>1</v>
      </c>
      <c r="V266">
        <v>1</v>
      </c>
      <c r="W266" t="s">
        <v>120</v>
      </c>
      <c r="X266" t="s">
        <v>69</v>
      </c>
      <c r="Y266" t="s">
        <v>123</v>
      </c>
      <c r="AA266" t="s">
        <v>227</v>
      </c>
      <c r="AB266">
        <v>2</v>
      </c>
      <c r="AC266">
        <v>1</v>
      </c>
      <c r="AD266">
        <v>1</v>
      </c>
      <c r="AE266" t="s">
        <v>228</v>
      </c>
      <c r="AI266">
        <v>0</v>
      </c>
      <c r="AJ266">
        <v>12</v>
      </c>
    </row>
    <row r="267" spans="1:36" x14ac:dyDescent="0.25">
      <c r="A267" t="s">
        <v>1433</v>
      </c>
      <c r="B267">
        <v>265</v>
      </c>
      <c r="C267" t="s">
        <v>56</v>
      </c>
      <c r="D267">
        <v>3</v>
      </c>
      <c r="F267">
        <v>3</v>
      </c>
      <c r="G267" t="s">
        <v>57</v>
      </c>
      <c r="H267" t="s">
        <v>122</v>
      </c>
      <c r="I267" t="s">
        <v>123</v>
      </c>
      <c r="J267" t="s">
        <v>88</v>
      </c>
      <c r="K267" t="s">
        <v>227</v>
      </c>
      <c r="L267">
        <v>2</v>
      </c>
      <c r="M267">
        <v>1</v>
      </c>
      <c r="N267">
        <v>1</v>
      </c>
      <c r="O267" t="s">
        <v>228</v>
      </c>
      <c r="S267" t="s">
        <v>33</v>
      </c>
      <c r="T267">
        <v>1</v>
      </c>
      <c r="V267">
        <v>2</v>
      </c>
      <c r="W267" t="s">
        <v>46</v>
      </c>
      <c r="X267" t="s">
        <v>130</v>
      </c>
      <c r="AA267" t="s">
        <v>63</v>
      </c>
      <c r="AB267">
        <v>3</v>
      </c>
      <c r="AD267">
        <v>3</v>
      </c>
      <c r="AE267" t="s">
        <v>103</v>
      </c>
      <c r="AF267" t="s">
        <v>146</v>
      </c>
      <c r="AG267" t="s">
        <v>148</v>
      </c>
      <c r="AH267" t="s">
        <v>150</v>
      </c>
      <c r="AI267">
        <v>0</v>
      </c>
      <c r="AJ267">
        <v>24</v>
      </c>
    </row>
    <row r="268" spans="1:36" x14ac:dyDescent="0.25">
      <c r="A268" t="s">
        <v>1434</v>
      </c>
      <c r="B268">
        <v>266</v>
      </c>
      <c r="C268" t="s">
        <v>33</v>
      </c>
      <c r="D268">
        <v>3</v>
      </c>
      <c r="F268">
        <v>2</v>
      </c>
      <c r="G268" t="s">
        <v>34</v>
      </c>
      <c r="K268" t="s">
        <v>38</v>
      </c>
      <c r="L268">
        <v>1</v>
      </c>
      <c r="M268">
        <v>1</v>
      </c>
      <c r="N268">
        <v>2</v>
      </c>
      <c r="O268" t="s">
        <v>39</v>
      </c>
      <c r="P268" t="s">
        <v>70</v>
      </c>
      <c r="Q268" t="s">
        <v>154</v>
      </c>
      <c r="R268" t="s">
        <v>156</v>
      </c>
      <c r="S268" t="s">
        <v>56</v>
      </c>
      <c r="T268">
        <v>3</v>
      </c>
      <c r="V268">
        <v>1</v>
      </c>
      <c r="W268" t="s">
        <v>68</v>
      </c>
      <c r="X268" t="s">
        <v>122</v>
      </c>
      <c r="AA268" t="s">
        <v>227</v>
      </c>
      <c r="AB268">
        <v>1</v>
      </c>
      <c r="AC268">
        <v>1</v>
      </c>
      <c r="AD268">
        <v>1</v>
      </c>
      <c r="AE268" t="s">
        <v>228</v>
      </c>
      <c r="AF268" t="s">
        <v>231</v>
      </c>
      <c r="AG268" t="s">
        <v>234</v>
      </c>
      <c r="AI268">
        <v>0</v>
      </c>
      <c r="AJ268">
        <v>16</v>
      </c>
    </row>
    <row r="269" spans="1:36" x14ac:dyDescent="0.25">
      <c r="A269" t="s">
        <v>1435</v>
      </c>
      <c r="B269">
        <v>267</v>
      </c>
      <c r="C269" t="s">
        <v>56</v>
      </c>
      <c r="D269">
        <v>1</v>
      </c>
      <c r="F269">
        <v>3</v>
      </c>
      <c r="G269" t="s">
        <v>120</v>
      </c>
      <c r="H269" t="s">
        <v>69</v>
      </c>
      <c r="K269" t="s">
        <v>227</v>
      </c>
      <c r="L269">
        <v>1</v>
      </c>
      <c r="M269">
        <v>1</v>
      </c>
      <c r="N269">
        <v>3</v>
      </c>
      <c r="O269" t="s">
        <v>229</v>
      </c>
      <c r="P269" t="s">
        <v>231</v>
      </c>
      <c r="Q269" t="s">
        <v>234</v>
      </c>
      <c r="S269" t="s">
        <v>43</v>
      </c>
      <c r="T269">
        <v>1</v>
      </c>
      <c r="V269">
        <v>1</v>
      </c>
      <c r="W269" t="s">
        <v>73</v>
      </c>
      <c r="X269" t="s">
        <v>99</v>
      </c>
      <c r="Y269" t="s">
        <v>75</v>
      </c>
      <c r="AA269" t="s">
        <v>45</v>
      </c>
      <c r="AB269">
        <v>3</v>
      </c>
      <c r="AD269">
        <v>1</v>
      </c>
      <c r="AE269" t="s">
        <v>86</v>
      </c>
      <c r="AF269" t="s">
        <v>76</v>
      </c>
      <c r="AI269">
        <v>0</v>
      </c>
      <c r="AJ269">
        <v>16</v>
      </c>
    </row>
    <row r="270" spans="1:36" x14ac:dyDescent="0.25">
      <c r="A270" t="s">
        <v>1436</v>
      </c>
      <c r="B270">
        <v>268</v>
      </c>
      <c r="C270" t="s">
        <v>56</v>
      </c>
      <c r="D270">
        <v>3</v>
      </c>
      <c r="F270">
        <v>1</v>
      </c>
      <c r="G270" t="s">
        <v>120</v>
      </c>
      <c r="H270" t="s">
        <v>69</v>
      </c>
      <c r="K270" t="s">
        <v>227</v>
      </c>
      <c r="L270">
        <v>3</v>
      </c>
      <c r="M270">
        <v>1</v>
      </c>
      <c r="N270">
        <v>2</v>
      </c>
      <c r="O270" t="s">
        <v>229</v>
      </c>
      <c r="P270" t="s">
        <v>231</v>
      </c>
      <c r="Q270" t="s">
        <v>234</v>
      </c>
      <c r="S270" t="s">
        <v>43</v>
      </c>
      <c r="T270">
        <v>1</v>
      </c>
      <c r="V270">
        <v>1</v>
      </c>
      <c r="W270" t="s">
        <v>135</v>
      </c>
      <c r="X270" t="s">
        <v>74</v>
      </c>
      <c r="Y270" t="s">
        <v>137</v>
      </c>
      <c r="Z270" t="s">
        <v>101</v>
      </c>
      <c r="AA270" t="s">
        <v>63</v>
      </c>
      <c r="AB270">
        <v>1</v>
      </c>
      <c r="AD270">
        <v>2</v>
      </c>
      <c r="AE270" t="s">
        <v>103</v>
      </c>
      <c r="AF270" t="s">
        <v>91</v>
      </c>
      <c r="AG270" t="s">
        <v>148</v>
      </c>
      <c r="AH270" t="s">
        <v>151</v>
      </c>
      <c r="AI270">
        <v>0</v>
      </c>
      <c r="AJ270">
        <v>19</v>
      </c>
    </row>
    <row r="271" spans="1:36" x14ac:dyDescent="0.25">
      <c r="A271" t="s">
        <v>1629</v>
      </c>
      <c r="B271">
        <v>269</v>
      </c>
      <c r="C271" t="s">
        <v>56</v>
      </c>
      <c r="D271">
        <v>3</v>
      </c>
      <c r="F271">
        <v>3</v>
      </c>
      <c r="G271" t="s">
        <v>120</v>
      </c>
      <c r="H271" t="s">
        <v>69</v>
      </c>
      <c r="I271" t="s">
        <v>85</v>
      </c>
      <c r="J271" t="s">
        <v>125</v>
      </c>
      <c r="K271" t="s">
        <v>227</v>
      </c>
      <c r="L271">
        <v>3</v>
      </c>
      <c r="M271">
        <v>1</v>
      </c>
      <c r="N271">
        <v>3</v>
      </c>
      <c r="O271" t="s">
        <v>229</v>
      </c>
      <c r="P271" t="s">
        <v>231</v>
      </c>
      <c r="Q271" t="s">
        <v>235</v>
      </c>
      <c r="R271" t="s">
        <v>238</v>
      </c>
      <c r="S271" t="s">
        <v>43</v>
      </c>
      <c r="T271">
        <v>2</v>
      </c>
      <c r="V271">
        <v>1</v>
      </c>
      <c r="W271" t="s">
        <v>73</v>
      </c>
      <c r="X271" t="s">
        <v>136</v>
      </c>
      <c r="AA271" t="s">
        <v>38</v>
      </c>
      <c r="AB271">
        <v>3</v>
      </c>
      <c r="AC271">
        <v>1</v>
      </c>
      <c r="AD271">
        <v>3</v>
      </c>
      <c r="AE271" t="s">
        <v>39</v>
      </c>
      <c r="AF271" t="s">
        <v>40</v>
      </c>
      <c r="AG271" t="s">
        <v>153</v>
      </c>
      <c r="AH271" t="s">
        <v>155</v>
      </c>
      <c r="AI271">
        <v>0</v>
      </c>
      <c r="AJ271">
        <v>27</v>
      </c>
    </row>
    <row r="272" spans="1:36" x14ac:dyDescent="0.25">
      <c r="A272" t="s">
        <v>1630</v>
      </c>
      <c r="B272">
        <v>270</v>
      </c>
      <c r="C272" t="s">
        <v>56</v>
      </c>
      <c r="D272">
        <v>2</v>
      </c>
      <c r="F272">
        <v>1</v>
      </c>
      <c r="G272" t="s">
        <v>57</v>
      </c>
      <c r="H272" t="s">
        <v>122</v>
      </c>
      <c r="K272" t="s">
        <v>227</v>
      </c>
      <c r="L272">
        <v>3</v>
      </c>
      <c r="M272">
        <v>3</v>
      </c>
      <c r="N272">
        <v>3</v>
      </c>
      <c r="O272" t="s">
        <v>229</v>
      </c>
      <c r="P272" t="s">
        <v>231</v>
      </c>
      <c r="Q272" t="s">
        <v>235</v>
      </c>
      <c r="R272" t="s">
        <v>237</v>
      </c>
      <c r="S272" t="s">
        <v>45</v>
      </c>
      <c r="T272">
        <v>3</v>
      </c>
      <c r="V272">
        <v>1</v>
      </c>
      <c r="W272" t="s">
        <v>86</v>
      </c>
      <c r="X272" t="s">
        <v>76</v>
      </c>
      <c r="AA272" t="s">
        <v>63</v>
      </c>
      <c r="AB272">
        <v>3</v>
      </c>
      <c r="AD272">
        <v>3</v>
      </c>
      <c r="AE272" t="s">
        <v>145</v>
      </c>
      <c r="AF272" t="s">
        <v>91</v>
      </c>
      <c r="AG272" t="s">
        <v>148</v>
      </c>
      <c r="AH272" t="s">
        <v>151</v>
      </c>
      <c r="AI272">
        <v>0</v>
      </c>
      <c r="AJ272">
        <v>26</v>
      </c>
    </row>
    <row r="273" spans="1:36" x14ac:dyDescent="0.25">
      <c r="A273" t="s">
        <v>1437</v>
      </c>
      <c r="B273">
        <v>271</v>
      </c>
      <c r="C273" t="s">
        <v>56</v>
      </c>
      <c r="D273">
        <v>3</v>
      </c>
      <c r="F273">
        <v>3</v>
      </c>
      <c r="G273" t="s">
        <v>57</v>
      </c>
      <c r="H273" t="s">
        <v>122</v>
      </c>
      <c r="I273" t="s">
        <v>85</v>
      </c>
      <c r="J273" t="s">
        <v>125</v>
      </c>
      <c r="K273" t="s">
        <v>227</v>
      </c>
      <c r="L273">
        <v>1</v>
      </c>
      <c r="M273">
        <v>1</v>
      </c>
      <c r="N273">
        <v>1</v>
      </c>
      <c r="O273" t="s">
        <v>228</v>
      </c>
      <c r="P273" t="s">
        <v>233</v>
      </c>
      <c r="Q273" t="s">
        <v>235</v>
      </c>
      <c r="R273" t="s">
        <v>238</v>
      </c>
      <c r="S273" t="s">
        <v>45</v>
      </c>
      <c r="T273">
        <v>2</v>
      </c>
      <c r="V273">
        <v>1</v>
      </c>
      <c r="W273" t="s">
        <v>86</v>
      </c>
      <c r="AA273" t="s">
        <v>38</v>
      </c>
      <c r="AB273">
        <v>1</v>
      </c>
      <c r="AC273">
        <v>2</v>
      </c>
      <c r="AD273">
        <v>3</v>
      </c>
      <c r="AE273" t="s">
        <v>39</v>
      </c>
      <c r="AF273" t="s">
        <v>70</v>
      </c>
      <c r="AG273" t="s">
        <v>153</v>
      </c>
      <c r="AH273" t="s">
        <v>155</v>
      </c>
      <c r="AI273">
        <v>0</v>
      </c>
      <c r="AJ273">
        <v>21</v>
      </c>
    </row>
    <row r="274" spans="1:36" x14ac:dyDescent="0.25">
      <c r="A274" t="s">
        <v>1631</v>
      </c>
      <c r="B274">
        <v>272</v>
      </c>
      <c r="C274" t="s">
        <v>56</v>
      </c>
      <c r="D274">
        <v>3</v>
      </c>
      <c r="F274">
        <v>1</v>
      </c>
      <c r="G274" t="s">
        <v>57</v>
      </c>
      <c r="H274" t="s">
        <v>122</v>
      </c>
      <c r="I274" t="s">
        <v>85</v>
      </c>
      <c r="J274" t="s">
        <v>125</v>
      </c>
      <c r="K274" t="s">
        <v>227</v>
      </c>
      <c r="L274">
        <v>2</v>
      </c>
      <c r="M274">
        <v>1</v>
      </c>
      <c r="N274">
        <v>3</v>
      </c>
      <c r="O274" t="s">
        <v>229</v>
      </c>
      <c r="P274" t="s">
        <v>231</v>
      </c>
      <c r="Q274" t="s">
        <v>235</v>
      </c>
      <c r="S274" t="s">
        <v>63</v>
      </c>
      <c r="T274">
        <v>2</v>
      </c>
      <c r="V274">
        <v>1</v>
      </c>
      <c r="W274" t="s">
        <v>103</v>
      </c>
      <c r="X274" t="s">
        <v>91</v>
      </c>
      <c r="Y274" t="s">
        <v>148</v>
      </c>
      <c r="Z274" t="s">
        <v>151</v>
      </c>
      <c r="AA274" t="s">
        <v>38</v>
      </c>
      <c r="AB274">
        <v>1</v>
      </c>
      <c r="AC274">
        <v>1</v>
      </c>
      <c r="AD274">
        <v>1</v>
      </c>
      <c r="AE274" t="s">
        <v>39</v>
      </c>
      <c r="AF274" t="s">
        <v>96</v>
      </c>
      <c r="AG274" t="s">
        <v>154</v>
      </c>
      <c r="AI274">
        <v>0</v>
      </c>
      <c r="AJ274">
        <v>20</v>
      </c>
    </row>
    <row r="275" spans="1:36" x14ac:dyDescent="0.25">
      <c r="A275" t="s">
        <v>1438</v>
      </c>
      <c r="B275">
        <v>273</v>
      </c>
      <c r="C275" t="s">
        <v>43</v>
      </c>
      <c r="D275">
        <v>3</v>
      </c>
      <c r="F275">
        <v>1</v>
      </c>
      <c r="G275" t="s">
        <v>44</v>
      </c>
      <c r="H275" t="s">
        <v>99</v>
      </c>
      <c r="I275" t="s">
        <v>75</v>
      </c>
      <c r="J275" t="s">
        <v>139</v>
      </c>
      <c r="K275" t="s">
        <v>45</v>
      </c>
      <c r="L275">
        <v>3</v>
      </c>
      <c r="N275">
        <v>1</v>
      </c>
      <c r="O275" t="s">
        <v>86</v>
      </c>
      <c r="P275" t="s">
        <v>141</v>
      </c>
      <c r="Q275" t="s">
        <v>93</v>
      </c>
      <c r="R275" t="s">
        <v>143</v>
      </c>
      <c r="S275" t="s">
        <v>48</v>
      </c>
      <c r="T275">
        <v>1</v>
      </c>
      <c r="V275">
        <v>2</v>
      </c>
      <c r="W275" t="s">
        <v>126</v>
      </c>
      <c r="X275" t="s">
        <v>84</v>
      </c>
      <c r="Y275" t="s">
        <v>90</v>
      </c>
      <c r="Z275" t="s">
        <v>128</v>
      </c>
      <c r="AA275" t="s">
        <v>33</v>
      </c>
      <c r="AB275">
        <v>1</v>
      </c>
      <c r="AD275">
        <v>2</v>
      </c>
      <c r="AE275" t="s">
        <v>34</v>
      </c>
      <c r="AI275">
        <v>0</v>
      </c>
      <c r="AJ275">
        <v>19</v>
      </c>
    </row>
    <row r="276" spans="1:36" x14ac:dyDescent="0.25">
      <c r="A276" t="s">
        <v>1632</v>
      </c>
      <c r="B276">
        <v>274</v>
      </c>
      <c r="C276" t="s">
        <v>43</v>
      </c>
      <c r="D276">
        <v>3</v>
      </c>
      <c r="F276">
        <v>2</v>
      </c>
      <c r="G276" t="s">
        <v>135</v>
      </c>
      <c r="H276" t="s">
        <v>136</v>
      </c>
      <c r="I276" t="s">
        <v>100</v>
      </c>
      <c r="J276" t="s">
        <v>139</v>
      </c>
      <c r="K276" t="s">
        <v>63</v>
      </c>
      <c r="L276">
        <v>3</v>
      </c>
      <c r="N276">
        <v>1</v>
      </c>
      <c r="O276" t="s">
        <v>72</v>
      </c>
      <c r="P276" t="s">
        <v>91</v>
      </c>
      <c r="Q276" t="s">
        <v>148</v>
      </c>
      <c r="R276" t="s">
        <v>151</v>
      </c>
      <c r="S276" t="s">
        <v>48</v>
      </c>
      <c r="T276">
        <v>3</v>
      </c>
      <c r="V276">
        <v>2</v>
      </c>
      <c r="W276" t="s">
        <v>49</v>
      </c>
      <c r="X276" t="s">
        <v>50</v>
      </c>
      <c r="Y276" t="s">
        <v>127</v>
      </c>
      <c r="Z276" t="s">
        <v>129</v>
      </c>
      <c r="AA276" t="s">
        <v>33</v>
      </c>
      <c r="AB276">
        <v>1</v>
      </c>
      <c r="AD276">
        <v>2</v>
      </c>
      <c r="AE276" t="s">
        <v>34</v>
      </c>
      <c r="AI276">
        <v>0</v>
      </c>
      <c r="AJ276">
        <v>23</v>
      </c>
    </row>
    <row r="277" spans="1:36" x14ac:dyDescent="0.25">
      <c r="A277" t="s">
        <v>1633</v>
      </c>
      <c r="B277">
        <v>275</v>
      </c>
      <c r="C277" t="s">
        <v>43</v>
      </c>
      <c r="D277">
        <v>3</v>
      </c>
      <c r="F277">
        <v>3</v>
      </c>
      <c r="G277" t="s">
        <v>135</v>
      </c>
      <c r="H277" t="s">
        <v>99</v>
      </c>
      <c r="I277" t="s">
        <v>137</v>
      </c>
      <c r="J277" t="s">
        <v>139</v>
      </c>
      <c r="K277" t="s">
        <v>38</v>
      </c>
      <c r="L277">
        <v>3</v>
      </c>
      <c r="M277">
        <v>3</v>
      </c>
      <c r="N277">
        <v>3</v>
      </c>
      <c r="O277" t="s">
        <v>39</v>
      </c>
      <c r="P277" t="s">
        <v>96</v>
      </c>
      <c r="Q277" t="s">
        <v>154</v>
      </c>
      <c r="R277" t="s">
        <v>42</v>
      </c>
      <c r="S277" t="s">
        <v>48</v>
      </c>
      <c r="T277">
        <v>3</v>
      </c>
      <c r="V277">
        <v>3</v>
      </c>
      <c r="W277" t="s">
        <v>126</v>
      </c>
      <c r="X277" t="s">
        <v>84</v>
      </c>
      <c r="Y277" t="s">
        <v>90</v>
      </c>
      <c r="Z277" t="s">
        <v>52</v>
      </c>
      <c r="AA277" t="s">
        <v>33</v>
      </c>
      <c r="AB277">
        <v>1</v>
      </c>
      <c r="AD277">
        <v>2</v>
      </c>
      <c r="AE277" t="s">
        <v>65</v>
      </c>
      <c r="AI277">
        <v>0</v>
      </c>
      <c r="AJ277">
        <v>46</v>
      </c>
    </row>
    <row r="278" spans="1:36" x14ac:dyDescent="0.25">
      <c r="A278" t="s">
        <v>1634</v>
      </c>
      <c r="B278">
        <v>276</v>
      </c>
      <c r="C278" t="s">
        <v>43</v>
      </c>
      <c r="D278">
        <v>2</v>
      </c>
      <c r="F278">
        <v>1</v>
      </c>
      <c r="G278" t="s">
        <v>135</v>
      </c>
      <c r="H278" t="s">
        <v>74</v>
      </c>
      <c r="K278" t="s">
        <v>227</v>
      </c>
      <c r="L278">
        <v>2</v>
      </c>
      <c r="M278">
        <v>1</v>
      </c>
      <c r="N278">
        <v>1</v>
      </c>
      <c r="O278" t="s">
        <v>228</v>
      </c>
      <c r="P278" t="s">
        <v>231</v>
      </c>
      <c r="Q278" t="s">
        <v>234</v>
      </c>
      <c r="S278" t="s">
        <v>48</v>
      </c>
      <c r="T278">
        <v>1</v>
      </c>
      <c r="V278">
        <v>1</v>
      </c>
      <c r="W278" t="s">
        <v>126</v>
      </c>
      <c r="X278" t="s">
        <v>50</v>
      </c>
      <c r="Y278" t="s">
        <v>90</v>
      </c>
      <c r="AA278" t="s">
        <v>33</v>
      </c>
      <c r="AB278">
        <v>1</v>
      </c>
      <c r="AD278">
        <v>2</v>
      </c>
      <c r="AE278" t="s">
        <v>34</v>
      </c>
      <c r="AI278">
        <v>0</v>
      </c>
      <c r="AJ278">
        <v>12</v>
      </c>
    </row>
    <row r="279" spans="1:36" x14ac:dyDescent="0.25">
      <c r="A279" t="s">
        <v>1635</v>
      </c>
      <c r="B279">
        <v>277</v>
      </c>
      <c r="C279" t="s">
        <v>45</v>
      </c>
      <c r="D279">
        <v>3</v>
      </c>
      <c r="F279">
        <v>1</v>
      </c>
      <c r="G279" t="s">
        <v>140</v>
      </c>
      <c r="H279" t="s">
        <v>76</v>
      </c>
      <c r="K279" t="s">
        <v>63</v>
      </c>
      <c r="L279">
        <v>1</v>
      </c>
      <c r="N279">
        <v>1</v>
      </c>
      <c r="O279" t="s">
        <v>145</v>
      </c>
      <c r="P279" t="s">
        <v>91</v>
      </c>
      <c r="Q279" t="s">
        <v>148</v>
      </c>
      <c r="R279" t="s">
        <v>151</v>
      </c>
      <c r="S279" t="s">
        <v>48</v>
      </c>
      <c r="T279">
        <v>1</v>
      </c>
      <c r="V279">
        <v>1</v>
      </c>
      <c r="W279" t="s">
        <v>49</v>
      </c>
      <c r="X279" t="s">
        <v>84</v>
      </c>
      <c r="Y279" t="s">
        <v>127</v>
      </c>
      <c r="Z279" t="s">
        <v>52</v>
      </c>
      <c r="AA279" t="s">
        <v>33</v>
      </c>
      <c r="AB279">
        <v>2</v>
      </c>
      <c r="AD279">
        <v>2</v>
      </c>
      <c r="AE279" t="s">
        <v>34</v>
      </c>
      <c r="AI279">
        <v>0</v>
      </c>
      <c r="AJ279">
        <v>16</v>
      </c>
    </row>
    <row r="280" spans="1:36" x14ac:dyDescent="0.25">
      <c r="A280" t="s">
        <v>1636</v>
      </c>
      <c r="B280">
        <v>278</v>
      </c>
      <c r="C280" t="s">
        <v>48</v>
      </c>
      <c r="D280">
        <v>3</v>
      </c>
      <c r="F280">
        <v>3</v>
      </c>
      <c r="G280" t="s">
        <v>126</v>
      </c>
      <c r="H280" t="s">
        <v>84</v>
      </c>
      <c r="I280" t="s">
        <v>90</v>
      </c>
      <c r="J280" t="s">
        <v>128</v>
      </c>
      <c r="K280" t="s">
        <v>33</v>
      </c>
      <c r="L280">
        <v>1</v>
      </c>
      <c r="N280">
        <v>1</v>
      </c>
      <c r="O280" t="s">
        <v>46</v>
      </c>
      <c r="S280" t="s">
        <v>45</v>
      </c>
      <c r="T280">
        <v>3</v>
      </c>
      <c r="V280">
        <v>3</v>
      </c>
      <c r="W280" t="s">
        <v>86</v>
      </c>
      <c r="X280" t="s">
        <v>141</v>
      </c>
      <c r="Y280" t="s">
        <v>93</v>
      </c>
      <c r="Z280" t="s">
        <v>94</v>
      </c>
      <c r="AA280" t="s">
        <v>38</v>
      </c>
      <c r="AB280">
        <v>3</v>
      </c>
      <c r="AC280">
        <v>3</v>
      </c>
      <c r="AD280">
        <v>3</v>
      </c>
      <c r="AE280" t="s">
        <v>67</v>
      </c>
      <c r="AF280" t="s">
        <v>96</v>
      </c>
      <c r="AG280" t="s">
        <v>154</v>
      </c>
      <c r="AH280" t="s">
        <v>42</v>
      </c>
      <c r="AI280">
        <v>0</v>
      </c>
      <c r="AJ280">
        <v>42</v>
      </c>
    </row>
    <row r="281" spans="1:36" x14ac:dyDescent="0.25">
      <c r="A281" t="s">
        <v>1637</v>
      </c>
      <c r="B281">
        <v>279</v>
      </c>
      <c r="C281" t="s">
        <v>48</v>
      </c>
      <c r="D281">
        <v>3</v>
      </c>
      <c r="F281">
        <v>3</v>
      </c>
      <c r="G281" t="s">
        <v>89</v>
      </c>
      <c r="H281" t="s">
        <v>50</v>
      </c>
      <c r="I281" t="s">
        <v>90</v>
      </c>
      <c r="J281" t="s">
        <v>129</v>
      </c>
      <c r="K281" t="s">
        <v>33</v>
      </c>
      <c r="L281">
        <v>2</v>
      </c>
      <c r="N281">
        <v>2</v>
      </c>
      <c r="O281" t="s">
        <v>34</v>
      </c>
      <c r="S281" t="s">
        <v>45</v>
      </c>
      <c r="T281">
        <v>3</v>
      </c>
      <c r="V281">
        <v>3</v>
      </c>
      <c r="W281" t="s">
        <v>86</v>
      </c>
      <c r="X281" t="s">
        <v>141</v>
      </c>
      <c r="Y281" t="s">
        <v>102</v>
      </c>
      <c r="Z281" t="s">
        <v>144</v>
      </c>
      <c r="AA281" t="s">
        <v>227</v>
      </c>
      <c r="AB281">
        <v>2</v>
      </c>
      <c r="AC281">
        <v>1</v>
      </c>
      <c r="AD281">
        <v>1</v>
      </c>
      <c r="AE281" t="s">
        <v>228</v>
      </c>
      <c r="AF281" t="s">
        <v>231</v>
      </c>
      <c r="AI281">
        <v>0</v>
      </c>
      <c r="AJ281">
        <v>29</v>
      </c>
    </row>
    <row r="282" spans="1:36" x14ac:dyDescent="0.25">
      <c r="A282" t="s">
        <v>1638</v>
      </c>
      <c r="B282">
        <v>280</v>
      </c>
      <c r="C282" t="s">
        <v>63</v>
      </c>
      <c r="D282">
        <v>1</v>
      </c>
      <c r="F282">
        <v>1</v>
      </c>
      <c r="G282" t="s">
        <v>72</v>
      </c>
      <c r="H282" t="s">
        <v>91</v>
      </c>
      <c r="K282" t="s">
        <v>38</v>
      </c>
      <c r="L282">
        <v>3</v>
      </c>
      <c r="M282">
        <v>1</v>
      </c>
      <c r="N282">
        <v>2</v>
      </c>
      <c r="O282" t="s">
        <v>67</v>
      </c>
      <c r="P282" t="s">
        <v>96</v>
      </c>
      <c r="Q282" t="s">
        <v>153</v>
      </c>
      <c r="R282" t="s">
        <v>42</v>
      </c>
      <c r="S282" t="s">
        <v>48</v>
      </c>
      <c r="T282">
        <v>1</v>
      </c>
      <c r="V282">
        <v>3</v>
      </c>
      <c r="W282" t="s">
        <v>49</v>
      </c>
      <c r="X282" t="s">
        <v>50</v>
      </c>
      <c r="Y282" t="s">
        <v>127</v>
      </c>
      <c r="Z282" t="s">
        <v>129</v>
      </c>
      <c r="AA282" t="s">
        <v>33</v>
      </c>
      <c r="AB282">
        <v>1</v>
      </c>
      <c r="AD282">
        <v>1</v>
      </c>
      <c r="AE282" t="s">
        <v>46</v>
      </c>
      <c r="AF282" t="s">
        <v>35</v>
      </c>
      <c r="AI282">
        <v>0</v>
      </c>
      <c r="AJ282">
        <v>17</v>
      </c>
    </row>
    <row r="283" spans="1:36" x14ac:dyDescent="0.25">
      <c r="A283" t="s">
        <v>1439</v>
      </c>
      <c r="B283">
        <v>281</v>
      </c>
      <c r="C283" t="s">
        <v>48</v>
      </c>
      <c r="D283">
        <v>1</v>
      </c>
      <c r="F283">
        <v>1</v>
      </c>
      <c r="G283" t="s">
        <v>89</v>
      </c>
      <c r="H283" t="s">
        <v>84</v>
      </c>
      <c r="I283" t="s">
        <v>51</v>
      </c>
      <c r="J283" t="s">
        <v>129</v>
      </c>
      <c r="K283" t="s">
        <v>33</v>
      </c>
      <c r="L283">
        <v>1</v>
      </c>
      <c r="N283">
        <v>3</v>
      </c>
      <c r="O283" t="s">
        <v>34</v>
      </c>
      <c r="P283" t="s">
        <v>35</v>
      </c>
      <c r="S283" t="s">
        <v>63</v>
      </c>
      <c r="T283">
        <v>3</v>
      </c>
      <c r="V283">
        <v>1</v>
      </c>
      <c r="W283" t="s">
        <v>72</v>
      </c>
      <c r="AA283" t="s">
        <v>227</v>
      </c>
      <c r="AB283">
        <v>2</v>
      </c>
      <c r="AC283">
        <v>1</v>
      </c>
      <c r="AD283">
        <v>1</v>
      </c>
      <c r="AE283" t="s">
        <v>228</v>
      </c>
      <c r="AI283">
        <v>0</v>
      </c>
      <c r="AJ283">
        <v>13</v>
      </c>
    </row>
    <row r="284" spans="1:36" x14ac:dyDescent="0.25">
      <c r="A284" t="s">
        <v>1639</v>
      </c>
      <c r="B284">
        <v>282</v>
      </c>
      <c r="C284" t="s">
        <v>48</v>
      </c>
      <c r="D284">
        <v>2</v>
      </c>
      <c r="F284">
        <v>1</v>
      </c>
      <c r="G284" t="s">
        <v>89</v>
      </c>
      <c r="H284" t="s">
        <v>50</v>
      </c>
      <c r="I284" t="s">
        <v>51</v>
      </c>
      <c r="J284" t="s">
        <v>128</v>
      </c>
      <c r="K284" t="s">
        <v>33</v>
      </c>
      <c r="L284">
        <v>2</v>
      </c>
      <c r="N284">
        <v>1</v>
      </c>
      <c r="O284" t="s">
        <v>65</v>
      </c>
      <c r="S284" t="s">
        <v>38</v>
      </c>
      <c r="T284">
        <v>1</v>
      </c>
      <c r="U284">
        <v>1</v>
      </c>
      <c r="V284">
        <v>2</v>
      </c>
      <c r="W284" t="s">
        <v>67</v>
      </c>
      <c r="X284" t="s">
        <v>96</v>
      </c>
      <c r="Y284" t="s">
        <v>41</v>
      </c>
      <c r="AA284" t="s">
        <v>227</v>
      </c>
      <c r="AB284">
        <v>1</v>
      </c>
      <c r="AC284">
        <v>1</v>
      </c>
      <c r="AD284">
        <v>2</v>
      </c>
      <c r="AE284" t="s">
        <v>228</v>
      </c>
      <c r="AI284">
        <v>0</v>
      </c>
      <c r="AJ284">
        <v>13</v>
      </c>
    </row>
    <row r="285" spans="1:36" x14ac:dyDescent="0.25">
      <c r="A285" t="s">
        <v>1640</v>
      </c>
      <c r="B285">
        <v>283</v>
      </c>
      <c r="C285" t="s">
        <v>33</v>
      </c>
      <c r="D285">
        <v>3</v>
      </c>
      <c r="F285">
        <v>1</v>
      </c>
      <c r="G285" t="s">
        <v>34</v>
      </c>
      <c r="K285" t="s">
        <v>45</v>
      </c>
      <c r="L285">
        <v>3</v>
      </c>
      <c r="N285">
        <v>1</v>
      </c>
      <c r="O285" t="s">
        <v>140</v>
      </c>
      <c r="P285" t="s">
        <v>92</v>
      </c>
      <c r="S285" t="s">
        <v>48</v>
      </c>
      <c r="T285">
        <v>1</v>
      </c>
      <c r="V285">
        <v>1</v>
      </c>
      <c r="W285" t="s">
        <v>89</v>
      </c>
      <c r="X285" t="s">
        <v>50</v>
      </c>
      <c r="AA285" t="s">
        <v>43</v>
      </c>
      <c r="AB285">
        <v>1</v>
      </c>
      <c r="AD285">
        <v>2</v>
      </c>
      <c r="AE285" t="s">
        <v>135</v>
      </c>
      <c r="AF285" t="s">
        <v>136</v>
      </c>
      <c r="AI285">
        <v>0</v>
      </c>
      <c r="AJ285">
        <v>13</v>
      </c>
    </row>
    <row r="286" spans="1:36" x14ac:dyDescent="0.25">
      <c r="A286" t="s">
        <v>1440</v>
      </c>
      <c r="B286">
        <v>284</v>
      </c>
      <c r="C286" t="s">
        <v>48</v>
      </c>
      <c r="D286">
        <v>3</v>
      </c>
      <c r="F286">
        <v>1</v>
      </c>
      <c r="G286" t="s">
        <v>89</v>
      </c>
      <c r="H286" t="s">
        <v>71</v>
      </c>
      <c r="I286" t="s">
        <v>51</v>
      </c>
      <c r="K286" t="s">
        <v>43</v>
      </c>
      <c r="L286">
        <v>3</v>
      </c>
      <c r="N286">
        <v>1</v>
      </c>
      <c r="O286" t="s">
        <v>135</v>
      </c>
      <c r="P286" t="s">
        <v>99</v>
      </c>
      <c r="Q286" t="s">
        <v>137</v>
      </c>
      <c r="S286" t="s">
        <v>33</v>
      </c>
      <c r="T286">
        <v>1</v>
      </c>
      <c r="V286">
        <v>2</v>
      </c>
      <c r="W286" t="s">
        <v>34</v>
      </c>
      <c r="AA286" t="s">
        <v>63</v>
      </c>
      <c r="AB286">
        <v>1</v>
      </c>
      <c r="AD286">
        <v>2</v>
      </c>
      <c r="AE286" t="s">
        <v>145</v>
      </c>
      <c r="AF286" t="s">
        <v>146</v>
      </c>
      <c r="AG286" t="s">
        <v>148</v>
      </c>
      <c r="AI286">
        <v>0</v>
      </c>
      <c r="AJ286">
        <v>18</v>
      </c>
    </row>
    <row r="287" spans="1:36" x14ac:dyDescent="0.25">
      <c r="A287" t="s">
        <v>1441</v>
      </c>
      <c r="B287">
        <v>285</v>
      </c>
      <c r="C287" t="s">
        <v>48</v>
      </c>
      <c r="D287">
        <v>1</v>
      </c>
      <c r="F287">
        <v>1</v>
      </c>
      <c r="G287" t="s">
        <v>89</v>
      </c>
      <c r="H287" t="s">
        <v>71</v>
      </c>
      <c r="I287" t="s">
        <v>51</v>
      </c>
      <c r="K287" t="s">
        <v>43</v>
      </c>
      <c r="L287">
        <v>2</v>
      </c>
      <c r="N287">
        <v>1</v>
      </c>
      <c r="O287" t="s">
        <v>135</v>
      </c>
      <c r="P287" t="s">
        <v>99</v>
      </c>
      <c r="Q287" t="s">
        <v>100</v>
      </c>
      <c r="S287" t="s">
        <v>33</v>
      </c>
      <c r="T287">
        <v>2</v>
      </c>
      <c r="V287">
        <v>1</v>
      </c>
      <c r="W287" t="s">
        <v>34</v>
      </c>
      <c r="AA287" t="s">
        <v>38</v>
      </c>
      <c r="AB287">
        <v>1</v>
      </c>
      <c r="AC287">
        <v>1</v>
      </c>
      <c r="AD287">
        <v>2</v>
      </c>
      <c r="AE287" t="s">
        <v>39</v>
      </c>
      <c r="AF287" t="s">
        <v>96</v>
      </c>
      <c r="AI287">
        <v>0</v>
      </c>
      <c r="AJ287">
        <v>12</v>
      </c>
    </row>
    <row r="288" spans="1:36" x14ac:dyDescent="0.25">
      <c r="A288" t="s">
        <v>1442</v>
      </c>
      <c r="B288">
        <v>286</v>
      </c>
      <c r="C288" t="s">
        <v>48</v>
      </c>
      <c r="D288">
        <v>3</v>
      </c>
      <c r="F288">
        <v>2</v>
      </c>
      <c r="G288" t="s">
        <v>89</v>
      </c>
      <c r="H288" t="s">
        <v>71</v>
      </c>
      <c r="K288" t="s">
        <v>43</v>
      </c>
      <c r="L288">
        <v>3</v>
      </c>
      <c r="N288">
        <v>1</v>
      </c>
      <c r="O288" t="s">
        <v>135</v>
      </c>
      <c r="P288" t="s">
        <v>99</v>
      </c>
      <c r="Q288" t="s">
        <v>75</v>
      </c>
      <c r="R288" t="s">
        <v>101</v>
      </c>
      <c r="S288" t="s">
        <v>33</v>
      </c>
      <c r="T288">
        <v>1</v>
      </c>
      <c r="V288">
        <v>2</v>
      </c>
      <c r="W288" t="s">
        <v>34</v>
      </c>
      <c r="AA288" t="s">
        <v>227</v>
      </c>
      <c r="AB288">
        <v>1</v>
      </c>
      <c r="AC288">
        <v>2</v>
      </c>
      <c r="AD288">
        <v>3</v>
      </c>
      <c r="AE288" t="s">
        <v>229</v>
      </c>
      <c r="AF288" t="s">
        <v>232</v>
      </c>
      <c r="AG288" t="s">
        <v>235</v>
      </c>
      <c r="AI288">
        <v>0</v>
      </c>
      <c r="AJ288">
        <v>19</v>
      </c>
    </row>
    <row r="289" spans="1:36" x14ac:dyDescent="0.25">
      <c r="A289" t="s">
        <v>1443</v>
      </c>
      <c r="B289">
        <v>287</v>
      </c>
      <c r="C289" t="s">
        <v>45</v>
      </c>
      <c r="D289">
        <v>3</v>
      </c>
      <c r="F289">
        <v>1</v>
      </c>
      <c r="G289" t="s">
        <v>140</v>
      </c>
      <c r="H289" t="s">
        <v>76</v>
      </c>
      <c r="K289" t="s">
        <v>63</v>
      </c>
      <c r="L289">
        <v>1</v>
      </c>
      <c r="N289">
        <v>1</v>
      </c>
      <c r="O289" t="s">
        <v>145</v>
      </c>
      <c r="P289" t="s">
        <v>91</v>
      </c>
      <c r="Q289" t="s">
        <v>104</v>
      </c>
      <c r="S289" t="s">
        <v>48</v>
      </c>
      <c r="T289">
        <v>1</v>
      </c>
      <c r="V289">
        <v>1</v>
      </c>
      <c r="W289" t="s">
        <v>49</v>
      </c>
      <c r="X289" t="s">
        <v>50</v>
      </c>
      <c r="Y289" t="s">
        <v>127</v>
      </c>
      <c r="AA289" t="s">
        <v>43</v>
      </c>
      <c r="AB289">
        <v>1</v>
      </c>
      <c r="AD289">
        <v>1</v>
      </c>
      <c r="AE289" t="s">
        <v>73</v>
      </c>
      <c r="AF289" t="s">
        <v>136</v>
      </c>
      <c r="AG289" t="s">
        <v>75</v>
      </c>
      <c r="AI289">
        <v>0</v>
      </c>
      <c r="AJ289">
        <v>15</v>
      </c>
    </row>
    <row r="290" spans="1:36" x14ac:dyDescent="0.25">
      <c r="A290" t="s">
        <v>1641</v>
      </c>
      <c r="B290">
        <v>288</v>
      </c>
      <c r="C290" t="s">
        <v>48</v>
      </c>
      <c r="D290">
        <v>3</v>
      </c>
      <c r="F290">
        <v>3</v>
      </c>
      <c r="G290" t="s">
        <v>126</v>
      </c>
      <c r="H290" t="s">
        <v>84</v>
      </c>
      <c r="I290" t="s">
        <v>127</v>
      </c>
      <c r="J290" t="s">
        <v>52</v>
      </c>
      <c r="K290" t="s">
        <v>43</v>
      </c>
      <c r="L290">
        <v>1</v>
      </c>
      <c r="N290">
        <v>1</v>
      </c>
      <c r="O290" t="s">
        <v>135</v>
      </c>
      <c r="P290" t="s">
        <v>136</v>
      </c>
      <c r="Q290" t="s">
        <v>137</v>
      </c>
      <c r="S290" t="s">
        <v>45</v>
      </c>
      <c r="T290">
        <v>3</v>
      </c>
      <c r="V290">
        <v>1</v>
      </c>
      <c r="W290" t="s">
        <v>140</v>
      </c>
      <c r="AA290" t="s">
        <v>38</v>
      </c>
      <c r="AB290">
        <v>3</v>
      </c>
      <c r="AC290">
        <v>3</v>
      </c>
      <c r="AD290">
        <v>3</v>
      </c>
      <c r="AE290" t="s">
        <v>39</v>
      </c>
      <c r="AF290" t="s">
        <v>40</v>
      </c>
      <c r="AG290" t="s">
        <v>153</v>
      </c>
      <c r="AH290" t="s">
        <v>156</v>
      </c>
      <c r="AI290">
        <v>0</v>
      </c>
      <c r="AJ290">
        <v>27</v>
      </c>
    </row>
    <row r="291" spans="1:36" x14ac:dyDescent="0.25">
      <c r="A291" t="s">
        <v>1444</v>
      </c>
      <c r="B291">
        <v>289</v>
      </c>
      <c r="C291" t="s">
        <v>45</v>
      </c>
      <c r="D291">
        <v>3</v>
      </c>
      <c r="F291">
        <v>3</v>
      </c>
      <c r="G291" t="s">
        <v>140</v>
      </c>
      <c r="H291" t="s">
        <v>76</v>
      </c>
      <c r="I291" t="s">
        <v>102</v>
      </c>
      <c r="J291" t="s">
        <v>144</v>
      </c>
      <c r="K291" t="s">
        <v>227</v>
      </c>
      <c r="L291">
        <v>3</v>
      </c>
      <c r="M291">
        <v>3</v>
      </c>
      <c r="N291">
        <v>3</v>
      </c>
      <c r="O291" t="s">
        <v>229</v>
      </c>
      <c r="P291" t="s">
        <v>231</v>
      </c>
      <c r="Q291" t="s">
        <v>235</v>
      </c>
      <c r="R291" t="s">
        <v>238</v>
      </c>
      <c r="S291" t="s">
        <v>48</v>
      </c>
      <c r="T291">
        <v>3</v>
      </c>
      <c r="V291">
        <v>3</v>
      </c>
      <c r="W291" t="s">
        <v>126</v>
      </c>
      <c r="X291" t="s">
        <v>84</v>
      </c>
      <c r="Y291" t="s">
        <v>127</v>
      </c>
      <c r="Z291" t="s">
        <v>52</v>
      </c>
      <c r="AA291" t="s">
        <v>43</v>
      </c>
      <c r="AB291">
        <v>1</v>
      </c>
      <c r="AD291">
        <v>1</v>
      </c>
      <c r="AE291" t="s">
        <v>73</v>
      </c>
      <c r="AF291" t="s">
        <v>136</v>
      </c>
      <c r="AI291">
        <v>0</v>
      </c>
      <c r="AJ291">
        <v>31</v>
      </c>
    </row>
    <row r="292" spans="1:36" x14ac:dyDescent="0.25">
      <c r="A292" t="s">
        <v>1445</v>
      </c>
      <c r="B292">
        <v>290</v>
      </c>
      <c r="C292" t="s">
        <v>48</v>
      </c>
      <c r="D292">
        <v>3</v>
      </c>
      <c r="F292">
        <v>3</v>
      </c>
      <c r="G292" t="s">
        <v>49</v>
      </c>
      <c r="H292" t="s">
        <v>84</v>
      </c>
      <c r="I292" t="s">
        <v>127</v>
      </c>
      <c r="J292" t="s">
        <v>129</v>
      </c>
      <c r="K292" t="s">
        <v>43</v>
      </c>
      <c r="L292">
        <v>3</v>
      </c>
      <c r="N292">
        <v>3</v>
      </c>
      <c r="O292" t="s">
        <v>73</v>
      </c>
      <c r="P292" t="s">
        <v>74</v>
      </c>
      <c r="Q292" t="s">
        <v>100</v>
      </c>
      <c r="R292" t="s">
        <v>139</v>
      </c>
      <c r="S292" t="s">
        <v>63</v>
      </c>
      <c r="T292">
        <v>3</v>
      </c>
      <c r="V292">
        <v>3</v>
      </c>
      <c r="W292" t="s">
        <v>145</v>
      </c>
      <c r="X292" t="s">
        <v>146</v>
      </c>
      <c r="Y292" t="s">
        <v>104</v>
      </c>
      <c r="Z292" t="s">
        <v>151</v>
      </c>
      <c r="AA292" t="s">
        <v>38</v>
      </c>
      <c r="AB292">
        <v>1</v>
      </c>
      <c r="AC292">
        <v>1</v>
      </c>
      <c r="AD292">
        <v>3</v>
      </c>
      <c r="AE292" t="s">
        <v>39</v>
      </c>
      <c r="AF292" t="s">
        <v>40</v>
      </c>
      <c r="AG292" t="s">
        <v>153</v>
      </c>
      <c r="AH292" t="s">
        <v>42</v>
      </c>
      <c r="AI292">
        <v>0</v>
      </c>
      <c r="AJ292">
        <v>46</v>
      </c>
    </row>
    <row r="293" spans="1:36" x14ac:dyDescent="0.25">
      <c r="A293" t="s">
        <v>1446</v>
      </c>
      <c r="B293">
        <v>291</v>
      </c>
      <c r="C293" t="s">
        <v>48</v>
      </c>
      <c r="D293">
        <v>3</v>
      </c>
      <c r="F293">
        <v>3</v>
      </c>
      <c r="G293" t="s">
        <v>89</v>
      </c>
      <c r="H293" t="s">
        <v>71</v>
      </c>
      <c r="I293" t="s">
        <v>127</v>
      </c>
      <c r="J293" t="s">
        <v>52</v>
      </c>
      <c r="K293" t="s">
        <v>43</v>
      </c>
      <c r="L293">
        <v>1</v>
      </c>
      <c r="N293">
        <v>1</v>
      </c>
      <c r="O293" t="s">
        <v>73</v>
      </c>
      <c r="P293" t="s">
        <v>74</v>
      </c>
      <c r="Q293" t="s">
        <v>75</v>
      </c>
      <c r="R293" t="s">
        <v>101</v>
      </c>
      <c r="S293" t="s">
        <v>63</v>
      </c>
      <c r="T293">
        <v>2</v>
      </c>
      <c r="V293">
        <v>1</v>
      </c>
      <c r="W293" t="s">
        <v>72</v>
      </c>
      <c r="X293" t="s">
        <v>146</v>
      </c>
      <c r="Y293" t="s">
        <v>148</v>
      </c>
      <c r="AA293" t="s">
        <v>227</v>
      </c>
      <c r="AB293">
        <v>2</v>
      </c>
      <c r="AC293">
        <v>3</v>
      </c>
      <c r="AD293">
        <v>3</v>
      </c>
      <c r="AE293" t="s">
        <v>229</v>
      </c>
      <c r="AF293" t="s">
        <v>231</v>
      </c>
      <c r="AG293" t="s">
        <v>235</v>
      </c>
      <c r="AH293" t="s">
        <v>238</v>
      </c>
      <c r="AI293">
        <v>0</v>
      </c>
      <c r="AJ293">
        <v>25</v>
      </c>
    </row>
    <row r="294" spans="1:36" x14ac:dyDescent="0.25">
      <c r="A294" t="s">
        <v>1447</v>
      </c>
      <c r="B294">
        <v>292</v>
      </c>
      <c r="C294" t="s">
        <v>48</v>
      </c>
      <c r="D294">
        <v>3</v>
      </c>
      <c r="F294">
        <v>3</v>
      </c>
      <c r="G294" t="s">
        <v>126</v>
      </c>
      <c r="H294" t="s">
        <v>71</v>
      </c>
      <c r="I294" t="s">
        <v>127</v>
      </c>
      <c r="J294" t="s">
        <v>129</v>
      </c>
      <c r="K294" t="s">
        <v>43</v>
      </c>
      <c r="L294">
        <v>2</v>
      </c>
      <c r="N294">
        <v>1</v>
      </c>
      <c r="O294" t="s">
        <v>135</v>
      </c>
      <c r="P294" t="s">
        <v>74</v>
      </c>
      <c r="Q294" t="s">
        <v>75</v>
      </c>
      <c r="R294" t="s">
        <v>139</v>
      </c>
      <c r="S294" t="s">
        <v>38</v>
      </c>
      <c r="T294">
        <v>1</v>
      </c>
      <c r="U294">
        <v>2</v>
      </c>
      <c r="V294">
        <v>3</v>
      </c>
      <c r="W294" t="s">
        <v>39</v>
      </c>
      <c r="X294" t="s">
        <v>40</v>
      </c>
      <c r="Y294" t="s">
        <v>153</v>
      </c>
      <c r="Z294" t="s">
        <v>155</v>
      </c>
      <c r="AA294" t="s">
        <v>227</v>
      </c>
      <c r="AB294">
        <v>2</v>
      </c>
      <c r="AC294">
        <v>3</v>
      </c>
      <c r="AD294">
        <v>3</v>
      </c>
      <c r="AE294" t="s">
        <v>229</v>
      </c>
      <c r="AF294" t="s">
        <v>231</v>
      </c>
      <c r="AG294" t="s">
        <v>235</v>
      </c>
      <c r="AH294" t="s">
        <v>238</v>
      </c>
      <c r="AI294">
        <v>0</v>
      </c>
      <c r="AJ294">
        <v>30</v>
      </c>
    </row>
    <row r="295" spans="1:36" x14ac:dyDescent="0.25">
      <c r="A295" t="s">
        <v>1448</v>
      </c>
      <c r="B295">
        <v>293</v>
      </c>
      <c r="C295" t="s">
        <v>48</v>
      </c>
      <c r="D295">
        <v>1</v>
      </c>
      <c r="F295">
        <v>1</v>
      </c>
      <c r="G295" t="s">
        <v>89</v>
      </c>
      <c r="H295" t="s">
        <v>71</v>
      </c>
      <c r="K295" t="s">
        <v>45</v>
      </c>
      <c r="L295">
        <v>3</v>
      </c>
      <c r="N295">
        <v>1</v>
      </c>
      <c r="O295" t="s">
        <v>140</v>
      </c>
      <c r="P295" t="s">
        <v>92</v>
      </c>
      <c r="S295" t="s">
        <v>33</v>
      </c>
      <c r="T295">
        <v>3</v>
      </c>
      <c r="V295">
        <v>2</v>
      </c>
      <c r="W295" t="s">
        <v>46</v>
      </c>
      <c r="AA295" t="s">
        <v>43</v>
      </c>
      <c r="AB295">
        <v>1</v>
      </c>
      <c r="AD295">
        <v>1</v>
      </c>
      <c r="AE295" t="s">
        <v>135</v>
      </c>
      <c r="AF295" t="s">
        <v>136</v>
      </c>
      <c r="AG295" t="s">
        <v>137</v>
      </c>
      <c r="AI295">
        <v>0</v>
      </c>
      <c r="AJ295">
        <v>13</v>
      </c>
    </row>
    <row r="296" spans="1:36" x14ac:dyDescent="0.25">
      <c r="A296" t="s">
        <v>1642</v>
      </c>
      <c r="B296">
        <v>294</v>
      </c>
      <c r="C296" t="s">
        <v>48</v>
      </c>
      <c r="D296">
        <v>3</v>
      </c>
      <c r="F296">
        <v>3</v>
      </c>
      <c r="G296" t="s">
        <v>89</v>
      </c>
      <c r="H296" t="s">
        <v>84</v>
      </c>
      <c r="I296" t="s">
        <v>127</v>
      </c>
      <c r="J296" t="s">
        <v>129</v>
      </c>
      <c r="K296" t="s">
        <v>45</v>
      </c>
      <c r="L296">
        <v>3</v>
      </c>
      <c r="N296">
        <v>3</v>
      </c>
      <c r="O296" t="s">
        <v>140</v>
      </c>
      <c r="P296" t="s">
        <v>141</v>
      </c>
      <c r="Q296" t="s">
        <v>93</v>
      </c>
      <c r="R296" t="s">
        <v>94</v>
      </c>
      <c r="S296" t="s">
        <v>33</v>
      </c>
      <c r="T296">
        <v>1</v>
      </c>
      <c r="V296">
        <v>2</v>
      </c>
      <c r="W296" t="s">
        <v>46</v>
      </c>
      <c r="AA296" t="s">
        <v>63</v>
      </c>
      <c r="AB296">
        <v>3</v>
      </c>
      <c r="AD296">
        <v>3</v>
      </c>
      <c r="AE296" t="s">
        <v>145</v>
      </c>
      <c r="AF296" t="s">
        <v>146</v>
      </c>
      <c r="AG296" t="s">
        <v>148</v>
      </c>
      <c r="AH296" t="s">
        <v>150</v>
      </c>
      <c r="AI296">
        <v>0</v>
      </c>
      <c r="AJ296">
        <v>34</v>
      </c>
    </row>
    <row r="297" spans="1:36" x14ac:dyDescent="0.25">
      <c r="A297" t="s">
        <v>1449</v>
      </c>
      <c r="B297">
        <v>295</v>
      </c>
      <c r="C297" t="s">
        <v>48</v>
      </c>
      <c r="D297">
        <v>3</v>
      </c>
      <c r="F297">
        <v>3</v>
      </c>
      <c r="G297" t="s">
        <v>89</v>
      </c>
      <c r="H297" t="s">
        <v>50</v>
      </c>
      <c r="I297" t="s">
        <v>51</v>
      </c>
      <c r="J297" t="s">
        <v>128</v>
      </c>
      <c r="K297" t="s">
        <v>45</v>
      </c>
      <c r="L297">
        <v>1</v>
      </c>
      <c r="N297">
        <v>1</v>
      </c>
      <c r="O297" t="s">
        <v>140</v>
      </c>
      <c r="P297" t="s">
        <v>92</v>
      </c>
      <c r="S297" t="s">
        <v>33</v>
      </c>
      <c r="T297">
        <v>2</v>
      </c>
      <c r="V297">
        <v>1</v>
      </c>
      <c r="W297" t="s">
        <v>34</v>
      </c>
      <c r="AA297" t="s">
        <v>38</v>
      </c>
      <c r="AB297">
        <v>3</v>
      </c>
      <c r="AC297">
        <v>1</v>
      </c>
      <c r="AD297">
        <v>3</v>
      </c>
      <c r="AE297" t="s">
        <v>39</v>
      </c>
      <c r="AF297" t="s">
        <v>96</v>
      </c>
      <c r="AG297" t="s">
        <v>153</v>
      </c>
      <c r="AH297" t="s">
        <v>156</v>
      </c>
      <c r="AI297">
        <v>0</v>
      </c>
      <c r="AJ297">
        <v>23</v>
      </c>
    </row>
    <row r="298" spans="1:36" x14ac:dyDescent="0.25">
      <c r="A298" t="s">
        <v>1450</v>
      </c>
      <c r="B298">
        <v>296</v>
      </c>
      <c r="C298" t="s">
        <v>48</v>
      </c>
      <c r="D298">
        <v>1</v>
      </c>
      <c r="F298">
        <v>1</v>
      </c>
      <c r="G298" t="s">
        <v>89</v>
      </c>
      <c r="H298" t="s">
        <v>84</v>
      </c>
      <c r="I298" t="s">
        <v>127</v>
      </c>
      <c r="J298" t="s">
        <v>129</v>
      </c>
      <c r="K298" t="s">
        <v>45</v>
      </c>
      <c r="L298">
        <v>3</v>
      </c>
      <c r="N298">
        <v>1</v>
      </c>
      <c r="O298" t="s">
        <v>140</v>
      </c>
      <c r="P298" t="s">
        <v>141</v>
      </c>
      <c r="S298" t="s">
        <v>33</v>
      </c>
      <c r="T298">
        <v>1</v>
      </c>
      <c r="V298">
        <v>1</v>
      </c>
      <c r="W298" t="s">
        <v>46</v>
      </c>
      <c r="X298" t="s">
        <v>66</v>
      </c>
      <c r="AA298" t="s">
        <v>227</v>
      </c>
      <c r="AB298">
        <v>1</v>
      </c>
      <c r="AC298">
        <v>1</v>
      </c>
      <c r="AD298">
        <v>2</v>
      </c>
      <c r="AE298" t="s">
        <v>229</v>
      </c>
      <c r="AF298" t="s">
        <v>231</v>
      </c>
      <c r="AG298" t="s">
        <v>235</v>
      </c>
      <c r="AI298">
        <v>0</v>
      </c>
      <c r="AJ298">
        <v>14</v>
      </c>
    </row>
    <row r="299" spans="1:36" x14ac:dyDescent="0.25">
      <c r="A299" t="s">
        <v>1451</v>
      </c>
      <c r="B299">
        <v>297</v>
      </c>
      <c r="C299" t="s">
        <v>48</v>
      </c>
      <c r="D299">
        <v>2</v>
      </c>
      <c r="F299">
        <v>1</v>
      </c>
      <c r="G299" t="s">
        <v>126</v>
      </c>
      <c r="H299" t="s">
        <v>84</v>
      </c>
      <c r="I299" t="s">
        <v>127</v>
      </c>
      <c r="J299" t="s">
        <v>129</v>
      </c>
      <c r="K299" t="s">
        <v>45</v>
      </c>
      <c r="L299">
        <v>3</v>
      </c>
      <c r="N299">
        <v>1</v>
      </c>
      <c r="O299" t="s">
        <v>140</v>
      </c>
      <c r="P299" t="s">
        <v>76</v>
      </c>
      <c r="Q299" t="s">
        <v>93</v>
      </c>
      <c r="R299" t="s">
        <v>94</v>
      </c>
      <c r="S299" t="s">
        <v>43</v>
      </c>
      <c r="T299">
        <v>1</v>
      </c>
      <c r="V299">
        <v>2</v>
      </c>
      <c r="W299" t="s">
        <v>135</v>
      </c>
      <c r="X299" t="s">
        <v>136</v>
      </c>
      <c r="AA299" t="s">
        <v>63</v>
      </c>
      <c r="AB299">
        <v>1</v>
      </c>
      <c r="AD299">
        <v>2</v>
      </c>
      <c r="AE299" t="s">
        <v>145</v>
      </c>
      <c r="AF299" t="s">
        <v>91</v>
      </c>
      <c r="AG299" t="s">
        <v>148</v>
      </c>
      <c r="AH299" t="s">
        <v>151</v>
      </c>
      <c r="AI299">
        <v>0</v>
      </c>
      <c r="AJ299">
        <v>19</v>
      </c>
    </row>
    <row r="300" spans="1:36" x14ac:dyDescent="0.25">
      <c r="A300" t="s">
        <v>1452</v>
      </c>
      <c r="B300">
        <v>298</v>
      </c>
      <c r="C300" t="s">
        <v>48</v>
      </c>
      <c r="D300">
        <v>3</v>
      </c>
      <c r="F300">
        <v>3</v>
      </c>
      <c r="G300" t="s">
        <v>126</v>
      </c>
      <c r="H300" t="s">
        <v>84</v>
      </c>
      <c r="I300" t="s">
        <v>127</v>
      </c>
      <c r="J300" t="s">
        <v>52</v>
      </c>
      <c r="K300" t="s">
        <v>45</v>
      </c>
      <c r="L300">
        <v>3</v>
      </c>
      <c r="N300">
        <v>1</v>
      </c>
      <c r="O300" t="s">
        <v>140</v>
      </c>
      <c r="S300" t="s">
        <v>43</v>
      </c>
      <c r="T300">
        <v>1</v>
      </c>
      <c r="V300">
        <v>1</v>
      </c>
      <c r="W300" t="s">
        <v>44</v>
      </c>
      <c r="X300" t="s">
        <v>136</v>
      </c>
      <c r="Y300" t="s">
        <v>75</v>
      </c>
      <c r="Z300" t="s">
        <v>101</v>
      </c>
      <c r="AA300" t="s">
        <v>38</v>
      </c>
      <c r="AB300">
        <v>3</v>
      </c>
      <c r="AC300">
        <v>3</v>
      </c>
      <c r="AD300">
        <v>3</v>
      </c>
      <c r="AE300" t="s">
        <v>39</v>
      </c>
      <c r="AF300" t="s">
        <v>96</v>
      </c>
      <c r="AG300" t="s">
        <v>154</v>
      </c>
      <c r="AH300" t="s">
        <v>156</v>
      </c>
      <c r="AI300">
        <v>0</v>
      </c>
      <c r="AJ300">
        <v>27</v>
      </c>
    </row>
    <row r="301" spans="1:36" x14ac:dyDescent="0.25">
      <c r="A301" t="s">
        <v>1453</v>
      </c>
      <c r="B301">
        <v>299</v>
      </c>
      <c r="C301" t="s">
        <v>43</v>
      </c>
      <c r="D301">
        <v>2</v>
      </c>
      <c r="F301">
        <v>1</v>
      </c>
      <c r="G301" t="s">
        <v>73</v>
      </c>
      <c r="H301" t="s">
        <v>136</v>
      </c>
      <c r="I301" t="s">
        <v>75</v>
      </c>
      <c r="J301" t="s">
        <v>101</v>
      </c>
      <c r="K301" t="s">
        <v>227</v>
      </c>
      <c r="L301">
        <v>3</v>
      </c>
      <c r="M301">
        <v>1</v>
      </c>
      <c r="N301">
        <v>1</v>
      </c>
      <c r="O301" t="s">
        <v>228</v>
      </c>
      <c r="P301" t="s">
        <v>231</v>
      </c>
      <c r="S301" t="s">
        <v>48</v>
      </c>
      <c r="T301">
        <v>3</v>
      </c>
      <c r="V301">
        <v>1</v>
      </c>
      <c r="W301" t="s">
        <v>89</v>
      </c>
      <c r="AA301" t="s">
        <v>45</v>
      </c>
      <c r="AB301">
        <v>2</v>
      </c>
      <c r="AD301">
        <v>1</v>
      </c>
      <c r="AE301" t="s">
        <v>140</v>
      </c>
      <c r="AI301">
        <v>0</v>
      </c>
      <c r="AJ301">
        <v>14</v>
      </c>
    </row>
    <row r="302" spans="1:36" x14ac:dyDescent="0.25">
      <c r="A302" t="s">
        <v>1454</v>
      </c>
      <c r="B302">
        <v>300</v>
      </c>
      <c r="C302" t="s">
        <v>48</v>
      </c>
      <c r="D302">
        <v>2</v>
      </c>
      <c r="F302">
        <v>1</v>
      </c>
      <c r="G302" t="s">
        <v>89</v>
      </c>
      <c r="H302" t="s">
        <v>84</v>
      </c>
      <c r="I302" t="s">
        <v>127</v>
      </c>
      <c r="J302" t="s">
        <v>129</v>
      </c>
      <c r="K302" t="s">
        <v>45</v>
      </c>
      <c r="L302">
        <v>3</v>
      </c>
      <c r="N302">
        <v>1</v>
      </c>
      <c r="O302" t="s">
        <v>86</v>
      </c>
      <c r="P302" t="s">
        <v>141</v>
      </c>
      <c r="Q302" t="s">
        <v>93</v>
      </c>
      <c r="S302" t="s">
        <v>63</v>
      </c>
      <c r="T302">
        <v>1</v>
      </c>
      <c r="V302">
        <v>2</v>
      </c>
      <c r="W302" t="s">
        <v>145</v>
      </c>
      <c r="X302" t="s">
        <v>146</v>
      </c>
      <c r="Y302" t="s">
        <v>148</v>
      </c>
      <c r="AA302" t="s">
        <v>38</v>
      </c>
      <c r="AB302">
        <v>1</v>
      </c>
      <c r="AC302">
        <v>1</v>
      </c>
      <c r="AD302">
        <v>2</v>
      </c>
      <c r="AE302" t="s">
        <v>39</v>
      </c>
      <c r="AF302" t="s">
        <v>96</v>
      </c>
      <c r="AI302">
        <v>0</v>
      </c>
      <c r="AJ302">
        <v>17</v>
      </c>
    </row>
    <row r="303" spans="1:36" x14ac:dyDescent="0.25">
      <c r="A303" t="s">
        <v>1643</v>
      </c>
      <c r="B303">
        <v>301</v>
      </c>
      <c r="C303" t="s">
        <v>63</v>
      </c>
      <c r="D303">
        <v>1</v>
      </c>
      <c r="F303">
        <v>2</v>
      </c>
      <c r="G303" t="s">
        <v>145</v>
      </c>
      <c r="H303" t="s">
        <v>146</v>
      </c>
      <c r="I303" t="s">
        <v>104</v>
      </c>
      <c r="J303" t="s">
        <v>150</v>
      </c>
      <c r="K303" t="s">
        <v>227</v>
      </c>
      <c r="L303">
        <v>3</v>
      </c>
      <c r="M303">
        <v>3</v>
      </c>
      <c r="N303">
        <v>3</v>
      </c>
      <c r="O303" t="s">
        <v>229</v>
      </c>
      <c r="P303" t="s">
        <v>231</v>
      </c>
      <c r="Q303" t="s">
        <v>235</v>
      </c>
      <c r="R303" t="s">
        <v>238</v>
      </c>
      <c r="S303" t="s">
        <v>48</v>
      </c>
      <c r="T303">
        <v>3</v>
      </c>
      <c r="V303">
        <v>3</v>
      </c>
      <c r="W303" t="s">
        <v>126</v>
      </c>
      <c r="X303" t="s">
        <v>84</v>
      </c>
      <c r="Y303" t="s">
        <v>51</v>
      </c>
      <c r="Z303" t="s">
        <v>52</v>
      </c>
      <c r="AA303" t="s">
        <v>45</v>
      </c>
      <c r="AB303">
        <v>3</v>
      </c>
      <c r="AD303">
        <v>1</v>
      </c>
      <c r="AE303" t="s">
        <v>86</v>
      </c>
      <c r="AI303">
        <v>0</v>
      </c>
      <c r="AJ303">
        <v>32</v>
      </c>
    </row>
    <row r="304" spans="1:36" x14ac:dyDescent="0.25">
      <c r="A304" t="s">
        <v>1455</v>
      </c>
      <c r="B304">
        <v>302</v>
      </c>
      <c r="C304" t="s">
        <v>38</v>
      </c>
      <c r="D304">
        <v>2</v>
      </c>
      <c r="E304">
        <v>1</v>
      </c>
      <c r="F304">
        <v>2</v>
      </c>
      <c r="G304" t="s">
        <v>39</v>
      </c>
      <c r="H304" t="s">
        <v>96</v>
      </c>
      <c r="K304" t="s">
        <v>227</v>
      </c>
      <c r="L304">
        <v>2</v>
      </c>
      <c r="M304">
        <v>1</v>
      </c>
      <c r="N304">
        <v>1</v>
      </c>
      <c r="O304" t="s">
        <v>228</v>
      </c>
      <c r="P304" t="s">
        <v>231</v>
      </c>
      <c r="S304" t="s">
        <v>48</v>
      </c>
      <c r="T304">
        <v>2</v>
      </c>
      <c r="V304">
        <v>1</v>
      </c>
      <c r="W304" t="s">
        <v>89</v>
      </c>
      <c r="X304" t="s">
        <v>50</v>
      </c>
      <c r="AA304" t="s">
        <v>45</v>
      </c>
      <c r="AB304">
        <v>1</v>
      </c>
      <c r="AD304">
        <v>1</v>
      </c>
      <c r="AE304" t="s">
        <v>140</v>
      </c>
      <c r="AI304">
        <v>0</v>
      </c>
      <c r="AJ304">
        <v>12</v>
      </c>
    </row>
    <row r="305" spans="1:36" x14ac:dyDescent="0.25">
      <c r="A305" t="s">
        <v>1456</v>
      </c>
      <c r="B305">
        <v>303</v>
      </c>
      <c r="C305" t="s">
        <v>33</v>
      </c>
      <c r="D305">
        <v>3</v>
      </c>
      <c r="F305">
        <v>2</v>
      </c>
      <c r="G305" t="s">
        <v>34</v>
      </c>
      <c r="H305" t="s">
        <v>35</v>
      </c>
      <c r="I305" t="s">
        <v>132</v>
      </c>
      <c r="J305" t="s">
        <v>37</v>
      </c>
      <c r="K305" t="s">
        <v>43</v>
      </c>
      <c r="L305">
        <v>3</v>
      </c>
      <c r="N305">
        <v>1</v>
      </c>
      <c r="O305" t="s">
        <v>135</v>
      </c>
      <c r="P305" t="s">
        <v>99</v>
      </c>
      <c r="Q305" t="s">
        <v>75</v>
      </c>
      <c r="R305" t="s">
        <v>139</v>
      </c>
      <c r="S305" t="s">
        <v>48</v>
      </c>
      <c r="T305">
        <v>1</v>
      </c>
      <c r="V305">
        <v>1</v>
      </c>
      <c r="W305" t="s">
        <v>126</v>
      </c>
      <c r="X305" t="s">
        <v>50</v>
      </c>
      <c r="AA305" t="s">
        <v>63</v>
      </c>
      <c r="AB305">
        <v>2</v>
      </c>
      <c r="AD305">
        <v>2</v>
      </c>
      <c r="AE305" t="s">
        <v>145</v>
      </c>
      <c r="AF305" t="s">
        <v>146</v>
      </c>
      <c r="AG305" t="s">
        <v>104</v>
      </c>
      <c r="AH305" t="s">
        <v>150</v>
      </c>
      <c r="AI305">
        <v>0</v>
      </c>
      <c r="AJ305">
        <v>21</v>
      </c>
    </row>
    <row r="306" spans="1:36" x14ac:dyDescent="0.25">
      <c r="A306" t="s">
        <v>1644</v>
      </c>
      <c r="B306">
        <v>304</v>
      </c>
      <c r="C306" t="s">
        <v>33</v>
      </c>
      <c r="D306">
        <v>3</v>
      </c>
      <c r="F306">
        <v>2</v>
      </c>
      <c r="G306" t="s">
        <v>34</v>
      </c>
      <c r="H306" t="s">
        <v>35</v>
      </c>
      <c r="K306" t="s">
        <v>45</v>
      </c>
      <c r="L306">
        <v>3</v>
      </c>
      <c r="N306">
        <v>1</v>
      </c>
      <c r="O306" t="s">
        <v>86</v>
      </c>
      <c r="P306" t="s">
        <v>141</v>
      </c>
      <c r="Q306" t="s">
        <v>93</v>
      </c>
      <c r="S306" t="s">
        <v>48</v>
      </c>
      <c r="T306">
        <v>1</v>
      </c>
      <c r="V306">
        <v>1</v>
      </c>
      <c r="W306" t="s">
        <v>126</v>
      </c>
      <c r="X306" t="s">
        <v>50</v>
      </c>
      <c r="AA306" t="s">
        <v>63</v>
      </c>
      <c r="AB306">
        <v>3</v>
      </c>
      <c r="AD306">
        <v>1</v>
      </c>
      <c r="AE306" t="s">
        <v>145</v>
      </c>
      <c r="AF306" t="s">
        <v>146</v>
      </c>
      <c r="AI306">
        <v>0</v>
      </c>
      <c r="AJ306">
        <v>16</v>
      </c>
    </row>
    <row r="307" spans="1:36" x14ac:dyDescent="0.25">
      <c r="A307" t="s">
        <v>1457</v>
      </c>
      <c r="B307">
        <v>305</v>
      </c>
      <c r="C307" t="s">
        <v>48</v>
      </c>
      <c r="D307">
        <v>3</v>
      </c>
      <c r="F307">
        <v>3</v>
      </c>
      <c r="G307" t="s">
        <v>89</v>
      </c>
      <c r="H307" t="s">
        <v>84</v>
      </c>
      <c r="I307" t="s">
        <v>51</v>
      </c>
      <c r="J307" t="s">
        <v>128</v>
      </c>
      <c r="K307" t="s">
        <v>63</v>
      </c>
      <c r="L307">
        <v>3</v>
      </c>
      <c r="N307">
        <v>2</v>
      </c>
      <c r="O307" t="s">
        <v>72</v>
      </c>
      <c r="P307" t="s">
        <v>91</v>
      </c>
      <c r="Q307" t="s">
        <v>147</v>
      </c>
      <c r="R307" t="s">
        <v>150</v>
      </c>
      <c r="S307" t="s">
        <v>33</v>
      </c>
      <c r="T307">
        <v>2</v>
      </c>
      <c r="V307">
        <v>1</v>
      </c>
      <c r="W307" t="s">
        <v>34</v>
      </c>
      <c r="AA307" t="s">
        <v>38</v>
      </c>
      <c r="AB307">
        <v>1</v>
      </c>
      <c r="AC307">
        <v>3</v>
      </c>
      <c r="AD307">
        <v>3</v>
      </c>
      <c r="AE307" t="s">
        <v>39</v>
      </c>
      <c r="AF307" t="s">
        <v>96</v>
      </c>
      <c r="AG307" t="s">
        <v>154</v>
      </c>
      <c r="AH307" t="s">
        <v>156</v>
      </c>
      <c r="AI307">
        <v>0</v>
      </c>
      <c r="AJ307">
        <v>27</v>
      </c>
    </row>
    <row r="308" spans="1:36" x14ac:dyDescent="0.25">
      <c r="A308" t="s">
        <v>1645</v>
      </c>
      <c r="B308">
        <v>306</v>
      </c>
      <c r="C308" t="s">
        <v>48</v>
      </c>
      <c r="D308">
        <v>3</v>
      </c>
      <c r="F308">
        <v>3</v>
      </c>
      <c r="G308" t="s">
        <v>126</v>
      </c>
      <c r="H308" t="s">
        <v>50</v>
      </c>
      <c r="I308" t="s">
        <v>51</v>
      </c>
      <c r="J308" t="s">
        <v>129</v>
      </c>
      <c r="K308" t="s">
        <v>63</v>
      </c>
      <c r="L308">
        <v>3</v>
      </c>
      <c r="N308">
        <v>3</v>
      </c>
      <c r="O308" t="s">
        <v>72</v>
      </c>
      <c r="P308" t="s">
        <v>91</v>
      </c>
      <c r="Q308" t="s">
        <v>148</v>
      </c>
      <c r="R308" t="s">
        <v>149</v>
      </c>
      <c r="S308" t="s">
        <v>33</v>
      </c>
      <c r="T308">
        <v>2</v>
      </c>
      <c r="V308">
        <v>1</v>
      </c>
      <c r="W308" t="s">
        <v>34</v>
      </c>
      <c r="AA308" t="s">
        <v>227</v>
      </c>
      <c r="AB308">
        <v>2</v>
      </c>
      <c r="AC308">
        <v>2</v>
      </c>
      <c r="AD308">
        <v>3</v>
      </c>
      <c r="AE308" t="s">
        <v>229</v>
      </c>
      <c r="AF308" t="s">
        <v>231</v>
      </c>
      <c r="AG308" t="s">
        <v>235</v>
      </c>
      <c r="AH308" t="s">
        <v>239</v>
      </c>
      <c r="AI308">
        <v>0</v>
      </c>
      <c r="AJ308">
        <v>28</v>
      </c>
    </row>
    <row r="309" spans="1:36" x14ac:dyDescent="0.25">
      <c r="A309" t="s">
        <v>1646</v>
      </c>
      <c r="B309">
        <v>307</v>
      </c>
      <c r="C309" t="s">
        <v>43</v>
      </c>
      <c r="D309">
        <v>3</v>
      </c>
      <c r="F309">
        <v>1</v>
      </c>
      <c r="G309" t="s">
        <v>44</v>
      </c>
      <c r="K309" t="s">
        <v>45</v>
      </c>
      <c r="L309">
        <v>3</v>
      </c>
      <c r="N309">
        <v>1</v>
      </c>
      <c r="O309" t="s">
        <v>86</v>
      </c>
      <c r="P309" t="s">
        <v>141</v>
      </c>
      <c r="S309" t="s">
        <v>48</v>
      </c>
      <c r="T309">
        <v>1</v>
      </c>
      <c r="V309">
        <v>1</v>
      </c>
      <c r="W309" t="s">
        <v>126</v>
      </c>
      <c r="AA309" t="s">
        <v>63</v>
      </c>
      <c r="AB309">
        <v>1</v>
      </c>
      <c r="AD309">
        <v>2</v>
      </c>
      <c r="AE309" t="s">
        <v>145</v>
      </c>
      <c r="AF309" t="s">
        <v>146</v>
      </c>
      <c r="AI309">
        <v>0</v>
      </c>
      <c r="AJ309">
        <v>12</v>
      </c>
    </row>
    <row r="310" spans="1:36" x14ac:dyDescent="0.25">
      <c r="A310" t="s">
        <v>1458</v>
      </c>
      <c r="B310">
        <v>308</v>
      </c>
      <c r="C310" t="s">
        <v>48</v>
      </c>
      <c r="D310">
        <v>3</v>
      </c>
      <c r="F310">
        <v>3</v>
      </c>
      <c r="G310" t="s">
        <v>89</v>
      </c>
      <c r="H310" t="s">
        <v>84</v>
      </c>
      <c r="I310" t="s">
        <v>51</v>
      </c>
      <c r="J310" t="s">
        <v>129</v>
      </c>
      <c r="K310" t="s">
        <v>63</v>
      </c>
      <c r="L310">
        <v>3</v>
      </c>
      <c r="N310">
        <v>2</v>
      </c>
      <c r="O310" t="s">
        <v>103</v>
      </c>
      <c r="P310" t="s">
        <v>146</v>
      </c>
      <c r="Q310" t="s">
        <v>147</v>
      </c>
      <c r="R310" t="s">
        <v>149</v>
      </c>
      <c r="S310" t="s">
        <v>43</v>
      </c>
      <c r="T310">
        <v>3</v>
      </c>
      <c r="V310">
        <v>1</v>
      </c>
      <c r="W310" t="s">
        <v>44</v>
      </c>
      <c r="X310" t="s">
        <v>136</v>
      </c>
      <c r="AA310" t="s">
        <v>38</v>
      </c>
      <c r="AB310">
        <v>3</v>
      </c>
      <c r="AC310">
        <v>1</v>
      </c>
      <c r="AD310">
        <v>3</v>
      </c>
      <c r="AE310" t="s">
        <v>39</v>
      </c>
      <c r="AF310" t="s">
        <v>96</v>
      </c>
      <c r="AG310" t="s">
        <v>153</v>
      </c>
      <c r="AH310" t="s">
        <v>42</v>
      </c>
      <c r="AI310">
        <v>0</v>
      </c>
      <c r="AJ310">
        <v>28</v>
      </c>
    </row>
    <row r="311" spans="1:36" x14ac:dyDescent="0.25">
      <c r="A311" t="s">
        <v>1647</v>
      </c>
      <c r="B311">
        <v>309</v>
      </c>
      <c r="C311" t="s">
        <v>43</v>
      </c>
      <c r="D311">
        <v>3</v>
      </c>
      <c r="F311">
        <v>1</v>
      </c>
      <c r="G311" t="s">
        <v>44</v>
      </c>
      <c r="H311" t="s">
        <v>136</v>
      </c>
      <c r="I311" t="s">
        <v>137</v>
      </c>
      <c r="K311" t="s">
        <v>227</v>
      </c>
      <c r="L311">
        <v>2</v>
      </c>
      <c r="M311">
        <v>1</v>
      </c>
      <c r="N311">
        <v>2</v>
      </c>
      <c r="O311" t="s">
        <v>229</v>
      </c>
      <c r="P311" t="s">
        <v>233</v>
      </c>
      <c r="Q311" t="s">
        <v>236</v>
      </c>
      <c r="S311" t="s">
        <v>48</v>
      </c>
      <c r="T311">
        <v>1</v>
      </c>
      <c r="V311">
        <v>1</v>
      </c>
      <c r="W311" t="s">
        <v>126</v>
      </c>
      <c r="X311" t="s">
        <v>84</v>
      </c>
      <c r="AA311" t="s">
        <v>63</v>
      </c>
      <c r="AB311">
        <v>2</v>
      </c>
      <c r="AD311">
        <v>1</v>
      </c>
      <c r="AE311" t="s">
        <v>72</v>
      </c>
      <c r="AF311" t="s">
        <v>146</v>
      </c>
      <c r="AG311" t="s">
        <v>148</v>
      </c>
      <c r="AI311">
        <v>0</v>
      </c>
      <c r="AJ311">
        <v>16</v>
      </c>
    </row>
    <row r="312" spans="1:36" x14ac:dyDescent="0.25">
      <c r="A312" t="s">
        <v>1459</v>
      </c>
      <c r="B312">
        <v>310</v>
      </c>
      <c r="C312" t="s">
        <v>48</v>
      </c>
      <c r="D312">
        <v>3</v>
      </c>
      <c r="F312">
        <v>3</v>
      </c>
      <c r="G312" t="s">
        <v>126</v>
      </c>
      <c r="H312" t="s">
        <v>84</v>
      </c>
      <c r="I312" t="s">
        <v>90</v>
      </c>
      <c r="J312" t="s">
        <v>129</v>
      </c>
      <c r="K312" t="s">
        <v>63</v>
      </c>
      <c r="L312">
        <v>3</v>
      </c>
      <c r="N312">
        <v>3</v>
      </c>
      <c r="O312" t="s">
        <v>72</v>
      </c>
      <c r="P312" t="s">
        <v>146</v>
      </c>
      <c r="Q312" t="s">
        <v>147</v>
      </c>
      <c r="R312" t="s">
        <v>151</v>
      </c>
      <c r="S312" t="s">
        <v>45</v>
      </c>
      <c r="T312">
        <v>3</v>
      </c>
      <c r="V312">
        <v>1</v>
      </c>
      <c r="W312" t="s">
        <v>86</v>
      </c>
      <c r="X312" t="s">
        <v>141</v>
      </c>
      <c r="Y312" t="s">
        <v>93</v>
      </c>
      <c r="Z312" t="s">
        <v>143</v>
      </c>
      <c r="AA312" t="s">
        <v>38</v>
      </c>
      <c r="AB312">
        <v>3</v>
      </c>
      <c r="AC312">
        <v>3</v>
      </c>
      <c r="AD312">
        <v>3</v>
      </c>
      <c r="AE312" t="s">
        <v>39</v>
      </c>
      <c r="AF312" t="s">
        <v>96</v>
      </c>
      <c r="AG312" t="s">
        <v>153</v>
      </c>
      <c r="AH312" t="s">
        <v>42</v>
      </c>
      <c r="AI312">
        <v>0</v>
      </c>
      <c r="AJ312">
        <v>42</v>
      </c>
    </row>
    <row r="313" spans="1:36" x14ac:dyDescent="0.25">
      <c r="A313" t="s">
        <v>1648</v>
      </c>
      <c r="B313">
        <v>311</v>
      </c>
      <c r="C313" t="s">
        <v>45</v>
      </c>
      <c r="D313">
        <v>3</v>
      </c>
      <c r="F313">
        <v>1</v>
      </c>
      <c r="G313" t="s">
        <v>86</v>
      </c>
      <c r="H313" t="s">
        <v>141</v>
      </c>
      <c r="I313" t="s">
        <v>93</v>
      </c>
      <c r="J313" t="s">
        <v>144</v>
      </c>
      <c r="K313" t="s">
        <v>227</v>
      </c>
      <c r="L313">
        <v>1</v>
      </c>
      <c r="M313">
        <v>3</v>
      </c>
      <c r="N313">
        <v>2</v>
      </c>
      <c r="O313" t="s">
        <v>229</v>
      </c>
      <c r="P313" t="s">
        <v>231</v>
      </c>
      <c r="Q313" t="s">
        <v>235</v>
      </c>
      <c r="S313" t="s">
        <v>48</v>
      </c>
      <c r="T313">
        <v>3</v>
      </c>
      <c r="V313">
        <v>1</v>
      </c>
      <c r="W313" t="s">
        <v>126</v>
      </c>
      <c r="X313" t="s">
        <v>84</v>
      </c>
      <c r="Y313" t="s">
        <v>127</v>
      </c>
      <c r="Z313" t="s">
        <v>52</v>
      </c>
      <c r="AA313" t="s">
        <v>63</v>
      </c>
      <c r="AB313">
        <v>2</v>
      </c>
      <c r="AD313">
        <v>1</v>
      </c>
      <c r="AE313" t="s">
        <v>72</v>
      </c>
      <c r="AF313" t="s">
        <v>146</v>
      </c>
      <c r="AI313">
        <v>0</v>
      </c>
      <c r="AJ313">
        <v>22</v>
      </c>
    </row>
    <row r="314" spans="1:36" x14ac:dyDescent="0.25">
      <c r="A314" t="s">
        <v>1649</v>
      </c>
      <c r="B314">
        <v>312</v>
      </c>
      <c r="C314" t="s">
        <v>48</v>
      </c>
      <c r="D314">
        <v>3</v>
      </c>
      <c r="F314">
        <v>3</v>
      </c>
      <c r="G314" t="s">
        <v>89</v>
      </c>
      <c r="H314" t="s">
        <v>50</v>
      </c>
      <c r="I314" t="s">
        <v>51</v>
      </c>
      <c r="J314" t="s">
        <v>52</v>
      </c>
      <c r="K314" t="s">
        <v>63</v>
      </c>
      <c r="L314">
        <v>3</v>
      </c>
      <c r="N314">
        <v>3</v>
      </c>
      <c r="O314" t="s">
        <v>72</v>
      </c>
      <c r="P314" t="s">
        <v>91</v>
      </c>
      <c r="Q314" t="s">
        <v>147</v>
      </c>
      <c r="R314" t="s">
        <v>150</v>
      </c>
      <c r="S314" t="s">
        <v>38</v>
      </c>
      <c r="T314">
        <v>3</v>
      </c>
      <c r="U314">
        <v>1</v>
      </c>
      <c r="V314">
        <v>3</v>
      </c>
      <c r="W314" t="s">
        <v>39</v>
      </c>
      <c r="X314" t="s">
        <v>96</v>
      </c>
      <c r="Y314" t="s">
        <v>153</v>
      </c>
      <c r="Z314" t="s">
        <v>155</v>
      </c>
      <c r="AA314" t="s">
        <v>227</v>
      </c>
      <c r="AB314">
        <v>3</v>
      </c>
      <c r="AC314">
        <v>3</v>
      </c>
      <c r="AD314">
        <v>3</v>
      </c>
      <c r="AE314" t="s">
        <v>229</v>
      </c>
      <c r="AF314" t="s">
        <v>231</v>
      </c>
      <c r="AG314" t="s">
        <v>235</v>
      </c>
      <c r="AH314" t="s">
        <v>238</v>
      </c>
      <c r="AI314">
        <v>0</v>
      </c>
      <c r="AJ314">
        <v>46</v>
      </c>
    </row>
    <row r="315" spans="1:36" x14ac:dyDescent="0.25">
      <c r="A315" t="s">
        <v>1650</v>
      </c>
      <c r="B315">
        <v>313</v>
      </c>
      <c r="C315" t="s">
        <v>48</v>
      </c>
      <c r="D315">
        <v>2</v>
      </c>
      <c r="F315">
        <v>2</v>
      </c>
      <c r="G315" t="s">
        <v>126</v>
      </c>
      <c r="K315" t="s">
        <v>38</v>
      </c>
      <c r="L315">
        <v>1</v>
      </c>
      <c r="M315">
        <v>1</v>
      </c>
      <c r="N315">
        <v>3</v>
      </c>
      <c r="O315" t="s">
        <v>67</v>
      </c>
      <c r="P315" t="s">
        <v>70</v>
      </c>
      <c r="S315" t="s">
        <v>33</v>
      </c>
      <c r="T315">
        <v>1</v>
      </c>
      <c r="V315">
        <v>1</v>
      </c>
      <c r="W315" t="s">
        <v>46</v>
      </c>
      <c r="AA315" t="s">
        <v>43</v>
      </c>
      <c r="AB315">
        <v>2</v>
      </c>
      <c r="AD315">
        <v>1</v>
      </c>
      <c r="AE315" t="s">
        <v>135</v>
      </c>
      <c r="AF315" t="s">
        <v>74</v>
      </c>
      <c r="AI315">
        <v>0</v>
      </c>
      <c r="AJ315">
        <v>13</v>
      </c>
    </row>
    <row r="316" spans="1:36" x14ac:dyDescent="0.25">
      <c r="A316" t="s">
        <v>1460</v>
      </c>
      <c r="B316">
        <v>314</v>
      </c>
      <c r="C316" t="s">
        <v>48</v>
      </c>
      <c r="D316">
        <v>2</v>
      </c>
      <c r="F316">
        <v>2</v>
      </c>
      <c r="G316" t="s">
        <v>89</v>
      </c>
      <c r="H316" t="s">
        <v>50</v>
      </c>
      <c r="I316" t="s">
        <v>127</v>
      </c>
      <c r="J316" t="s">
        <v>129</v>
      </c>
      <c r="K316" t="s">
        <v>38</v>
      </c>
      <c r="L316">
        <v>2</v>
      </c>
      <c r="M316">
        <v>1</v>
      </c>
      <c r="N316">
        <v>2</v>
      </c>
      <c r="O316" t="s">
        <v>67</v>
      </c>
      <c r="P316" t="s">
        <v>96</v>
      </c>
      <c r="Q316" t="s">
        <v>41</v>
      </c>
      <c r="S316" t="s">
        <v>33</v>
      </c>
      <c r="T316">
        <v>1</v>
      </c>
      <c r="V316">
        <v>1</v>
      </c>
      <c r="W316" t="s">
        <v>46</v>
      </c>
      <c r="AA316" t="s">
        <v>45</v>
      </c>
      <c r="AB316">
        <v>3</v>
      </c>
      <c r="AD316">
        <v>1</v>
      </c>
      <c r="AE316" t="s">
        <v>140</v>
      </c>
      <c r="AF316" t="s">
        <v>76</v>
      </c>
      <c r="AG316" t="s">
        <v>102</v>
      </c>
      <c r="AH316" t="s">
        <v>94</v>
      </c>
      <c r="AI316">
        <v>0</v>
      </c>
      <c r="AJ316">
        <v>18</v>
      </c>
    </row>
    <row r="317" spans="1:36" x14ac:dyDescent="0.25">
      <c r="A317" t="s">
        <v>1651</v>
      </c>
      <c r="B317">
        <v>315</v>
      </c>
      <c r="C317" t="s">
        <v>48</v>
      </c>
      <c r="D317">
        <v>3</v>
      </c>
      <c r="F317">
        <v>1</v>
      </c>
      <c r="G317" t="s">
        <v>89</v>
      </c>
      <c r="H317" t="s">
        <v>71</v>
      </c>
      <c r="K317" t="s">
        <v>38</v>
      </c>
      <c r="L317">
        <v>2</v>
      </c>
      <c r="M317">
        <v>1</v>
      </c>
      <c r="N317">
        <v>1</v>
      </c>
      <c r="O317" t="s">
        <v>67</v>
      </c>
      <c r="P317" t="s">
        <v>96</v>
      </c>
      <c r="Q317" t="s">
        <v>154</v>
      </c>
      <c r="S317" t="s">
        <v>33</v>
      </c>
      <c r="T317">
        <v>1</v>
      </c>
      <c r="V317">
        <v>1</v>
      </c>
      <c r="W317" t="s">
        <v>65</v>
      </c>
      <c r="AA317" t="s">
        <v>63</v>
      </c>
      <c r="AB317">
        <v>2</v>
      </c>
      <c r="AD317">
        <v>1</v>
      </c>
      <c r="AE317" t="s">
        <v>145</v>
      </c>
      <c r="AF317" t="s">
        <v>91</v>
      </c>
      <c r="AI317">
        <v>0</v>
      </c>
      <c r="AJ317">
        <v>12</v>
      </c>
    </row>
    <row r="318" spans="1:36" x14ac:dyDescent="0.25">
      <c r="A318" t="s">
        <v>1461</v>
      </c>
      <c r="B318">
        <v>316</v>
      </c>
      <c r="C318" t="s">
        <v>48</v>
      </c>
      <c r="D318">
        <v>3</v>
      </c>
      <c r="F318">
        <v>3</v>
      </c>
      <c r="G318" t="s">
        <v>89</v>
      </c>
      <c r="H318" t="s">
        <v>71</v>
      </c>
      <c r="I318" t="s">
        <v>51</v>
      </c>
      <c r="J318" t="s">
        <v>129</v>
      </c>
      <c r="K318" t="s">
        <v>38</v>
      </c>
      <c r="L318">
        <v>3</v>
      </c>
      <c r="M318">
        <v>3</v>
      </c>
      <c r="N318">
        <v>3</v>
      </c>
      <c r="O318" t="s">
        <v>67</v>
      </c>
      <c r="P318" t="s">
        <v>70</v>
      </c>
      <c r="Q318" t="s">
        <v>41</v>
      </c>
      <c r="R318" t="s">
        <v>42</v>
      </c>
      <c r="S318" t="s">
        <v>33</v>
      </c>
      <c r="T318">
        <v>1</v>
      </c>
      <c r="V318">
        <v>1</v>
      </c>
      <c r="W318" t="s">
        <v>46</v>
      </c>
      <c r="AA318" t="s">
        <v>227</v>
      </c>
      <c r="AB318">
        <v>3</v>
      </c>
      <c r="AC318">
        <v>3</v>
      </c>
      <c r="AD318">
        <v>3</v>
      </c>
      <c r="AE318" t="s">
        <v>229</v>
      </c>
      <c r="AF318" t="s">
        <v>232</v>
      </c>
      <c r="AG318" t="s">
        <v>235</v>
      </c>
      <c r="AH318" t="s">
        <v>237</v>
      </c>
      <c r="AI318">
        <v>0</v>
      </c>
      <c r="AJ318">
        <v>46</v>
      </c>
    </row>
    <row r="319" spans="1:36" x14ac:dyDescent="0.25">
      <c r="A319" t="s">
        <v>1652</v>
      </c>
      <c r="B319">
        <v>317</v>
      </c>
      <c r="C319" t="s">
        <v>43</v>
      </c>
      <c r="D319">
        <v>2</v>
      </c>
      <c r="F319">
        <v>1</v>
      </c>
      <c r="G319" t="s">
        <v>44</v>
      </c>
      <c r="H319" t="s">
        <v>74</v>
      </c>
      <c r="I319" t="s">
        <v>137</v>
      </c>
      <c r="K319" t="s">
        <v>45</v>
      </c>
      <c r="L319">
        <v>3</v>
      </c>
      <c r="N319">
        <v>1</v>
      </c>
      <c r="O319" t="s">
        <v>140</v>
      </c>
      <c r="P319" t="s">
        <v>76</v>
      </c>
      <c r="S319" t="s">
        <v>48</v>
      </c>
      <c r="T319">
        <v>1</v>
      </c>
      <c r="V319">
        <v>1</v>
      </c>
      <c r="W319" t="s">
        <v>126</v>
      </c>
      <c r="AA319" t="s">
        <v>38</v>
      </c>
      <c r="AB319">
        <v>1</v>
      </c>
      <c r="AC319">
        <v>1</v>
      </c>
      <c r="AD319">
        <v>2</v>
      </c>
      <c r="AE319" t="s">
        <v>39</v>
      </c>
      <c r="AF319" t="s">
        <v>40</v>
      </c>
      <c r="AG319" t="s">
        <v>153</v>
      </c>
      <c r="AI319">
        <v>0</v>
      </c>
      <c r="AJ319">
        <v>13</v>
      </c>
    </row>
    <row r="320" spans="1:36" x14ac:dyDescent="0.25">
      <c r="A320" t="s">
        <v>1462</v>
      </c>
      <c r="B320">
        <v>318</v>
      </c>
      <c r="C320" t="s">
        <v>43</v>
      </c>
      <c r="D320">
        <v>2</v>
      </c>
      <c r="F320">
        <v>2</v>
      </c>
      <c r="G320" t="s">
        <v>44</v>
      </c>
      <c r="H320" t="s">
        <v>74</v>
      </c>
      <c r="I320" t="s">
        <v>75</v>
      </c>
      <c r="J320" t="s">
        <v>101</v>
      </c>
      <c r="K320" t="s">
        <v>63</v>
      </c>
      <c r="L320">
        <v>2</v>
      </c>
      <c r="N320">
        <v>1</v>
      </c>
      <c r="O320" t="s">
        <v>103</v>
      </c>
      <c r="P320" t="s">
        <v>91</v>
      </c>
      <c r="Q320" t="s">
        <v>147</v>
      </c>
      <c r="R320" t="s">
        <v>151</v>
      </c>
      <c r="S320" t="s">
        <v>48</v>
      </c>
      <c r="T320">
        <v>2</v>
      </c>
      <c r="V320">
        <v>1</v>
      </c>
      <c r="W320" t="s">
        <v>126</v>
      </c>
      <c r="AA320" t="s">
        <v>38</v>
      </c>
      <c r="AB320">
        <v>3</v>
      </c>
      <c r="AC320">
        <v>1</v>
      </c>
      <c r="AD320">
        <v>2</v>
      </c>
      <c r="AE320" t="s">
        <v>39</v>
      </c>
      <c r="AF320" t="s">
        <v>40</v>
      </c>
      <c r="AG320" t="s">
        <v>41</v>
      </c>
      <c r="AI320">
        <v>0</v>
      </c>
      <c r="AJ320">
        <v>20</v>
      </c>
    </row>
    <row r="321" spans="1:36" x14ac:dyDescent="0.25">
      <c r="A321" t="s">
        <v>1653</v>
      </c>
      <c r="B321">
        <v>319</v>
      </c>
      <c r="C321" t="s">
        <v>48</v>
      </c>
      <c r="D321">
        <v>2</v>
      </c>
      <c r="F321">
        <v>1</v>
      </c>
      <c r="G321" t="s">
        <v>126</v>
      </c>
      <c r="H321" t="s">
        <v>84</v>
      </c>
      <c r="I321" t="s">
        <v>127</v>
      </c>
      <c r="K321" t="s">
        <v>38</v>
      </c>
      <c r="L321">
        <v>3</v>
      </c>
      <c r="M321">
        <v>3</v>
      </c>
      <c r="N321">
        <v>3</v>
      </c>
      <c r="O321" t="s">
        <v>39</v>
      </c>
      <c r="P321" t="s">
        <v>40</v>
      </c>
      <c r="Q321" t="s">
        <v>41</v>
      </c>
      <c r="R321" t="s">
        <v>155</v>
      </c>
      <c r="S321" t="s">
        <v>43</v>
      </c>
      <c r="T321">
        <v>3</v>
      </c>
      <c r="V321">
        <v>1</v>
      </c>
      <c r="W321" t="s">
        <v>73</v>
      </c>
      <c r="X321" t="s">
        <v>74</v>
      </c>
      <c r="AA321" t="s">
        <v>227</v>
      </c>
      <c r="AB321">
        <v>3</v>
      </c>
      <c r="AC321">
        <v>3</v>
      </c>
      <c r="AD321">
        <v>3</v>
      </c>
      <c r="AE321" t="s">
        <v>229</v>
      </c>
      <c r="AF321" t="s">
        <v>231</v>
      </c>
      <c r="AG321" t="s">
        <v>235</v>
      </c>
      <c r="AH321" t="s">
        <v>239</v>
      </c>
      <c r="AI321">
        <v>0</v>
      </c>
      <c r="AJ321">
        <v>30</v>
      </c>
    </row>
    <row r="322" spans="1:36" x14ac:dyDescent="0.25">
      <c r="A322" t="s">
        <v>1463</v>
      </c>
      <c r="B322">
        <v>320</v>
      </c>
      <c r="C322" t="s">
        <v>48</v>
      </c>
      <c r="D322">
        <v>1</v>
      </c>
      <c r="F322">
        <v>1</v>
      </c>
      <c r="G322" t="s">
        <v>126</v>
      </c>
      <c r="H322" t="s">
        <v>84</v>
      </c>
      <c r="I322" t="s">
        <v>127</v>
      </c>
      <c r="J322" t="s">
        <v>129</v>
      </c>
      <c r="K322" t="s">
        <v>38</v>
      </c>
      <c r="L322">
        <v>2</v>
      </c>
      <c r="M322">
        <v>1</v>
      </c>
      <c r="N322">
        <v>2</v>
      </c>
      <c r="O322" t="s">
        <v>39</v>
      </c>
      <c r="P322" t="s">
        <v>96</v>
      </c>
      <c r="Q322" t="s">
        <v>41</v>
      </c>
      <c r="S322" t="s">
        <v>45</v>
      </c>
      <c r="T322">
        <v>3</v>
      </c>
      <c r="V322">
        <v>1</v>
      </c>
      <c r="W322" t="s">
        <v>86</v>
      </c>
      <c r="AA322" t="s">
        <v>63</v>
      </c>
      <c r="AB322">
        <v>1</v>
      </c>
      <c r="AD322">
        <v>1</v>
      </c>
      <c r="AE322" t="s">
        <v>103</v>
      </c>
      <c r="AF322" t="s">
        <v>91</v>
      </c>
      <c r="AG322" t="s">
        <v>147</v>
      </c>
      <c r="AH322" t="s">
        <v>149</v>
      </c>
      <c r="AI322">
        <v>0</v>
      </c>
      <c r="AJ322">
        <v>16</v>
      </c>
    </row>
    <row r="323" spans="1:36" x14ac:dyDescent="0.25">
      <c r="A323" t="s">
        <v>1654</v>
      </c>
      <c r="B323">
        <v>321</v>
      </c>
      <c r="C323" t="s">
        <v>48</v>
      </c>
      <c r="D323">
        <v>3</v>
      </c>
      <c r="F323">
        <v>3</v>
      </c>
      <c r="G323" t="s">
        <v>126</v>
      </c>
      <c r="H323" t="s">
        <v>50</v>
      </c>
      <c r="I323" t="s">
        <v>51</v>
      </c>
      <c r="J323" t="s">
        <v>129</v>
      </c>
      <c r="K323" t="s">
        <v>38</v>
      </c>
      <c r="L323">
        <v>3</v>
      </c>
      <c r="M323">
        <v>3</v>
      </c>
      <c r="N323">
        <v>2</v>
      </c>
      <c r="O323" t="s">
        <v>39</v>
      </c>
      <c r="P323" t="s">
        <v>96</v>
      </c>
      <c r="Q323" t="s">
        <v>153</v>
      </c>
      <c r="R323" t="s">
        <v>42</v>
      </c>
      <c r="S323" t="s">
        <v>45</v>
      </c>
      <c r="T323">
        <v>2</v>
      </c>
      <c r="V323">
        <v>1</v>
      </c>
      <c r="W323" t="s">
        <v>86</v>
      </c>
      <c r="AA323" t="s">
        <v>227</v>
      </c>
      <c r="AB323">
        <v>2</v>
      </c>
      <c r="AC323">
        <v>3</v>
      </c>
      <c r="AD323">
        <v>3</v>
      </c>
      <c r="AE323" t="s">
        <v>229</v>
      </c>
      <c r="AF323" t="s">
        <v>231</v>
      </c>
      <c r="AG323" t="s">
        <v>235</v>
      </c>
      <c r="AH323" t="s">
        <v>238</v>
      </c>
      <c r="AI323">
        <v>0</v>
      </c>
      <c r="AJ323">
        <v>29</v>
      </c>
    </row>
    <row r="324" spans="1:36" x14ac:dyDescent="0.25">
      <c r="A324" t="s">
        <v>1655</v>
      </c>
      <c r="B324">
        <v>322</v>
      </c>
      <c r="C324" t="s">
        <v>48</v>
      </c>
      <c r="D324">
        <v>3</v>
      </c>
      <c r="F324">
        <v>3</v>
      </c>
      <c r="G324" t="s">
        <v>126</v>
      </c>
      <c r="H324" t="s">
        <v>84</v>
      </c>
      <c r="I324" t="s">
        <v>127</v>
      </c>
      <c r="J324" t="s">
        <v>129</v>
      </c>
      <c r="K324" t="s">
        <v>38</v>
      </c>
      <c r="L324">
        <v>3</v>
      </c>
      <c r="M324">
        <v>3</v>
      </c>
      <c r="N324">
        <v>3</v>
      </c>
      <c r="O324" t="s">
        <v>39</v>
      </c>
      <c r="P324" t="s">
        <v>40</v>
      </c>
      <c r="Q324" t="s">
        <v>153</v>
      </c>
      <c r="R324" t="s">
        <v>155</v>
      </c>
      <c r="S324" t="s">
        <v>63</v>
      </c>
      <c r="T324">
        <v>3</v>
      </c>
      <c r="V324">
        <v>3</v>
      </c>
      <c r="W324" t="s">
        <v>103</v>
      </c>
      <c r="X324" t="s">
        <v>91</v>
      </c>
      <c r="Y324" t="s">
        <v>148</v>
      </c>
      <c r="Z324" t="s">
        <v>151</v>
      </c>
      <c r="AA324" t="s">
        <v>227</v>
      </c>
      <c r="AB324">
        <v>3</v>
      </c>
      <c r="AC324">
        <v>3</v>
      </c>
      <c r="AD324">
        <v>3</v>
      </c>
      <c r="AE324" t="s">
        <v>229</v>
      </c>
      <c r="AF324" t="s">
        <v>231</v>
      </c>
      <c r="AG324" t="s">
        <v>235</v>
      </c>
      <c r="AH324" t="s">
        <v>238</v>
      </c>
      <c r="AI324">
        <v>0</v>
      </c>
      <c r="AJ324">
        <v>49</v>
      </c>
    </row>
    <row r="325" spans="1:36" x14ac:dyDescent="0.25">
      <c r="A325" t="s">
        <v>1464</v>
      </c>
      <c r="B325">
        <v>323</v>
      </c>
      <c r="C325" t="s">
        <v>33</v>
      </c>
      <c r="D325">
        <v>2</v>
      </c>
      <c r="F325">
        <v>2</v>
      </c>
      <c r="G325" t="s">
        <v>34</v>
      </c>
      <c r="H325" t="s">
        <v>130</v>
      </c>
      <c r="K325" t="s">
        <v>43</v>
      </c>
      <c r="L325">
        <v>1</v>
      </c>
      <c r="N325">
        <v>1</v>
      </c>
      <c r="O325" t="s">
        <v>73</v>
      </c>
      <c r="P325" t="s">
        <v>136</v>
      </c>
      <c r="Q325" t="s">
        <v>75</v>
      </c>
      <c r="R325" t="s">
        <v>101</v>
      </c>
      <c r="S325" t="s">
        <v>48</v>
      </c>
      <c r="T325">
        <v>1</v>
      </c>
      <c r="V325">
        <v>1</v>
      </c>
      <c r="W325" t="s">
        <v>89</v>
      </c>
      <c r="X325" t="s">
        <v>50</v>
      </c>
      <c r="Y325" t="s">
        <v>90</v>
      </c>
      <c r="AA325" t="s">
        <v>227</v>
      </c>
      <c r="AB325">
        <v>2</v>
      </c>
      <c r="AC325">
        <v>1</v>
      </c>
      <c r="AD325">
        <v>1</v>
      </c>
      <c r="AE325" t="s">
        <v>228</v>
      </c>
      <c r="AI325">
        <v>0</v>
      </c>
      <c r="AJ325">
        <v>13</v>
      </c>
    </row>
    <row r="326" spans="1:36" x14ac:dyDescent="0.25">
      <c r="A326" t="s">
        <v>1656</v>
      </c>
      <c r="B326">
        <v>324</v>
      </c>
      <c r="C326" t="s">
        <v>48</v>
      </c>
      <c r="D326">
        <v>1</v>
      </c>
      <c r="F326">
        <v>1</v>
      </c>
      <c r="G326" t="s">
        <v>89</v>
      </c>
      <c r="H326" t="s">
        <v>71</v>
      </c>
      <c r="I326" t="s">
        <v>90</v>
      </c>
      <c r="K326" t="s">
        <v>227</v>
      </c>
      <c r="L326">
        <v>2</v>
      </c>
      <c r="M326">
        <v>1</v>
      </c>
      <c r="N326">
        <v>1</v>
      </c>
      <c r="O326" t="s">
        <v>228</v>
      </c>
      <c r="P326" t="s">
        <v>231</v>
      </c>
      <c r="Q326" t="s">
        <v>235</v>
      </c>
      <c r="R326" t="s">
        <v>238</v>
      </c>
      <c r="S326" t="s">
        <v>33</v>
      </c>
      <c r="T326">
        <v>1</v>
      </c>
      <c r="V326">
        <v>2</v>
      </c>
      <c r="W326" t="s">
        <v>34</v>
      </c>
      <c r="AA326" t="s">
        <v>45</v>
      </c>
      <c r="AB326">
        <v>3</v>
      </c>
      <c r="AD326">
        <v>1</v>
      </c>
      <c r="AE326" t="s">
        <v>140</v>
      </c>
      <c r="AF326" t="s">
        <v>76</v>
      </c>
      <c r="AI326">
        <v>0</v>
      </c>
      <c r="AJ326">
        <v>15</v>
      </c>
    </row>
    <row r="327" spans="1:36" x14ac:dyDescent="0.25">
      <c r="A327" t="s">
        <v>1657</v>
      </c>
      <c r="B327">
        <v>325</v>
      </c>
      <c r="C327" t="s">
        <v>33</v>
      </c>
      <c r="D327">
        <v>2</v>
      </c>
      <c r="F327">
        <v>2</v>
      </c>
      <c r="G327" t="s">
        <v>65</v>
      </c>
      <c r="H327" t="s">
        <v>66</v>
      </c>
      <c r="I327" t="s">
        <v>131</v>
      </c>
      <c r="K327" t="s">
        <v>63</v>
      </c>
      <c r="L327">
        <v>3</v>
      </c>
      <c r="N327">
        <v>3</v>
      </c>
      <c r="O327" t="s">
        <v>145</v>
      </c>
      <c r="P327" t="s">
        <v>146</v>
      </c>
      <c r="Q327" t="s">
        <v>147</v>
      </c>
      <c r="R327" t="s">
        <v>150</v>
      </c>
      <c r="S327" t="s">
        <v>48</v>
      </c>
      <c r="T327">
        <v>3</v>
      </c>
      <c r="V327">
        <v>3</v>
      </c>
      <c r="W327" t="s">
        <v>89</v>
      </c>
      <c r="X327" t="s">
        <v>50</v>
      </c>
      <c r="Y327" t="s">
        <v>127</v>
      </c>
      <c r="Z327" t="s">
        <v>129</v>
      </c>
      <c r="AA327" t="s">
        <v>227</v>
      </c>
      <c r="AB327">
        <v>1</v>
      </c>
      <c r="AC327">
        <v>1</v>
      </c>
      <c r="AD327">
        <v>2</v>
      </c>
      <c r="AE327" t="s">
        <v>228</v>
      </c>
      <c r="AF327" t="s">
        <v>233</v>
      </c>
      <c r="AI327">
        <v>0</v>
      </c>
      <c r="AJ327">
        <v>30</v>
      </c>
    </row>
    <row r="328" spans="1:36" x14ac:dyDescent="0.25">
      <c r="A328" s="39" t="s">
        <v>1465</v>
      </c>
      <c r="B328">
        <v>326</v>
      </c>
      <c r="C328" t="s">
        <v>48</v>
      </c>
      <c r="D328">
        <v>3</v>
      </c>
      <c r="F328">
        <v>3</v>
      </c>
      <c r="G328" t="s">
        <v>89</v>
      </c>
      <c r="H328" t="s">
        <v>50</v>
      </c>
      <c r="I328" t="s">
        <v>51</v>
      </c>
      <c r="J328" t="s">
        <v>129</v>
      </c>
      <c r="K328" t="s">
        <v>227</v>
      </c>
      <c r="L328">
        <v>3</v>
      </c>
      <c r="M328">
        <v>1</v>
      </c>
      <c r="N328">
        <v>2</v>
      </c>
      <c r="O328" t="s">
        <v>228</v>
      </c>
      <c r="P328" t="s">
        <v>231</v>
      </c>
      <c r="S328" t="s">
        <v>33</v>
      </c>
      <c r="T328">
        <v>1</v>
      </c>
      <c r="V328">
        <v>3</v>
      </c>
      <c r="W328" t="s">
        <v>34</v>
      </c>
      <c r="AA328" t="s">
        <v>38</v>
      </c>
      <c r="AB328">
        <v>2</v>
      </c>
      <c r="AC328">
        <v>1</v>
      </c>
      <c r="AD328">
        <v>3</v>
      </c>
      <c r="AE328" t="s">
        <v>39</v>
      </c>
      <c r="AF328" t="s">
        <v>70</v>
      </c>
      <c r="AG328" t="s">
        <v>153</v>
      </c>
      <c r="AH328" t="s">
        <v>42</v>
      </c>
      <c r="AI328">
        <v>0</v>
      </c>
      <c r="AJ328">
        <v>23</v>
      </c>
    </row>
    <row r="329" spans="1:36" x14ac:dyDescent="0.25">
      <c r="A329" t="s">
        <v>1658</v>
      </c>
      <c r="B329">
        <v>327</v>
      </c>
      <c r="C329" t="s">
        <v>43</v>
      </c>
      <c r="D329">
        <v>3</v>
      </c>
      <c r="F329">
        <v>1</v>
      </c>
      <c r="G329" t="s">
        <v>135</v>
      </c>
      <c r="H329" t="s">
        <v>136</v>
      </c>
      <c r="I329" t="s">
        <v>75</v>
      </c>
      <c r="K329" t="s">
        <v>45</v>
      </c>
      <c r="L329">
        <v>3</v>
      </c>
      <c r="N329">
        <v>2</v>
      </c>
      <c r="O329" t="s">
        <v>47</v>
      </c>
      <c r="P329" t="s">
        <v>141</v>
      </c>
      <c r="Q329" t="s">
        <v>102</v>
      </c>
      <c r="S329" t="s">
        <v>48</v>
      </c>
      <c r="T329">
        <v>1</v>
      </c>
      <c r="V329">
        <v>1</v>
      </c>
      <c r="W329" t="s">
        <v>126</v>
      </c>
      <c r="X329" t="s">
        <v>50</v>
      </c>
      <c r="AA329" t="s">
        <v>227</v>
      </c>
      <c r="AB329">
        <v>1</v>
      </c>
      <c r="AC329">
        <v>1</v>
      </c>
      <c r="AD329">
        <v>3</v>
      </c>
      <c r="AE329" t="s">
        <v>229</v>
      </c>
      <c r="AF329" t="s">
        <v>231</v>
      </c>
      <c r="AG329" t="s">
        <v>235</v>
      </c>
      <c r="AH329" t="s">
        <v>238</v>
      </c>
      <c r="AI329">
        <v>0</v>
      </c>
      <c r="AJ329">
        <v>19</v>
      </c>
    </row>
    <row r="330" spans="1:36" x14ac:dyDescent="0.25">
      <c r="A330" t="s">
        <v>1659</v>
      </c>
      <c r="B330">
        <v>328</v>
      </c>
      <c r="C330" t="s">
        <v>43</v>
      </c>
      <c r="D330">
        <v>3</v>
      </c>
      <c r="F330">
        <v>3</v>
      </c>
      <c r="G330" t="s">
        <v>135</v>
      </c>
      <c r="H330" t="s">
        <v>74</v>
      </c>
      <c r="I330" t="s">
        <v>100</v>
      </c>
      <c r="J330" t="s">
        <v>101</v>
      </c>
      <c r="K330" t="s">
        <v>63</v>
      </c>
      <c r="L330">
        <v>3</v>
      </c>
      <c r="N330">
        <v>3</v>
      </c>
      <c r="O330" t="s">
        <v>145</v>
      </c>
      <c r="P330" t="s">
        <v>91</v>
      </c>
      <c r="Q330" t="s">
        <v>148</v>
      </c>
      <c r="R330" t="s">
        <v>150</v>
      </c>
      <c r="S330" t="s">
        <v>48</v>
      </c>
      <c r="T330">
        <v>1</v>
      </c>
      <c r="V330">
        <v>1</v>
      </c>
      <c r="W330" t="s">
        <v>89</v>
      </c>
      <c r="X330" t="s">
        <v>50</v>
      </c>
      <c r="Y330" t="s">
        <v>127</v>
      </c>
      <c r="AA330" t="s">
        <v>227</v>
      </c>
      <c r="AB330">
        <v>3</v>
      </c>
      <c r="AC330">
        <v>3</v>
      </c>
      <c r="AD330">
        <v>2</v>
      </c>
      <c r="AE330" t="s">
        <v>229</v>
      </c>
      <c r="AF330" t="s">
        <v>231</v>
      </c>
      <c r="AG330" t="s">
        <v>235</v>
      </c>
      <c r="AH330" t="s">
        <v>237</v>
      </c>
      <c r="AI330">
        <v>0</v>
      </c>
      <c r="AJ330">
        <v>29</v>
      </c>
    </row>
    <row r="331" spans="1:36" x14ac:dyDescent="0.25">
      <c r="A331" t="s">
        <v>1466</v>
      </c>
      <c r="B331">
        <v>329</v>
      </c>
      <c r="C331" t="s">
        <v>48</v>
      </c>
      <c r="D331">
        <v>3</v>
      </c>
      <c r="F331">
        <v>2</v>
      </c>
      <c r="G331" t="s">
        <v>126</v>
      </c>
      <c r="H331" t="s">
        <v>50</v>
      </c>
      <c r="I331" t="s">
        <v>127</v>
      </c>
      <c r="J331" t="s">
        <v>52</v>
      </c>
      <c r="K331" t="s">
        <v>227</v>
      </c>
      <c r="L331">
        <v>3</v>
      </c>
      <c r="M331">
        <v>1</v>
      </c>
      <c r="N331">
        <v>3</v>
      </c>
      <c r="O331" t="s">
        <v>229</v>
      </c>
      <c r="P331" t="s">
        <v>231</v>
      </c>
      <c r="Q331" t="s">
        <v>235</v>
      </c>
      <c r="R331" t="s">
        <v>238</v>
      </c>
      <c r="S331" t="s">
        <v>43</v>
      </c>
      <c r="T331">
        <v>2</v>
      </c>
      <c r="V331">
        <v>1</v>
      </c>
      <c r="W331" t="s">
        <v>135</v>
      </c>
      <c r="X331" t="s">
        <v>74</v>
      </c>
      <c r="AA331" t="s">
        <v>38</v>
      </c>
      <c r="AB331">
        <v>3</v>
      </c>
      <c r="AC331">
        <v>3</v>
      </c>
      <c r="AD331">
        <v>2</v>
      </c>
      <c r="AE331" t="s">
        <v>39</v>
      </c>
      <c r="AF331" t="s">
        <v>96</v>
      </c>
      <c r="AG331" t="s">
        <v>41</v>
      </c>
      <c r="AH331" t="s">
        <v>156</v>
      </c>
      <c r="AI331">
        <v>0</v>
      </c>
      <c r="AJ331">
        <v>28</v>
      </c>
    </row>
    <row r="332" spans="1:36" x14ac:dyDescent="0.25">
      <c r="A332" t="s">
        <v>1467</v>
      </c>
      <c r="B332">
        <v>330</v>
      </c>
      <c r="C332" t="s">
        <v>45</v>
      </c>
      <c r="D332">
        <v>3</v>
      </c>
      <c r="F332">
        <v>3</v>
      </c>
      <c r="G332" t="s">
        <v>86</v>
      </c>
      <c r="K332" t="s">
        <v>63</v>
      </c>
      <c r="L332">
        <v>3</v>
      </c>
      <c r="N332">
        <v>1</v>
      </c>
      <c r="O332" t="s">
        <v>145</v>
      </c>
      <c r="P332" t="s">
        <v>91</v>
      </c>
      <c r="Q332" t="s">
        <v>148</v>
      </c>
      <c r="R332" t="s">
        <v>149</v>
      </c>
      <c r="S332" t="s">
        <v>48</v>
      </c>
      <c r="T332">
        <v>1</v>
      </c>
      <c r="V332">
        <v>1</v>
      </c>
      <c r="W332" t="s">
        <v>126</v>
      </c>
      <c r="X332" t="s">
        <v>84</v>
      </c>
      <c r="Y332" t="s">
        <v>127</v>
      </c>
      <c r="Z332" t="s">
        <v>129</v>
      </c>
      <c r="AA332" t="s">
        <v>227</v>
      </c>
      <c r="AB332">
        <v>3</v>
      </c>
      <c r="AC332">
        <v>1</v>
      </c>
      <c r="AD332">
        <v>3</v>
      </c>
      <c r="AE332" t="s">
        <v>229</v>
      </c>
      <c r="AF332" t="s">
        <v>231</v>
      </c>
      <c r="AG332" t="s">
        <v>234</v>
      </c>
      <c r="AI332">
        <v>0</v>
      </c>
      <c r="AJ332">
        <v>23</v>
      </c>
    </row>
    <row r="333" spans="1:36" x14ac:dyDescent="0.25">
      <c r="A333" t="s">
        <v>1468</v>
      </c>
      <c r="B333">
        <v>331</v>
      </c>
      <c r="C333" t="s">
        <v>48</v>
      </c>
      <c r="D333">
        <v>3</v>
      </c>
      <c r="F333">
        <v>3</v>
      </c>
      <c r="G333" t="s">
        <v>126</v>
      </c>
      <c r="H333" t="s">
        <v>50</v>
      </c>
      <c r="I333" t="s">
        <v>90</v>
      </c>
      <c r="J333" t="s">
        <v>129</v>
      </c>
      <c r="K333" t="s">
        <v>227</v>
      </c>
      <c r="L333">
        <v>3</v>
      </c>
      <c r="M333">
        <v>3</v>
      </c>
      <c r="N333">
        <v>3</v>
      </c>
      <c r="O333" t="s">
        <v>229</v>
      </c>
      <c r="P333" t="s">
        <v>231</v>
      </c>
      <c r="Q333" t="s">
        <v>235</v>
      </c>
      <c r="R333" t="s">
        <v>238</v>
      </c>
      <c r="S333" t="s">
        <v>45</v>
      </c>
      <c r="T333">
        <v>3</v>
      </c>
      <c r="V333">
        <v>3</v>
      </c>
      <c r="W333" t="s">
        <v>86</v>
      </c>
      <c r="X333" t="s">
        <v>141</v>
      </c>
      <c r="Y333" t="s">
        <v>142</v>
      </c>
      <c r="Z333" t="s">
        <v>144</v>
      </c>
      <c r="AA333" t="s">
        <v>38</v>
      </c>
      <c r="AB333">
        <v>3</v>
      </c>
      <c r="AC333">
        <v>3</v>
      </c>
      <c r="AD333">
        <v>3</v>
      </c>
      <c r="AE333" t="s">
        <v>39</v>
      </c>
      <c r="AF333" t="s">
        <v>40</v>
      </c>
      <c r="AG333" t="s">
        <v>153</v>
      </c>
      <c r="AH333" t="s">
        <v>156</v>
      </c>
      <c r="AI333">
        <v>0</v>
      </c>
      <c r="AJ333">
        <v>37</v>
      </c>
    </row>
    <row r="334" spans="1:36" x14ac:dyDescent="0.25">
      <c r="A334" t="s">
        <v>1660</v>
      </c>
      <c r="B334">
        <v>332</v>
      </c>
      <c r="C334" t="s">
        <v>63</v>
      </c>
      <c r="D334">
        <v>2</v>
      </c>
      <c r="F334">
        <v>2</v>
      </c>
      <c r="G334" t="s">
        <v>145</v>
      </c>
      <c r="H334" t="s">
        <v>91</v>
      </c>
      <c r="I334" t="s">
        <v>148</v>
      </c>
      <c r="J334" t="s">
        <v>151</v>
      </c>
      <c r="K334" t="s">
        <v>38</v>
      </c>
      <c r="L334">
        <v>3</v>
      </c>
      <c r="M334">
        <v>2</v>
      </c>
      <c r="N334">
        <v>2</v>
      </c>
      <c r="O334" t="s">
        <v>39</v>
      </c>
      <c r="P334" t="s">
        <v>96</v>
      </c>
      <c r="Q334" t="s">
        <v>154</v>
      </c>
      <c r="R334" t="s">
        <v>42</v>
      </c>
      <c r="S334" t="s">
        <v>48</v>
      </c>
      <c r="T334">
        <v>3</v>
      </c>
      <c r="V334">
        <v>1</v>
      </c>
      <c r="W334" t="s">
        <v>49</v>
      </c>
      <c r="AA334" t="s">
        <v>227</v>
      </c>
      <c r="AB334">
        <v>3</v>
      </c>
      <c r="AC334">
        <v>1</v>
      </c>
      <c r="AD334">
        <v>2</v>
      </c>
      <c r="AE334" t="s">
        <v>229</v>
      </c>
      <c r="AF334" t="s">
        <v>231</v>
      </c>
      <c r="AG334" t="s">
        <v>235</v>
      </c>
      <c r="AH334" t="s">
        <v>237</v>
      </c>
      <c r="AI334">
        <v>0</v>
      </c>
      <c r="AJ334">
        <v>24</v>
      </c>
    </row>
    <row r="335" spans="1:36" x14ac:dyDescent="0.25">
      <c r="A335" t="s">
        <v>1661</v>
      </c>
      <c r="B335">
        <v>333</v>
      </c>
      <c r="C335" t="s">
        <v>45</v>
      </c>
      <c r="D335">
        <v>3</v>
      </c>
      <c r="F335">
        <v>1</v>
      </c>
      <c r="G335" t="s">
        <v>140</v>
      </c>
      <c r="H335" t="s">
        <v>141</v>
      </c>
      <c r="I335" t="s">
        <v>102</v>
      </c>
      <c r="K335" t="s">
        <v>63</v>
      </c>
      <c r="L335">
        <v>2</v>
      </c>
      <c r="N335">
        <v>1</v>
      </c>
      <c r="O335" t="s">
        <v>145</v>
      </c>
      <c r="S335" t="s">
        <v>33</v>
      </c>
      <c r="T335">
        <v>1</v>
      </c>
      <c r="V335">
        <v>3</v>
      </c>
      <c r="W335" t="s">
        <v>34</v>
      </c>
      <c r="AA335" t="s">
        <v>43</v>
      </c>
      <c r="AB335">
        <v>1</v>
      </c>
      <c r="AD335">
        <v>1</v>
      </c>
      <c r="AE335" t="s">
        <v>135</v>
      </c>
      <c r="AF335" t="s">
        <v>136</v>
      </c>
      <c r="AG335" t="s">
        <v>100</v>
      </c>
      <c r="AH335" t="s">
        <v>138</v>
      </c>
      <c r="AI335">
        <v>0</v>
      </c>
      <c r="AJ335">
        <v>14</v>
      </c>
    </row>
    <row r="336" spans="1:36" x14ac:dyDescent="0.25">
      <c r="A336" t="s">
        <v>1469</v>
      </c>
      <c r="B336">
        <v>334</v>
      </c>
      <c r="C336" t="s">
        <v>45</v>
      </c>
      <c r="D336">
        <v>3</v>
      </c>
      <c r="F336">
        <v>1</v>
      </c>
      <c r="G336" t="s">
        <v>140</v>
      </c>
      <c r="H336" t="s">
        <v>141</v>
      </c>
      <c r="K336" t="s">
        <v>38</v>
      </c>
      <c r="L336">
        <v>1</v>
      </c>
      <c r="M336">
        <v>1</v>
      </c>
      <c r="N336">
        <v>2</v>
      </c>
      <c r="O336" t="s">
        <v>67</v>
      </c>
      <c r="P336" t="s">
        <v>70</v>
      </c>
      <c r="Q336" t="s">
        <v>41</v>
      </c>
      <c r="S336" t="s">
        <v>33</v>
      </c>
      <c r="T336">
        <v>1</v>
      </c>
      <c r="V336">
        <v>1</v>
      </c>
      <c r="W336" t="s">
        <v>46</v>
      </c>
      <c r="AA336" t="s">
        <v>43</v>
      </c>
      <c r="AB336">
        <v>2</v>
      </c>
      <c r="AD336">
        <v>1</v>
      </c>
      <c r="AE336" t="s">
        <v>135</v>
      </c>
      <c r="AF336" t="s">
        <v>136</v>
      </c>
      <c r="AI336">
        <v>0</v>
      </c>
      <c r="AJ336">
        <v>12</v>
      </c>
    </row>
    <row r="337" spans="1:36" x14ac:dyDescent="0.25">
      <c r="A337" t="s">
        <v>1470</v>
      </c>
      <c r="B337">
        <v>335</v>
      </c>
      <c r="C337" t="s">
        <v>45</v>
      </c>
      <c r="D337">
        <v>2</v>
      </c>
      <c r="F337">
        <v>1</v>
      </c>
      <c r="G337" t="s">
        <v>140</v>
      </c>
      <c r="H337" t="s">
        <v>141</v>
      </c>
      <c r="K337" t="s">
        <v>227</v>
      </c>
      <c r="L337">
        <v>1</v>
      </c>
      <c r="M337">
        <v>1</v>
      </c>
      <c r="N337">
        <v>1</v>
      </c>
      <c r="O337" t="s">
        <v>228</v>
      </c>
      <c r="P337" t="s">
        <v>231</v>
      </c>
      <c r="Q337" t="s">
        <v>234</v>
      </c>
      <c r="S337" t="s">
        <v>33</v>
      </c>
      <c r="T337">
        <v>1</v>
      </c>
      <c r="V337">
        <v>2</v>
      </c>
      <c r="W337" t="s">
        <v>34</v>
      </c>
      <c r="AA337" t="s">
        <v>43</v>
      </c>
      <c r="AB337">
        <v>1</v>
      </c>
      <c r="AD337">
        <v>1</v>
      </c>
      <c r="AE337" t="s">
        <v>73</v>
      </c>
      <c r="AF337" t="s">
        <v>136</v>
      </c>
      <c r="AI337">
        <v>0</v>
      </c>
      <c r="AJ337">
        <v>12</v>
      </c>
    </row>
    <row r="338" spans="1:36" x14ac:dyDescent="0.25">
      <c r="A338" t="s">
        <v>1471</v>
      </c>
      <c r="B338">
        <v>336</v>
      </c>
      <c r="C338" t="s">
        <v>63</v>
      </c>
      <c r="D338">
        <v>1</v>
      </c>
      <c r="F338">
        <v>3</v>
      </c>
      <c r="G338" t="s">
        <v>145</v>
      </c>
      <c r="H338" t="s">
        <v>146</v>
      </c>
      <c r="I338" t="s">
        <v>104</v>
      </c>
      <c r="J338" t="s">
        <v>150</v>
      </c>
      <c r="K338" t="s">
        <v>38</v>
      </c>
      <c r="L338">
        <v>2</v>
      </c>
      <c r="M338">
        <v>1</v>
      </c>
      <c r="N338">
        <v>3</v>
      </c>
      <c r="O338" t="s">
        <v>67</v>
      </c>
      <c r="P338" t="s">
        <v>70</v>
      </c>
      <c r="Q338" t="s">
        <v>41</v>
      </c>
      <c r="R338" t="s">
        <v>42</v>
      </c>
      <c r="S338" t="s">
        <v>33</v>
      </c>
      <c r="T338">
        <v>1</v>
      </c>
      <c r="V338">
        <v>1</v>
      </c>
      <c r="W338" t="s">
        <v>46</v>
      </c>
      <c r="AA338" t="s">
        <v>43</v>
      </c>
      <c r="AB338">
        <v>3</v>
      </c>
      <c r="AD338">
        <v>1</v>
      </c>
      <c r="AE338" t="s">
        <v>135</v>
      </c>
      <c r="AF338" t="s">
        <v>136</v>
      </c>
      <c r="AG338" t="s">
        <v>137</v>
      </c>
      <c r="AH338" t="s">
        <v>139</v>
      </c>
      <c r="AI338">
        <v>0</v>
      </c>
      <c r="AJ338">
        <v>22</v>
      </c>
    </row>
    <row r="339" spans="1:36" x14ac:dyDescent="0.25">
      <c r="A339" t="s">
        <v>1472</v>
      </c>
      <c r="B339">
        <v>337</v>
      </c>
      <c r="C339" t="s">
        <v>63</v>
      </c>
      <c r="D339">
        <v>3</v>
      </c>
      <c r="F339">
        <v>3</v>
      </c>
      <c r="G339" t="s">
        <v>145</v>
      </c>
      <c r="H339" t="s">
        <v>146</v>
      </c>
      <c r="I339" t="s">
        <v>148</v>
      </c>
      <c r="J339" t="s">
        <v>150</v>
      </c>
      <c r="K339" t="s">
        <v>227</v>
      </c>
      <c r="L339">
        <v>3</v>
      </c>
      <c r="M339">
        <v>1</v>
      </c>
      <c r="N339">
        <v>1</v>
      </c>
      <c r="O339" t="s">
        <v>228</v>
      </c>
      <c r="P339" t="s">
        <v>231</v>
      </c>
      <c r="S339" t="s">
        <v>33</v>
      </c>
      <c r="T339">
        <v>1</v>
      </c>
      <c r="V339">
        <v>2</v>
      </c>
      <c r="W339" t="s">
        <v>34</v>
      </c>
      <c r="AA339" t="s">
        <v>43</v>
      </c>
      <c r="AB339">
        <v>3</v>
      </c>
      <c r="AD339">
        <v>3</v>
      </c>
      <c r="AE339" t="s">
        <v>73</v>
      </c>
      <c r="AF339" t="s">
        <v>99</v>
      </c>
      <c r="AG339" t="s">
        <v>137</v>
      </c>
      <c r="AH339" t="s">
        <v>139</v>
      </c>
      <c r="AI339">
        <v>0</v>
      </c>
      <c r="AJ339">
        <v>26</v>
      </c>
    </row>
    <row r="340" spans="1:36" x14ac:dyDescent="0.25">
      <c r="A340" t="s">
        <v>1473</v>
      </c>
      <c r="B340">
        <v>338</v>
      </c>
      <c r="C340" t="s">
        <v>33</v>
      </c>
      <c r="D340">
        <v>2</v>
      </c>
      <c r="F340">
        <v>1</v>
      </c>
      <c r="G340" t="s">
        <v>65</v>
      </c>
      <c r="K340" t="s">
        <v>43</v>
      </c>
      <c r="L340">
        <v>2</v>
      </c>
      <c r="N340">
        <v>1</v>
      </c>
      <c r="O340" t="s">
        <v>73</v>
      </c>
      <c r="P340" t="s">
        <v>99</v>
      </c>
      <c r="Q340" t="s">
        <v>75</v>
      </c>
      <c r="R340" t="s">
        <v>101</v>
      </c>
      <c r="S340" t="s">
        <v>38</v>
      </c>
      <c r="T340">
        <v>1</v>
      </c>
      <c r="U340">
        <v>1</v>
      </c>
      <c r="V340">
        <v>2</v>
      </c>
      <c r="W340" t="s">
        <v>67</v>
      </c>
      <c r="X340" t="s">
        <v>70</v>
      </c>
      <c r="Y340" t="s">
        <v>153</v>
      </c>
      <c r="AA340" t="s">
        <v>227</v>
      </c>
      <c r="AB340">
        <v>1</v>
      </c>
      <c r="AC340">
        <v>1</v>
      </c>
      <c r="AD340">
        <v>1</v>
      </c>
      <c r="AE340" t="s">
        <v>228</v>
      </c>
      <c r="AI340">
        <v>0</v>
      </c>
      <c r="AJ340">
        <v>13</v>
      </c>
    </row>
    <row r="341" spans="1:36" x14ac:dyDescent="0.25">
      <c r="A341" t="s">
        <v>1474</v>
      </c>
      <c r="B341">
        <v>339</v>
      </c>
      <c r="C341" t="s">
        <v>43</v>
      </c>
      <c r="D341">
        <v>1</v>
      </c>
      <c r="F341">
        <v>1</v>
      </c>
      <c r="G341" t="s">
        <v>135</v>
      </c>
      <c r="H341" t="s">
        <v>136</v>
      </c>
      <c r="K341" t="s">
        <v>63</v>
      </c>
      <c r="L341">
        <v>3</v>
      </c>
      <c r="N341">
        <v>3</v>
      </c>
      <c r="O341" t="s">
        <v>145</v>
      </c>
      <c r="P341" t="s">
        <v>146</v>
      </c>
      <c r="Q341" t="s">
        <v>148</v>
      </c>
      <c r="R341" t="s">
        <v>150</v>
      </c>
      <c r="S341" t="s">
        <v>33</v>
      </c>
      <c r="T341">
        <v>3</v>
      </c>
      <c r="V341">
        <v>1</v>
      </c>
      <c r="W341" t="s">
        <v>34</v>
      </c>
      <c r="AA341" t="s">
        <v>45</v>
      </c>
      <c r="AB341">
        <v>3</v>
      </c>
      <c r="AD341">
        <v>3</v>
      </c>
      <c r="AE341" t="s">
        <v>140</v>
      </c>
      <c r="AF341" t="s">
        <v>141</v>
      </c>
      <c r="AG341" t="s">
        <v>93</v>
      </c>
      <c r="AH341" t="s">
        <v>143</v>
      </c>
      <c r="AI341">
        <v>0</v>
      </c>
      <c r="AJ341">
        <v>27</v>
      </c>
    </row>
    <row r="342" spans="1:36" x14ac:dyDescent="0.25">
      <c r="A342" t="s">
        <v>1475</v>
      </c>
      <c r="B342">
        <v>340</v>
      </c>
      <c r="C342" t="s">
        <v>43</v>
      </c>
      <c r="D342">
        <v>1</v>
      </c>
      <c r="F342">
        <v>1</v>
      </c>
      <c r="G342" t="s">
        <v>135</v>
      </c>
      <c r="H342" t="s">
        <v>136</v>
      </c>
      <c r="I342" t="s">
        <v>100</v>
      </c>
      <c r="J342" t="s">
        <v>138</v>
      </c>
      <c r="K342" t="s">
        <v>38</v>
      </c>
      <c r="L342">
        <v>2</v>
      </c>
      <c r="M342">
        <v>2</v>
      </c>
      <c r="N342">
        <v>2</v>
      </c>
      <c r="O342" t="s">
        <v>67</v>
      </c>
      <c r="P342" t="s">
        <v>96</v>
      </c>
      <c r="Q342" t="s">
        <v>153</v>
      </c>
      <c r="R342" t="s">
        <v>42</v>
      </c>
      <c r="S342" t="s">
        <v>33</v>
      </c>
      <c r="T342">
        <v>1</v>
      </c>
      <c r="V342">
        <v>1</v>
      </c>
      <c r="W342" t="s">
        <v>46</v>
      </c>
      <c r="AA342" t="s">
        <v>45</v>
      </c>
      <c r="AB342">
        <v>3</v>
      </c>
      <c r="AD342">
        <v>1</v>
      </c>
      <c r="AE342" t="s">
        <v>140</v>
      </c>
      <c r="AF342" t="s">
        <v>141</v>
      </c>
      <c r="AG342" t="s">
        <v>102</v>
      </c>
      <c r="AH342" t="s">
        <v>144</v>
      </c>
      <c r="AI342">
        <v>0</v>
      </c>
      <c r="AJ342">
        <v>18</v>
      </c>
    </row>
    <row r="343" spans="1:36" x14ac:dyDescent="0.25">
      <c r="A343" t="s">
        <v>1476</v>
      </c>
      <c r="B343">
        <v>341</v>
      </c>
      <c r="C343" t="s">
        <v>33</v>
      </c>
      <c r="D343">
        <v>1</v>
      </c>
      <c r="F343">
        <v>3</v>
      </c>
      <c r="G343" t="s">
        <v>34</v>
      </c>
      <c r="K343" t="s">
        <v>45</v>
      </c>
      <c r="L343">
        <v>3</v>
      </c>
      <c r="N343">
        <v>1</v>
      </c>
      <c r="O343" t="s">
        <v>140</v>
      </c>
      <c r="S343" t="s">
        <v>43</v>
      </c>
      <c r="T343">
        <v>2</v>
      </c>
      <c r="V343">
        <v>1</v>
      </c>
      <c r="W343" t="s">
        <v>135</v>
      </c>
      <c r="X343" t="s">
        <v>136</v>
      </c>
      <c r="AA343" t="s">
        <v>227</v>
      </c>
      <c r="AB343">
        <v>2</v>
      </c>
      <c r="AC343">
        <v>1</v>
      </c>
      <c r="AD343">
        <v>1</v>
      </c>
      <c r="AE343" t="s">
        <v>228</v>
      </c>
      <c r="AI343">
        <v>0</v>
      </c>
      <c r="AJ343">
        <v>12</v>
      </c>
    </row>
    <row r="344" spans="1:36" x14ac:dyDescent="0.25">
      <c r="A344" t="s">
        <v>1477</v>
      </c>
      <c r="B344">
        <v>342</v>
      </c>
      <c r="C344" t="s">
        <v>63</v>
      </c>
      <c r="D344">
        <v>3</v>
      </c>
      <c r="F344">
        <v>3</v>
      </c>
      <c r="G344" t="s">
        <v>145</v>
      </c>
      <c r="H344" t="s">
        <v>146</v>
      </c>
      <c r="I344" t="s">
        <v>148</v>
      </c>
      <c r="J344" t="s">
        <v>150</v>
      </c>
      <c r="K344" t="s">
        <v>38</v>
      </c>
      <c r="L344">
        <v>1</v>
      </c>
      <c r="M344">
        <v>1</v>
      </c>
      <c r="N344">
        <v>2</v>
      </c>
      <c r="O344" t="s">
        <v>67</v>
      </c>
      <c r="P344" t="s">
        <v>70</v>
      </c>
      <c r="S344" t="s">
        <v>33</v>
      </c>
      <c r="T344">
        <v>2</v>
      </c>
      <c r="V344">
        <v>1</v>
      </c>
      <c r="W344" t="s">
        <v>46</v>
      </c>
      <c r="X344" t="s">
        <v>130</v>
      </c>
      <c r="AA344" t="s">
        <v>45</v>
      </c>
      <c r="AB344">
        <v>3</v>
      </c>
      <c r="AD344">
        <v>3</v>
      </c>
      <c r="AE344" t="s">
        <v>140</v>
      </c>
      <c r="AF344" t="s">
        <v>141</v>
      </c>
      <c r="AG344" t="s">
        <v>102</v>
      </c>
      <c r="AH344" t="s">
        <v>144</v>
      </c>
      <c r="AI344">
        <v>0</v>
      </c>
      <c r="AJ344">
        <v>27</v>
      </c>
    </row>
    <row r="345" spans="1:36" x14ac:dyDescent="0.25">
      <c r="A345" t="s">
        <v>1478</v>
      </c>
      <c r="B345">
        <v>343</v>
      </c>
      <c r="C345" t="s">
        <v>63</v>
      </c>
      <c r="D345">
        <v>3</v>
      </c>
      <c r="F345">
        <v>3</v>
      </c>
      <c r="G345" t="s">
        <v>145</v>
      </c>
      <c r="H345" t="s">
        <v>146</v>
      </c>
      <c r="I345" t="s">
        <v>147</v>
      </c>
      <c r="J345" t="s">
        <v>150</v>
      </c>
      <c r="K345" t="s">
        <v>227</v>
      </c>
      <c r="L345">
        <v>2</v>
      </c>
      <c r="M345">
        <v>1</v>
      </c>
      <c r="N345">
        <v>1</v>
      </c>
      <c r="O345" t="s">
        <v>228</v>
      </c>
      <c r="S345" t="s">
        <v>33</v>
      </c>
      <c r="T345">
        <v>2</v>
      </c>
      <c r="V345">
        <v>2</v>
      </c>
      <c r="W345" t="s">
        <v>34</v>
      </c>
      <c r="AA345" t="s">
        <v>45</v>
      </c>
      <c r="AB345">
        <v>3</v>
      </c>
      <c r="AD345">
        <v>3</v>
      </c>
      <c r="AE345" t="s">
        <v>86</v>
      </c>
      <c r="AF345" t="s">
        <v>141</v>
      </c>
      <c r="AG345" t="s">
        <v>93</v>
      </c>
      <c r="AH345" t="s">
        <v>94</v>
      </c>
      <c r="AI345">
        <v>0</v>
      </c>
      <c r="AJ345">
        <v>25</v>
      </c>
    </row>
    <row r="346" spans="1:36" x14ac:dyDescent="0.25">
      <c r="A346" t="s">
        <v>1479</v>
      </c>
      <c r="B346">
        <v>344</v>
      </c>
      <c r="C346" t="s">
        <v>38</v>
      </c>
      <c r="D346">
        <v>3</v>
      </c>
      <c r="E346">
        <v>1</v>
      </c>
      <c r="F346">
        <v>2</v>
      </c>
      <c r="G346" t="s">
        <v>67</v>
      </c>
      <c r="H346" t="s">
        <v>96</v>
      </c>
      <c r="K346" t="s">
        <v>227</v>
      </c>
      <c r="L346">
        <v>1</v>
      </c>
      <c r="M346">
        <v>1</v>
      </c>
      <c r="N346">
        <v>2</v>
      </c>
      <c r="O346" t="s">
        <v>228</v>
      </c>
      <c r="S346" t="s">
        <v>33</v>
      </c>
      <c r="T346">
        <v>1</v>
      </c>
      <c r="V346">
        <v>1</v>
      </c>
      <c r="W346" t="s">
        <v>65</v>
      </c>
      <c r="X346" t="s">
        <v>35</v>
      </c>
      <c r="AA346" t="s">
        <v>45</v>
      </c>
      <c r="AB346">
        <v>3</v>
      </c>
      <c r="AD346">
        <v>2</v>
      </c>
      <c r="AE346" t="s">
        <v>140</v>
      </c>
      <c r="AI346">
        <v>0</v>
      </c>
      <c r="AJ346">
        <v>13</v>
      </c>
    </row>
    <row r="347" spans="1:36" x14ac:dyDescent="0.25">
      <c r="A347" t="s">
        <v>1480</v>
      </c>
      <c r="B347">
        <v>345</v>
      </c>
      <c r="C347" t="s">
        <v>43</v>
      </c>
      <c r="D347">
        <v>3</v>
      </c>
      <c r="F347">
        <v>1</v>
      </c>
      <c r="G347" t="s">
        <v>44</v>
      </c>
      <c r="H347" t="s">
        <v>136</v>
      </c>
      <c r="K347" t="s">
        <v>45</v>
      </c>
      <c r="L347">
        <v>3</v>
      </c>
      <c r="N347">
        <v>1</v>
      </c>
      <c r="O347" t="s">
        <v>86</v>
      </c>
      <c r="P347" t="s">
        <v>141</v>
      </c>
      <c r="S347" t="s">
        <v>33</v>
      </c>
      <c r="T347">
        <v>1</v>
      </c>
      <c r="V347">
        <v>2</v>
      </c>
      <c r="W347" t="s">
        <v>34</v>
      </c>
      <c r="AA347" t="s">
        <v>63</v>
      </c>
      <c r="AB347">
        <v>1</v>
      </c>
      <c r="AD347">
        <v>3</v>
      </c>
      <c r="AE347" t="s">
        <v>145</v>
      </c>
      <c r="AF347" t="s">
        <v>146</v>
      </c>
      <c r="AI347">
        <v>0</v>
      </c>
      <c r="AJ347">
        <v>15</v>
      </c>
    </row>
    <row r="348" spans="1:36" x14ac:dyDescent="0.25">
      <c r="A348" t="s">
        <v>1481</v>
      </c>
      <c r="B348">
        <v>346</v>
      </c>
      <c r="C348" t="s">
        <v>43</v>
      </c>
      <c r="D348">
        <v>3</v>
      </c>
      <c r="F348">
        <v>1</v>
      </c>
      <c r="G348" t="s">
        <v>44</v>
      </c>
      <c r="K348" t="s">
        <v>38</v>
      </c>
      <c r="L348">
        <v>1</v>
      </c>
      <c r="M348">
        <v>1</v>
      </c>
      <c r="N348">
        <v>2</v>
      </c>
      <c r="O348" t="s">
        <v>67</v>
      </c>
      <c r="P348" t="s">
        <v>96</v>
      </c>
      <c r="Q348" t="s">
        <v>41</v>
      </c>
      <c r="S348" t="s">
        <v>33</v>
      </c>
      <c r="T348">
        <v>1</v>
      </c>
      <c r="V348">
        <v>2</v>
      </c>
      <c r="W348" t="s">
        <v>65</v>
      </c>
      <c r="AA348" t="s">
        <v>63</v>
      </c>
      <c r="AB348">
        <v>1</v>
      </c>
      <c r="AD348">
        <v>1</v>
      </c>
      <c r="AE348" t="s">
        <v>103</v>
      </c>
      <c r="AF348" t="s">
        <v>91</v>
      </c>
      <c r="AG348" t="s">
        <v>147</v>
      </c>
      <c r="AI348">
        <v>0</v>
      </c>
      <c r="AJ348">
        <v>12</v>
      </c>
    </row>
    <row r="349" spans="1:36" x14ac:dyDescent="0.25">
      <c r="A349" t="s">
        <v>1482</v>
      </c>
      <c r="B349">
        <v>347</v>
      </c>
      <c r="C349" t="s">
        <v>33</v>
      </c>
      <c r="D349">
        <v>1</v>
      </c>
      <c r="F349">
        <v>3</v>
      </c>
      <c r="G349" t="s">
        <v>34</v>
      </c>
      <c r="K349" t="s">
        <v>63</v>
      </c>
      <c r="L349">
        <v>3</v>
      </c>
      <c r="N349">
        <v>2</v>
      </c>
      <c r="O349" t="s">
        <v>145</v>
      </c>
      <c r="P349" t="s">
        <v>146</v>
      </c>
      <c r="S349" t="s">
        <v>43</v>
      </c>
      <c r="T349">
        <v>3</v>
      </c>
      <c r="V349">
        <v>1</v>
      </c>
      <c r="W349" t="s">
        <v>135</v>
      </c>
      <c r="X349" t="s">
        <v>136</v>
      </c>
      <c r="Y349" t="s">
        <v>137</v>
      </c>
      <c r="Z349" t="s">
        <v>139</v>
      </c>
      <c r="AA349" t="s">
        <v>227</v>
      </c>
      <c r="AB349">
        <v>2</v>
      </c>
      <c r="AC349">
        <v>1</v>
      </c>
      <c r="AD349">
        <v>1</v>
      </c>
      <c r="AE349" t="s">
        <v>228</v>
      </c>
      <c r="AI349">
        <v>0</v>
      </c>
      <c r="AJ349">
        <v>17</v>
      </c>
    </row>
    <row r="350" spans="1:36" x14ac:dyDescent="0.25">
      <c r="A350" s="39" t="s">
        <v>1483</v>
      </c>
      <c r="B350">
        <v>348</v>
      </c>
      <c r="C350" t="s">
        <v>45</v>
      </c>
      <c r="D350">
        <v>3</v>
      </c>
      <c r="F350">
        <v>1</v>
      </c>
      <c r="G350" t="s">
        <v>86</v>
      </c>
      <c r="H350" t="s">
        <v>141</v>
      </c>
      <c r="I350" t="s">
        <v>93</v>
      </c>
      <c r="K350" t="s">
        <v>38</v>
      </c>
      <c r="L350">
        <v>3</v>
      </c>
      <c r="M350">
        <v>1</v>
      </c>
      <c r="N350">
        <v>2</v>
      </c>
      <c r="O350" t="s">
        <v>67</v>
      </c>
      <c r="P350" t="s">
        <v>40</v>
      </c>
      <c r="S350" t="s">
        <v>33</v>
      </c>
      <c r="T350">
        <v>1</v>
      </c>
      <c r="V350">
        <v>1</v>
      </c>
      <c r="W350" t="s">
        <v>46</v>
      </c>
      <c r="AA350" t="s">
        <v>63</v>
      </c>
      <c r="AB350">
        <v>2</v>
      </c>
      <c r="AD350">
        <v>1</v>
      </c>
      <c r="AE350" t="s">
        <v>103</v>
      </c>
      <c r="AF350" t="s">
        <v>146</v>
      </c>
      <c r="AG350" t="s">
        <v>104</v>
      </c>
      <c r="AI350">
        <v>0</v>
      </c>
      <c r="AJ350">
        <v>15</v>
      </c>
    </row>
    <row r="351" spans="1:36" x14ac:dyDescent="0.25">
      <c r="A351" t="s">
        <v>1484</v>
      </c>
      <c r="B351">
        <v>349</v>
      </c>
      <c r="C351" t="s">
        <v>33</v>
      </c>
      <c r="D351">
        <v>1</v>
      </c>
      <c r="F351">
        <v>2</v>
      </c>
      <c r="G351" t="s">
        <v>34</v>
      </c>
      <c r="H351" t="s">
        <v>35</v>
      </c>
      <c r="K351" t="s">
        <v>63</v>
      </c>
      <c r="L351">
        <v>1</v>
      </c>
      <c r="N351">
        <v>3</v>
      </c>
      <c r="O351" t="s">
        <v>145</v>
      </c>
      <c r="P351" t="s">
        <v>91</v>
      </c>
      <c r="Q351" t="s">
        <v>104</v>
      </c>
      <c r="S351" t="s">
        <v>45</v>
      </c>
      <c r="T351">
        <v>3</v>
      </c>
      <c r="V351">
        <v>1</v>
      </c>
      <c r="W351" t="s">
        <v>86</v>
      </c>
      <c r="X351" t="s">
        <v>141</v>
      </c>
      <c r="Y351" t="s">
        <v>102</v>
      </c>
      <c r="AA351" t="s">
        <v>227</v>
      </c>
      <c r="AB351">
        <v>2</v>
      </c>
      <c r="AC351">
        <v>1</v>
      </c>
      <c r="AD351">
        <v>1</v>
      </c>
      <c r="AE351" t="s">
        <v>228</v>
      </c>
      <c r="AI351">
        <v>0</v>
      </c>
      <c r="AJ351">
        <v>15</v>
      </c>
    </row>
    <row r="352" spans="1:36" x14ac:dyDescent="0.25">
      <c r="A352" t="s">
        <v>1485</v>
      </c>
      <c r="B352">
        <v>350</v>
      </c>
      <c r="C352" t="s">
        <v>33</v>
      </c>
      <c r="D352">
        <v>1</v>
      </c>
      <c r="F352">
        <v>2</v>
      </c>
      <c r="G352" t="s">
        <v>65</v>
      </c>
      <c r="K352" t="s">
        <v>63</v>
      </c>
      <c r="L352">
        <v>2</v>
      </c>
      <c r="N352">
        <v>1</v>
      </c>
      <c r="O352" t="s">
        <v>145</v>
      </c>
      <c r="P352" t="s">
        <v>91</v>
      </c>
      <c r="Q352" t="s">
        <v>147</v>
      </c>
      <c r="R352" t="s">
        <v>151</v>
      </c>
      <c r="S352" t="s">
        <v>38</v>
      </c>
      <c r="T352">
        <v>2</v>
      </c>
      <c r="U352">
        <v>1</v>
      </c>
      <c r="V352">
        <v>2</v>
      </c>
      <c r="W352" t="s">
        <v>67</v>
      </c>
      <c r="X352" t="s">
        <v>96</v>
      </c>
      <c r="Y352" t="s">
        <v>154</v>
      </c>
      <c r="Z352" t="s">
        <v>155</v>
      </c>
      <c r="AA352" t="s">
        <v>227</v>
      </c>
      <c r="AB352">
        <v>1</v>
      </c>
      <c r="AC352">
        <v>1</v>
      </c>
      <c r="AD352">
        <v>1</v>
      </c>
      <c r="AE352" t="s">
        <v>228</v>
      </c>
      <c r="AF352" t="s">
        <v>231</v>
      </c>
      <c r="AI352">
        <v>0</v>
      </c>
      <c r="AJ352">
        <v>16</v>
      </c>
    </row>
    <row r="353" spans="1:36" x14ac:dyDescent="0.25">
      <c r="A353" t="s">
        <v>1486</v>
      </c>
      <c r="B353">
        <v>351</v>
      </c>
      <c r="C353" t="s">
        <v>33</v>
      </c>
      <c r="D353">
        <v>2</v>
      </c>
      <c r="F353">
        <v>2</v>
      </c>
      <c r="G353" t="s">
        <v>34</v>
      </c>
      <c r="K353" t="s">
        <v>38</v>
      </c>
      <c r="L353">
        <v>1</v>
      </c>
      <c r="M353">
        <v>1</v>
      </c>
      <c r="N353">
        <v>2</v>
      </c>
      <c r="O353" t="s">
        <v>39</v>
      </c>
      <c r="P353" t="s">
        <v>96</v>
      </c>
      <c r="Q353" t="s">
        <v>41</v>
      </c>
      <c r="S353" t="s">
        <v>43</v>
      </c>
      <c r="T353">
        <v>2</v>
      </c>
      <c r="V353">
        <v>1</v>
      </c>
      <c r="W353" t="s">
        <v>135</v>
      </c>
      <c r="X353" t="s">
        <v>136</v>
      </c>
      <c r="AA353" t="s">
        <v>45</v>
      </c>
      <c r="AB353">
        <v>1</v>
      </c>
      <c r="AD353">
        <v>1</v>
      </c>
      <c r="AE353" t="s">
        <v>86</v>
      </c>
      <c r="AI353">
        <v>0</v>
      </c>
      <c r="AJ353">
        <v>11</v>
      </c>
    </row>
    <row r="354" spans="1:36" x14ac:dyDescent="0.25">
      <c r="A354" t="s">
        <v>1487</v>
      </c>
      <c r="B354">
        <v>352</v>
      </c>
      <c r="C354" t="s">
        <v>33</v>
      </c>
      <c r="D354">
        <v>2</v>
      </c>
      <c r="F354">
        <v>2</v>
      </c>
      <c r="G354" t="s">
        <v>34</v>
      </c>
      <c r="K354" t="s">
        <v>38</v>
      </c>
      <c r="L354">
        <v>1</v>
      </c>
      <c r="M354">
        <v>2</v>
      </c>
      <c r="N354">
        <v>2</v>
      </c>
      <c r="O354" t="s">
        <v>67</v>
      </c>
      <c r="P354" t="s">
        <v>96</v>
      </c>
      <c r="Q354" t="s">
        <v>41</v>
      </c>
      <c r="S354" t="s">
        <v>43</v>
      </c>
      <c r="T354">
        <v>1</v>
      </c>
      <c r="V354">
        <v>1</v>
      </c>
      <c r="W354" t="s">
        <v>44</v>
      </c>
      <c r="AA354" t="s">
        <v>63</v>
      </c>
      <c r="AB354">
        <v>3</v>
      </c>
      <c r="AD354">
        <v>1</v>
      </c>
      <c r="AE354" t="s">
        <v>72</v>
      </c>
      <c r="AF354" t="s">
        <v>91</v>
      </c>
      <c r="AI354">
        <v>0</v>
      </c>
      <c r="AJ354">
        <v>13</v>
      </c>
    </row>
    <row r="355" spans="1:36" x14ac:dyDescent="0.25">
      <c r="A355" s="39" t="s">
        <v>1488</v>
      </c>
      <c r="B355">
        <v>353</v>
      </c>
      <c r="C355" t="s">
        <v>33</v>
      </c>
      <c r="D355">
        <v>1</v>
      </c>
      <c r="F355">
        <v>3</v>
      </c>
      <c r="G355" t="s">
        <v>34</v>
      </c>
      <c r="H355" t="s">
        <v>66</v>
      </c>
      <c r="I355" t="s">
        <v>36</v>
      </c>
      <c r="K355" t="s">
        <v>38</v>
      </c>
      <c r="L355">
        <v>1</v>
      </c>
      <c r="M355">
        <v>1</v>
      </c>
      <c r="N355">
        <v>2</v>
      </c>
      <c r="O355" t="s">
        <v>39</v>
      </c>
      <c r="P355" t="s">
        <v>70</v>
      </c>
      <c r="Q355" t="s">
        <v>153</v>
      </c>
      <c r="R355" t="s">
        <v>155</v>
      </c>
      <c r="S355" t="s">
        <v>43</v>
      </c>
      <c r="T355">
        <v>2</v>
      </c>
      <c r="V355">
        <v>1</v>
      </c>
      <c r="W355" t="s">
        <v>135</v>
      </c>
      <c r="AA355" t="s">
        <v>227</v>
      </c>
      <c r="AB355">
        <v>2</v>
      </c>
      <c r="AC355">
        <v>1</v>
      </c>
      <c r="AD355">
        <v>1</v>
      </c>
      <c r="AE355" t="s">
        <v>228</v>
      </c>
      <c r="AF355" t="s">
        <v>231</v>
      </c>
      <c r="AG355" t="s">
        <v>235</v>
      </c>
      <c r="AI355">
        <v>0</v>
      </c>
      <c r="AJ355">
        <v>16</v>
      </c>
    </row>
    <row r="356" spans="1:36" x14ac:dyDescent="0.25">
      <c r="A356" t="s">
        <v>1489</v>
      </c>
      <c r="B356">
        <v>354</v>
      </c>
      <c r="C356" t="s">
        <v>33</v>
      </c>
      <c r="D356">
        <v>2</v>
      </c>
      <c r="F356">
        <v>1</v>
      </c>
      <c r="G356" t="s">
        <v>34</v>
      </c>
      <c r="K356" t="s">
        <v>38</v>
      </c>
      <c r="L356">
        <v>3</v>
      </c>
      <c r="M356">
        <v>1</v>
      </c>
      <c r="N356">
        <v>2</v>
      </c>
      <c r="O356" t="s">
        <v>39</v>
      </c>
      <c r="P356" t="s">
        <v>96</v>
      </c>
      <c r="Q356" t="s">
        <v>154</v>
      </c>
      <c r="R356" t="s">
        <v>155</v>
      </c>
      <c r="S356" t="s">
        <v>45</v>
      </c>
      <c r="T356">
        <v>1</v>
      </c>
      <c r="V356">
        <v>1</v>
      </c>
      <c r="W356" t="s">
        <v>140</v>
      </c>
      <c r="AA356" t="s">
        <v>63</v>
      </c>
      <c r="AB356">
        <v>3</v>
      </c>
      <c r="AD356">
        <v>2</v>
      </c>
      <c r="AE356" t="s">
        <v>72</v>
      </c>
      <c r="AF356" t="s">
        <v>91</v>
      </c>
      <c r="AG356" t="s">
        <v>147</v>
      </c>
      <c r="AH356" t="s">
        <v>151</v>
      </c>
      <c r="AI356">
        <v>0</v>
      </c>
      <c r="AJ356">
        <v>18</v>
      </c>
    </row>
    <row r="357" spans="1:36" x14ac:dyDescent="0.25">
      <c r="A357" t="s">
        <v>1490</v>
      </c>
      <c r="B357">
        <v>355</v>
      </c>
      <c r="C357" t="s">
        <v>33</v>
      </c>
      <c r="D357">
        <v>2</v>
      </c>
      <c r="F357">
        <v>1</v>
      </c>
      <c r="G357" t="s">
        <v>34</v>
      </c>
      <c r="K357" t="s">
        <v>38</v>
      </c>
      <c r="L357">
        <v>3</v>
      </c>
      <c r="M357">
        <v>2</v>
      </c>
      <c r="N357">
        <v>2</v>
      </c>
      <c r="O357" t="s">
        <v>39</v>
      </c>
      <c r="P357" t="s">
        <v>70</v>
      </c>
      <c r="Q357" t="s">
        <v>153</v>
      </c>
      <c r="R357" t="s">
        <v>42</v>
      </c>
      <c r="S357" t="s">
        <v>45</v>
      </c>
      <c r="T357">
        <v>3</v>
      </c>
      <c r="V357">
        <v>1</v>
      </c>
      <c r="W357" t="s">
        <v>140</v>
      </c>
      <c r="AA357" t="s">
        <v>227</v>
      </c>
      <c r="AB357">
        <v>3</v>
      </c>
      <c r="AC357">
        <v>1</v>
      </c>
      <c r="AD357">
        <v>2</v>
      </c>
      <c r="AE357" t="s">
        <v>228</v>
      </c>
      <c r="AF357" t="s">
        <v>231</v>
      </c>
      <c r="AG357" t="s">
        <v>235</v>
      </c>
      <c r="AH357" t="s">
        <v>237</v>
      </c>
      <c r="AI357">
        <v>0</v>
      </c>
      <c r="AJ357">
        <v>20</v>
      </c>
    </row>
    <row r="358" spans="1:36" x14ac:dyDescent="0.25">
      <c r="A358" t="s">
        <v>1491</v>
      </c>
      <c r="B358">
        <v>356</v>
      </c>
      <c r="C358" t="s">
        <v>33</v>
      </c>
      <c r="D358">
        <v>2</v>
      </c>
      <c r="F358">
        <v>3</v>
      </c>
      <c r="G358" t="s">
        <v>34</v>
      </c>
      <c r="H358" t="s">
        <v>66</v>
      </c>
      <c r="I358" t="s">
        <v>131</v>
      </c>
      <c r="J358" t="s">
        <v>37</v>
      </c>
      <c r="K358" t="s">
        <v>38</v>
      </c>
      <c r="L358">
        <v>3</v>
      </c>
      <c r="M358">
        <v>2</v>
      </c>
      <c r="N358">
        <v>2</v>
      </c>
      <c r="O358" t="s">
        <v>39</v>
      </c>
      <c r="P358" t="s">
        <v>96</v>
      </c>
      <c r="Q358" t="s">
        <v>153</v>
      </c>
      <c r="R358" t="s">
        <v>42</v>
      </c>
      <c r="S358" t="s">
        <v>63</v>
      </c>
      <c r="T358">
        <v>3</v>
      </c>
      <c r="V358">
        <v>2</v>
      </c>
      <c r="W358" t="s">
        <v>145</v>
      </c>
      <c r="X358" t="s">
        <v>146</v>
      </c>
      <c r="Y358" t="s">
        <v>104</v>
      </c>
      <c r="Z358" t="s">
        <v>149</v>
      </c>
      <c r="AA358" t="s">
        <v>227</v>
      </c>
      <c r="AB358">
        <v>2</v>
      </c>
      <c r="AC358">
        <v>1</v>
      </c>
      <c r="AD358">
        <v>3</v>
      </c>
      <c r="AE358" t="s">
        <v>229</v>
      </c>
      <c r="AI358">
        <v>0</v>
      </c>
      <c r="AJ358">
        <v>26</v>
      </c>
    </row>
    <row r="359" spans="1:36" x14ac:dyDescent="0.25">
      <c r="A359" t="s">
        <v>1492</v>
      </c>
      <c r="B359">
        <v>357</v>
      </c>
      <c r="C359" t="s">
        <v>43</v>
      </c>
      <c r="D359">
        <v>2</v>
      </c>
      <c r="F359">
        <v>1</v>
      </c>
      <c r="G359" t="s">
        <v>135</v>
      </c>
      <c r="H359" t="s">
        <v>136</v>
      </c>
      <c r="I359" t="s">
        <v>137</v>
      </c>
      <c r="K359" t="s">
        <v>45</v>
      </c>
      <c r="L359">
        <v>3</v>
      </c>
      <c r="N359">
        <v>1</v>
      </c>
      <c r="O359" t="s">
        <v>140</v>
      </c>
      <c r="P359" t="s">
        <v>141</v>
      </c>
      <c r="Q359" t="s">
        <v>93</v>
      </c>
      <c r="S359" t="s">
        <v>33</v>
      </c>
      <c r="T359">
        <v>1</v>
      </c>
      <c r="V359">
        <v>2</v>
      </c>
      <c r="W359" t="s">
        <v>34</v>
      </c>
      <c r="AA359" t="s">
        <v>227</v>
      </c>
      <c r="AB359">
        <v>2</v>
      </c>
      <c r="AC359">
        <v>1</v>
      </c>
      <c r="AD359">
        <v>3</v>
      </c>
      <c r="AE359" t="s">
        <v>229</v>
      </c>
      <c r="AI359">
        <v>0</v>
      </c>
      <c r="AJ359">
        <v>16</v>
      </c>
    </row>
    <row r="360" spans="1:36" x14ac:dyDescent="0.25">
      <c r="A360" t="s">
        <v>1493</v>
      </c>
      <c r="B360">
        <v>358</v>
      </c>
      <c r="C360" t="s">
        <v>43</v>
      </c>
      <c r="D360">
        <v>2</v>
      </c>
      <c r="F360">
        <v>1</v>
      </c>
      <c r="G360" t="s">
        <v>135</v>
      </c>
      <c r="K360" t="s">
        <v>63</v>
      </c>
      <c r="L360">
        <v>2</v>
      </c>
      <c r="N360">
        <v>1</v>
      </c>
      <c r="O360" t="s">
        <v>72</v>
      </c>
      <c r="P360" t="s">
        <v>95</v>
      </c>
      <c r="Q360" t="s">
        <v>148</v>
      </c>
      <c r="R360" t="s">
        <v>149</v>
      </c>
      <c r="S360" t="s">
        <v>33</v>
      </c>
      <c r="T360">
        <v>2</v>
      </c>
      <c r="V360">
        <v>2</v>
      </c>
      <c r="W360" t="s">
        <v>34</v>
      </c>
      <c r="AA360" t="s">
        <v>227</v>
      </c>
      <c r="AB360">
        <v>2</v>
      </c>
      <c r="AC360">
        <v>1</v>
      </c>
      <c r="AD360">
        <v>2</v>
      </c>
      <c r="AE360" t="s">
        <v>229</v>
      </c>
      <c r="AF360" t="s">
        <v>231</v>
      </c>
      <c r="AG360" t="s">
        <v>235</v>
      </c>
      <c r="AI360">
        <v>0</v>
      </c>
      <c r="AJ360">
        <v>17</v>
      </c>
    </row>
    <row r="361" spans="1:36" x14ac:dyDescent="0.25">
      <c r="A361" t="s">
        <v>1494</v>
      </c>
      <c r="B361">
        <v>359</v>
      </c>
      <c r="C361" t="s">
        <v>43</v>
      </c>
      <c r="D361">
        <v>3</v>
      </c>
      <c r="F361">
        <v>1</v>
      </c>
      <c r="G361" t="s">
        <v>135</v>
      </c>
      <c r="H361" t="s">
        <v>136</v>
      </c>
      <c r="I361" t="s">
        <v>75</v>
      </c>
      <c r="K361" t="s">
        <v>38</v>
      </c>
      <c r="L361">
        <v>3</v>
      </c>
      <c r="M361">
        <v>2</v>
      </c>
      <c r="N361">
        <v>2</v>
      </c>
      <c r="O361" t="s">
        <v>67</v>
      </c>
      <c r="P361" t="s">
        <v>70</v>
      </c>
      <c r="S361" t="s">
        <v>33</v>
      </c>
      <c r="T361">
        <v>1</v>
      </c>
      <c r="V361">
        <v>1</v>
      </c>
      <c r="W361" t="s">
        <v>46</v>
      </c>
      <c r="AA361" t="s">
        <v>227</v>
      </c>
      <c r="AB361">
        <v>2</v>
      </c>
      <c r="AC361">
        <v>1</v>
      </c>
      <c r="AD361">
        <v>3</v>
      </c>
      <c r="AE361" t="s">
        <v>229</v>
      </c>
      <c r="AF361" t="s">
        <v>231</v>
      </c>
      <c r="AI361">
        <v>0</v>
      </c>
      <c r="AJ361">
        <v>19</v>
      </c>
    </row>
    <row r="362" spans="1:36" x14ac:dyDescent="0.25">
      <c r="A362" t="s">
        <v>1495</v>
      </c>
      <c r="B362">
        <v>360</v>
      </c>
      <c r="C362" t="s">
        <v>45</v>
      </c>
      <c r="D362">
        <v>3</v>
      </c>
      <c r="F362">
        <v>1</v>
      </c>
      <c r="G362" t="s">
        <v>140</v>
      </c>
      <c r="H362" t="s">
        <v>76</v>
      </c>
      <c r="K362" t="s">
        <v>63</v>
      </c>
      <c r="L362">
        <v>1</v>
      </c>
      <c r="N362">
        <v>1</v>
      </c>
      <c r="O362" t="s">
        <v>72</v>
      </c>
      <c r="P362" t="s">
        <v>91</v>
      </c>
      <c r="Q362" t="s">
        <v>148</v>
      </c>
      <c r="S362" t="s">
        <v>33</v>
      </c>
      <c r="T362">
        <v>1</v>
      </c>
      <c r="V362">
        <v>2</v>
      </c>
      <c r="W362" t="s">
        <v>34</v>
      </c>
      <c r="AA362" t="s">
        <v>227</v>
      </c>
      <c r="AB362">
        <v>2</v>
      </c>
      <c r="AC362">
        <v>1</v>
      </c>
      <c r="AD362">
        <v>1</v>
      </c>
      <c r="AE362" t="s">
        <v>229</v>
      </c>
      <c r="AF362" t="s">
        <v>231</v>
      </c>
      <c r="AG362" t="s">
        <v>235</v>
      </c>
      <c r="AI362">
        <v>0</v>
      </c>
      <c r="AJ362">
        <v>13</v>
      </c>
    </row>
    <row r="363" spans="1:36" x14ac:dyDescent="0.25">
      <c r="A363" t="s">
        <v>1496</v>
      </c>
      <c r="B363">
        <v>361</v>
      </c>
      <c r="C363" t="s">
        <v>45</v>
      </c>
      <c r="D363">
        <v>2</v>
      </c>
      <c r="F363">
        <v>3</v>
      </c>
      <c r="G363" t="s">
        <v>47</v>
      </c>
      <c r="K363" t="s">
        <v>38</v>
      </c>
      <c r="L363">
        <v>3</v>
      </c>
      <c r="M363">
        <v>2</v>
      </c>
      <c r="N363">
        <v>2</v>
      </c>
      <c r="O363" t="s">
        <v>67</v>
      </c>
      <c r="P363" t="s">
        <v>70</v>
      </c>
      <c r="Q363" t="s">
        <v>153</v>
      </c>
      <c r="R363" t="s">
        <v>42</v>
      </c>
      <c r="S363" t="s">
        <v>33</v>
      </c>
      <c r="T363">
        <v>1</v>
      </c>
      <c r="V363">
        <v>1</v>
      </c>
      <c r="W363" t="s">
        <v>46</v>
      </c>
      <c r="AA363" t="s">
        <v>227</v>
      </c>
      <c r="AB363">
        <v>3</v>
      </c>
      <c r="AC363">
        <v>1</v>
      </c>
      <c r="AD363">
        <v>3</v>
      </c>
      <c r="AE363" t="s">
        <v>228</v>
      </c>
      <c r="AF363" t="s">
        <v>231</v>
      </c>
      <c r="AG363" t="s">
        <v>234</v>
      </c>
      <c r="AI363">
        <v>0</v>
      </c>
      <c r="AJ363">
        <v>20</v>
      </c>
    </row>
    <row r="364" spans="1:36" x14ac:dyDescent="0.25">
      <c r="A364" t="s">
        <v>1497</v>
      </c>
      <c r="B364">
        <v>362</v>
      </c>
      <c r="C364" t="s">
        <v>63</v>
      </c>
      <c r="D364">
        <v>3</v>
      </c>
      <c r="F364">
        <v>3</v>
      </c>
      <c r="G364" t="s">
        <v>145</v>
      </c>
      <c r="H364" t="s">
        <v>91</v>
      </c>
      <c r="I364" t="s">
        <v>148</v>
      </c>
      <c r="J364" t="s">
        <v>150</v>
      </c>
      <c r="K364" t="s">
        <v>38</v>
      </c>
      <c r="L364">
        <v>3</v>
      </c>
      <c r="M364">
        <v>3</v>
      </c>
      <c r="N364">
        <v>3</v>
      </c>
      <c r="O364" t="s">
        <v>39</v>
      </c>
      <c r="P364" t="s">
        <v>40</v>
      </c>
      <c r="Q364" t="s">
        <v>154</v>
      </c>
      <c r="R364" t="s">
        <v>155</v>
      </c>
      <c r="S364" t="s">
        <v>33</v>
      </c>
      <c r="T364">
        <v>1</v>
      </c>
      <c r="V364">
        <v>1</v>
      </c>
      <c r="W364" t="s">
        <v>46</v>
      </c>
      <c r="AA364" t="s">
        <v>227</v>
      </c>
      <c r="AB364">
        <v>3</v>
      </c>
      <c r="AC364">
        <v>3</v>
      </c>
      <c r="AD364">
        <v>3</v>
      </c>
      <c r="AE364" t="s">
        <v>229</v>
      </c>
      <c r="AF364" t="s">
        <v>231</v>
      </c>
      <c r="AG364" t="s">
        <v>235</v>
      </c>
      <c r="AH364" t="s">
        <v>237</v>
      </c>
      <c r="AI364">
        <v>0</v>
      </c>
      <c r="AJ364">
        <v>36</v>
      </c>
    </row>
    <row r="365" spans="1:36" x14ac:dyDescent="0.25">
      <c r="A365" t="s">
        <v>1498</v>
      </c>
      <c r="B365">
        <v>363</v>
      </c>
      <c r="C365" t="s">
        <v>63</v>
      </c>
      <c r="D365">
        <v>3</v>
      </c>
      <c r="F365">
        <v>3</v>
      </c>
      <c r="G365" t="s">
        <v>145</v>
      </c>
      <c r="H365" t="s">
        <v>146</v>
      </c>
      <c r="K365" t="s">
        <v>38</v>
      </c>
      <c r="L365">
        <v>2</v>
      </c>
      <c r="M365">
        <v>1</v>
      </c>
      <c r="N365">
        <v>3</v>
      </c>
      <c r="O365" t="s">
        <v>39</v>
      </c>
      <c r="P365" t="s">
        <v>96</v>
      </c>
      <c r="Q365" t="s">
        <v>154</v>
      </c>
      <c r="S365" t="s">
        <v>43</v>
      </c>
      <c r="T365">
        <v>3</v>
      </c>
      <c r="V365">
        <v>1</v>
      </c>
      <c r="W365" t="s">
        <v>135</v>
      </c>
      <c r="X365" t="s">
        <v>136</v>
      </c>
      <c r="Y365" t="s">
        <v>137</v>
      </c>
      <c r="Z365" t="s">
        <v>139</v>
      </c>
      <c r="AA365" t="s">
        <v>45</v>
      </c>
      <c r="AB365">
        <v>2</v>
      </c>
      <c r="AD365">
        <v>1</v>
      </c>
      <c r="AE365" t="s">
        <v>86</v>
      </c>
      <c r="AI365">
        <v>0</v>
      </c>
      <c r="AJ365">
        <v>20</v>
      </c>
    </row>
    <row r="366" spans="1:36" x14ac:dyDescent="0.25">
      <c r="A366" t="s">
        <v>1499</v>
      </c>
      <c r="B366">
        <v>364</v>
      </c>
      <c r="C366" t="s">
        <v>43</v>
      </c>
      <c r="D366">
        <v>3</v>
      </c>
      <c r="F366">
        <v>1</v>
      </c>
      <c r="G366" t="s">
        <v>135</v>
      </c>
      <c r="H366" t="s">
        <v>136</v>
      </c>
      <c r="I366" t="s">
        <v>75</v>
      </c>
      <c r="K366" t="s">
        <v>45</v>
      </c>
      <c r="L366">
        <v>3</v>
      </c>
      <c r="N366">
        <v>1</v>
      </c>
      <c r="O366" t="s">
        <v>86</v>
      </c>
      <c r="P366" t="s">
        <v>141</v>
      </c>
      <c r="Q366" t="s">
        <v>102</v>
      </c>
      <c r="S366" t="s">
        <v>63</v>
      </c>
      <c r="T366">
        <v>1</v>
      </c>
      <c r="V366">
        <v>1</v>
      </c>
      <c r="W366" t="s">
        <v>145</v>
      </c>
      <c r="X366" t="s">
        <v>146</v>
      </c>
      <c r="AA366" t="s">
        <v>227</v>
      </c>
      <c r="AB366">
        <v>1</v>
      </c>
      <c r="AC366">
        <v>3</v>
      </c>
      <c r="AD366">
        <v>3</v>
      </c>
      <c r="AE366" t="s">
        <v>229</v>
      </c>
      <c r="AI366">
        <v>0</v>
      </c>
      <c r="AJ366">
        <v>17</v>
      </c>
    </row>
    <row r="367" spans="1:36" x14ac:dyDescent="0.25">
      <c r="A367" t="s">
        <v>1500</v>
      </c>
      <c r="B367">
        <v>365</v>
      </c>
      <c r="C367" t="s">
        <v>38</v>
      </c>
      <c r="D367">
        <v>3</v>
      </c>
      <c r="E367">
        <v>1</v>
      </c>
      <c r="F367">
        <v>3</v>
      </c>
      <c r="G367" t="s">
        <v>67</v>
      </c>
      <c r="H367" t="s">
        <v>96</v>
      </c>
      <c r="I367" t="s">
        <v>154</v>
      </c>
      <c r="J367" t="s">
        <v>156</v>
      </c>
      <c r="K367" t="s">
        <v>227</v>
      </c>
      <c r="L367">
        <v>2</v>
      </c>
      <c r="M367">
        <v>1</v>
      </c>
      <c r="N367">
        <v>3</v>
      </c>
      <c r="O367" t="s">
        <v>229</v>
      </c>
      <c r="P367" t="s">
        <v>231</v>
      </c>
      <c r="Q367" t="s">
        <v>235</v>
      </c>
      <c r="R367" t="s">
        <v>238</v>
      </c>
      <c r="S367" t="s">
        <v>43</v>
      </c>
      <c r="T367">
        <v>1</v>
      </c>
      <c r="V367">
        <v>1</v>
      </c>
      <c r="W367" t="s">
        <v>44</v>
      </c>
      <c r="AA367" t="s">
        <v>45</v>
      </c>
      <c r="AB367">
        <v>3</v>
      </c>
      <c r="AD367">
        <v>2</v>
      </c>
      <c r="AE367" t="s">
        <v>140</v>
      </c>
      <c r="AF367" t="s">
        <v>141</v>
      </c>
      <c r="AG367" t="s">
        <v>102</v>
      </c>
      <c r="AH367" t="s">
        <v>144</v>
      </c>
      <c r="AI367">
        <v>0</v>
      </c>
      <c r="AJ367">
        <v>23</v>
      </c>
    </row>
    <row r="368" spans="1:36" x14ac:dyDescent="0.25">
      <c r="A368" t="s">
        <v>1501</v>
      </c>
      <c r="B368">
        <v>366</v>
      </c>
      <c r="C368" t="s">
        <v>43</v>
      </c>
      <c r="D368">
        <v>1</v>
      </c>
      <c r="F368">
        <v>1</v>
      </c>
      <c r="G368" t="s">
        <v>135</v>
      </c>
      <c r="H368" t="s">
        <v>136</v>
      </c>
      <c r="K368" t="s">
        <v>63</v>
      </c>
      <c r="L368">
        <v>3</v>
      </c>
      <c r="N368">
        <v>3</v>
      </c>
      <c r="O368" t="s">
        <v>103</v>
      </c>
      <c r="P368" t="s">
        <v>91</v>
      </c>
      <c r="Q368" t="s">
        <v>147</v>
      </c>
      <c r="R368" t="s">
        <v>151</v>
      </c>
      <c r="S368" t="s">
        <v>45</v>
      </c>
      <c r="T368">
        <v>3</v>
      </c>
      <c r="V368">
        <v>1</v>
      </c>
      <c r="W368" t="s">
        <v>140</v>
      </c>
      <c r="AA368" t="s">
        <v>38</v>
      </c>
      <c r="AB368">
        <v>3</v>
      </c>
      <c r="AC368">
        <v>3</v>
      </c>
      <c r="AD368">
        <v>3</v>
      </c>
      <c r="AE368" t="s">
        <v>39</v>
      </c>
      <c r="AF368" t="s">
        <v>96</v>
      </c>
      <c r="AG368" t="s">
        <v>154</v>
      </c>
      <c r="AH368" t="s">
        <v>156</v>
      </c>
      <c r="AI368">
        <v>0</v>
      </c>
      <c r="AJ368">
        <v>32</v>
      </c>
    </row>
    <row r="369" spans="1:36" x14ac:dyDescent="0.25">
      <c r="A369" t="s">
        <v>1502</v>
      </c>
      <c r="B369">
        <v>367</v>
      </c>
      <c r="C369" t="s">
        <v>45</v>
      </c>
      <c r="D369">
        <v>3</v>
      </c>
      <c r="F369">
        <v>1</v>
      </c>
      <c r="G369" t="s">
        <v>140</v>
      </c>
      <c r="H369" t="s">
        <v>141</v>
      </c>
      <c r="I369" t="s">
        <v>93</v>
      </c>
      <c r="K369" t="s">
        <v>227</v>
      </c>
      <c r="L369">
        <v>1</v>
      </c>
      <c r="M369">
        <v>1</v>
      </c>
      <c r="N369">
        <v>3</v>
      </c>
      <c r="O369" t="s">
        <v>229</v>
      </c>
      <c r="P369" t="s">
        <v>231</v>
      </c>
      <c r="Q369" t="s">
        <v>236</v>
      </c>
      <c r="S369" t="s">
        <v>43</v>
      </c>
      <c r="T369">
        <v>1</v>
      </c>
      <c r="V369">
        <v>1</v>
      </c>
      <c r="W369" t="s">
        <v>135</v>
      </c>
      <c r="X369" t="s">
        <v>136</v>
      </c>
      <c r="AA369" t="s">
        <v>63</v>
      </c>
      <c r="AB369">
        <v>2</v>
      </c>
      <c r="AD369">
        <v>1</v>
      </c>
      <c r="AE369" t="s">
        <v>72</v>
      </c>
      <c r="AF369" t="s">
        <v>91</v>
      </c>
      <c r="AG369" t="s">
        <v>148</v>
      </c>
      <c r="AI369">
        <v>0</v>
      </c>
      <c r="AJ369">
        <v>16</v>
      </c>
    </row>
    <row r="370" spans="1:36" x14ac:dyDescent="0.25">
      <c r="A370" t="s">
        <v>1503</v>
      </c>
      <c r="B370">
        <v>368</v>
      </c>
      <c r="C370" t="s">
        <v>43</v>
      </c>
      <c r="D370">
        <v>3</v>
      </c>
      <c r="F370">
        <v>1</v>
      </c>
      <c r="G370" t="s">
        <v>135</v>
      </c>
      <c r="H370" t="s">
        <v>74</v>
      </c>
      <c r="I370" t="s">
        <v>75</v>
      </c>
      <c r="J370" t="s">
        <v>138</v>
      </c>
      <c r="K370" t="s">
        <v>63</v>
      </c>
      <c r="L370">
        <v>2</v>
      </c>
      <c r="N370">
        <v>1</v>
      </c>
      <c r="O370" t="s">
        <v>103</v>
      </c>
      <c r="P370" t="s">
        <v>91</v>
      </c>
      <c r="Q370" t="s">
        <v>148</v>
      </c>
      <c r="R370" t="s">
        <v>150</v>
      </c>
      <c r="S370" t="s">
        <v>38</v>
      </c>
      <c r="T370">
        <v>2</v>
      </c>
      <c r="U370">
        <v>1</v>
      </c>
      <c r="V370">
        <v>2</v>
      </c>
      <c r="W370" t="s">
        <v>39</v>
      </c>
      <c r="X370" t="s">
        <v>40</v>
      </c>
      <c r="AA370" t="s">
        <v>227</v>
      </c>
      <c r="AB370">
        <v>1</v>
      </c>
      <c r="AC370">
        <v>3</v>
      </c>
      <c r="AD370">
        <v>3</v>
      </c>
      <c r="AE370" t="s">
        <v>229</v>
      </c>
      <c r="AF370" t="s">
        <v>232</v>
      </c>
      <c r="AI370">
        <v>0</v>
      </c>
      <c r="AJ370">
        <v>21</v>
      </c>
    </row>
    <row r="371" spans="1:36" x14ac:dyDescent="0.25">
      <c r="A371" t="s">
        <v>1504</v>
      </c>
      <c r="B371">
        <v>369</v>
      </c>
      <c r="C371" t="s">
        <v>43</v>
      </c>
      <c r="D371">
        <v>2</v>
      </c>
      <c r="F371">
        <v>1</v>
      </c>
      <c r="G371" t="s">
        <v>135</v>
      </c>
      <c r="H371" t="s">
        <v>136</v>
      </c>
      <c r="I371" t="s">
        <v>137</v>
      </c>
      <c r="K371" t="s">
        <v>38</v>
      </c>
      <c r="L371">
        <v>2</v>
      </c>
      <c r="M371">
        <v>1</v>
      </c>
      <c r="N371">
        <v>2</v>
      </c>
      <c r="O371" t="s">
        <v>39</v>
      </c>
      <c r="P371" t="s">
        <v>96</v>
      </c>
      <c r="Q371" t="s">
        <v>41</v>
      </c>
      <c r="S371" t="s">
        <v>45</v>
      </c>
      <c r="T371">
        <v>2</v>
      </c>
      <c r="V371">
        <v>2</v>
      </c>
      <c r="W371" t="s">
        <v>140</v>
      </c>
      <c r="AA371" t="s">
        <v>63</v>
      </c>
      <c r="AB371">
        <v>2</v>
      </c>
      <c r="AD371">
        <v>1</v>
      </c>
      <c r="AE371" t="s">
        <v>103</v>
      </c>
      <c r="AF371" t="s">
        <v>91</v>
      </c>
      <c r="AI371">
        <v>0</v>
      </c>
      <c r="AJ371">
        <v>16</v>
      </c>
    </row>
    <row r="372" spans="1:36" x14ac:dyDescent="0.25">
      <c r="A372" t="s">
        <v>1505</v>
      </c>
      <c r="B372">
        <v>370</v>
      </c>
      <c r="C372" t="s">
        <v>43</v>
      </c>
      <c r="D372">
        <v>3</v>
      </c>
      <c r="F372">
        <v>3</v>
      </c>
      <c r="G372" t="s">
        <v>135</v>
      </c>
      <c r="H372" t="s">
        <v>99</v>
      </c>
      <c r="I372" t="s">
        <v>75</v>
      </c>
      <c r="K372" t="s">
        <v>38</v>
      </c>
      <c r="L372">
        <v>3</v>
      </c>
      <c r="M372">
        <v>2</v>
      </c>
      <c r="N372">
        <v>1</v>
      </c>
      <c r="O372" t="s">
        <v>39</v>
      </c>
      <c r="P372" t="s">
        <v>96</v>
      </c>
      <c r="Q372" t="s">
        <v>153</v>
      </c>
      <c r="R372" t="s">
        <v>42</v>
      </c>
      <c r="S372" t="s">
        <v>45</v>
      </c>
      <c r="T372">
        <v>2</v>
      </c>
      <c r="V372">
        <v>1</v>
      </c>
      <c r="W372" t="s">
        <v>140</v>
      </c>
      <c r="X372" t="s">
        <v>76</v>
      </c>
      <c r="AA372" t="s">
        <v>227</v>
      </c>
      <c r="AB372">
        <v>1</v>
      </c>
      <c r="AC372">
        <v>3</v>
      </c>
      <c r="AD372">
        <v>3</v>
      </c>
      <c r="AE372" t="s">
        <v>229</v>
      </c>
      <c r="AF372" t="s">
        <v>231</v>
      </c>
      <c r="AG372" t="s">
        <v>235</v>
      </c>
      <c r="AI372">
        <v>0</v>
      </c>
      <c r="AJ372">
        <v>24</v>
      </c>
    </row>
    <row r="373" spans="1:36" x14ac:dyDescent="0.25">
      <c r="A373" t="s">
        <v>1506</v>
      </c>
      <c r="B373">
        <v>371</v>
      </c>
      <c r="C373" t="s">
        <v>63</v>
      </c>
      <c r="D373">
        <v>1</v>
      </c>
      <c r="F373">
        <v>3</v>
      </c>
      <c r="G373" t="s">
        <v>145</v>
      </c>
      <c r="H373" t="s">
        <v>146</v>
      </c>
      <c r="K373" t="s">
        <v>227</v>
      </c>
      <c r="L373">
        <v>3</v>
      </c>
      <c r="M373">
        <v>3</v>
      </c>
      <c r="N373">
        <v>3</v>
      </c>
      <c r="O373" t="s">
        <v>229</v>
      </c>
      <c r="P373" t="s">
        <v>231</v>
      </c>
      <c r="Q373" t="s">
        <v>235</v>
      </c>
      <c r="R373" t="s">
        <v>238</v>
      </c>
      <c r="S373" t="s">
        <v>43</v>
      </c>
      <c r="T373">
        <v>3</v>
      </c>
      <c r="V373">
        <v>2</v>
      </c>
      <c r="W373" t="s">
        <v>44</v>
      </c>
      <c r="X373" t="s">
        <v>74</v>
      </c>
      <c r="Y373" t="s">
        <v>137</v>
      </c>
      <c r="Z373" t="s">
        <v>101</v>
      </c>
      <c r="AA373" t="s">
        <v>38</v>
      </c>
      <c r="AB373">
        <v>3</v>
      </c>
      <c r="AC373">
        <v>3</v>
      </c>
      <c r="AD373">
        <v>3</v>
      </c>
      <c r="AE373" t="s">
        <v>39</v>
      </c>
      <c r="AF373" t="s">
        <v>96</v>
      </c>
      <c r="AG373" t="s">
        <v>41</v>
      </c>
      <c r="AH373" t="s">
        <v>156</v>
      </c>
      <c r="AI373">
        <v>0</v>
      </c>
      <c r="AJ373">
        <v>43</v>
      </c>
    </row>
    <row r="374" spans="1:36" x14ac:dyDescent="0.25">
      <c r="A374" t="s">
        <v>1507</v>
      </c>
      <c r="B374">
        <v>372</v>
      </c>
      <c r="C374" t="s">
        <v>45</v>
      </c>
      <c r="D374">
        <v>3</v>
      </c>
      <c r="F374">
        <v>1</v>
      </c>
      <c r="G374" t="s">
        <v>140</v>
      </c>
      <c r="H374" t="s">
        <v>92</v>
      </c>
      <c r="K374" t="s">
        <v>63</v>
      </c>
      <c r="L374">
        <v>2</v>
      </c>
      <c r="N374">
        <v>1</v>
      </c>
      <c r="O374" t="s">
        <v>72</v>
      </c>
      <c r="P374" t="s">
        <v>91</v>
      </c>
      <c r="Q374" t="s">
        <v>148</v>
      </c>
      <c r="R374" t="s">
        <v>151</v>
      </c>
      <c r="S374" t="s">
        <v>43</v>
      </c>
      <c r="T374">
        <v>1</v>
      </c>
      <c r="V374">
        <v>1</v>
      </c>
      <c r="W374" t="s">
        <v>73</v>
      </c>
      <c r="X374" t="s">
        <v>136</v>
      </c>
      <c r="AA374" t="s">
        <v>227</v>
      </c>
      <c r="AB374">
        <v>2</v>
      </c>
      <c r="AC374">
        <v>1</v>
      </c>
      <c r="AD374">
        <v>2</v>
      </c>
      <c r="AE374" t="s">
        <v>229</v>
      </c>
      <c r="AF374" t="s">
        <v>231</v>
      </c>
      <c r="AI374">
        <v>0</v>
      </c>
      <c r="AJ374">
        <v>15</v>
      </c>
    </row>
    <row r="375" spans="1:36" x14ac:dyDescent="0.25">
      <c r="A375" t="s">
        <v>1508</v>
      </c>
      <c r="B375">
        <v>373</v>
      </c>
      <c r="C375" t="s">
        <v>45</v>
      </c>
      <c r="D375">
        <v>3</v>
      </c>
      <c r="F375">
        <v>1</v>
      </c>
      <c r="G375" t="s">
        <v>140</v>
      </c>
      <c r="H375" t="s">
        <v>141</v>
      </c>
      <c r="I375" t="s">
        <v>102</v>
      </c>
      <c r="K375" t="s">
        <v>38</v>
      </c>
      <c r="L375">
        <v>3</v>
      </c>
      <c r="M375">
        <v>2</v>
      </c>
      <c r="N375">
        <v>2</v>
      </c>
      <c r="O375" t="s">
        <v>39</v>
      </c>
      <c r="P375" t="s">
        <v>70</v>
      </c>
      <c r="Q375" t="s">
        <v>154</v>
      </c>
      <c r="R375" t="s">
        <v>42</v>
      </c>
      <c r="S375" t="s">
        <v>43</v>
      </c>
      <c r="T375">
        <v>1</v>
      </c>
      <c r="V375">
        <v>1</v>
      </c>
      <c r="W375" t="s">
        <v>73</v>
      </c>
      <c r="AA375" t="s">
        <v>227</v>
      </c>
      <c r="AB375">
        <v>3</v>
      </c>
      <c r="AC375">
        <v>1</v>
      </c>
      <c r="AD375">
        <v>2</v>
      </c>
      <c r="AE375" t="s">
        <v>229</v>
      </c>
      <c r="AF375" t="s">
        <v>231</v>
      </c>
      <c r="AG375" t="s">
        <v>234</v>
      </c>
      <c r="AH375" t="s">
        <v>238</v>
      </c>
      <c r="AI375">
        <v>0</v>
      </c>
      <c r="AJ375">
        <v>23</v>
      </c>
    </row>
    <row r="376" spans="1:36" x14ac:dyDescent="0.25">
      <c r="A376" t="s">
        <v>1509</v>
      </c>
      <c r="B376">
        <v>374</v>
      </c>
      <c r="C376" t="s">
        <v>63</v>
      </c>
      <c r="D376">
        <v>3</v>
      </c>
      <c r="F376">
        <v>3</v>
      </c>
      <c r="G376" t="s">
        <v>145</v>
      </c>
      <c r="H376" t="s">
        <v>91</v>
      </c>
      <c r="I376" t="s">
        <v>148</v>
      </c>
      <c r="J376" t="s">
        <v>151</v>
      </c>
      <c r="K376" t="s">
        <v>38</v>
      </c>
      <c r="L376">
        <v>3</v>
      </c>
      <c r="M376">
        <v>3</v>
      </c>
      <c r="N376">
        <v>3</v>
      </c>
      <c r="O376" t="s">
        <v>39</v>
      </c>
      <c r="P376" t="s">
        <v>40</v>
      </c>
      <c r="Q376" t="s">
        <v>154</v>
      </c>
      <c r="R376" t="s">
        <v>155</v>
      </c>
      <c r="S376" t="s">
        <v>43</v>
      </c>
      <c r="T376">
        <v>2</v>
      </c>
      <c r="V376">
        <v>1</v>
      </c>
      <c r="W376" t="s">
        <v>73</v>
      </c>
      <c r="X376" t="s">
        <v>74</v>
      </c>
      <c r="AA376" t="s">
        <v>227</v>
      </c>
      <c r="AB376">
        <v>3</v>
      </c>
      <c r="AC376">
        <v>3</v>
      </c>
      <c r="AD376">
        <v>3</v>
      </c>
      <c r="AE376" t="s">
        <v>229</v>
      </c>
      <c r="AF376" t="s">
        <v>231</v>
      </c>
      <c r="AG376" t="s">
        <v>235</v>
      </c>
      <c r="AH376" t="s">
        <v>237</v>
      </c>
      <c r="AI376">
        <v>0</v>
      </c>
      <c r="AJ376">
        <v>37</v>
      </c>
    </row>
    <row r="377" spans="1:36" x14ac:dyDescent="0.25">
      <c r="A377" t="s">
        <v>1510</v>
      </c>
      <c r="B377">
        <v>375</v>
      </c>
      <c r="C377" t="s">
        <v>38</v>
      </c>
      <c r="D377">
        <v>3</v>
      </c>
      <c r="E377">
        <v>3</v>
      </c>
      <c r="F377">
        <v>3</v>
      </c>
      <c r="G377" t="s">
        <v>39</v>
      </c>
      <c r="H377" t="s">
        <v>96</v>
      </c>
      <c r="I377" t="s">
        <v>154</v>
      </c>
      <c r="J377" t="s">
        <v>42</v>
      </c>
      <c r="K377" t="s">
        <v>227</v>
      </c>
      <c r="L377">
        <v>3</v>
      </c>
      <c r="M377">
        <v>3</v>
      </c>
      <c r="N377">
        <v>3</v>
      </c>
      <c r="O377" t="s">
        <v>228</v>
      </c>
      <c r="P377" t="s">
        <v>233</v>
      </c>
      <c r="Q377" t="s">
        <v>235</v>
      </c>
      <c r="R377" t="s">
        <v>238</v>
      </c>
      <c r="S377" t="s">
        <v>45</v>
      </c>
      <c r="T377">
        <v>1</v>
      </c>
      <c r="V377">
        <v>1</v>
      </c>
      <c r="W377" t="s">
        <v>140</v>
      </c>
      <c r="AA377" t="s">
        <v>63</v>
      </c>
      <c r="AB377">
        <v>3</v>
      </c>
      <c r="AD377">
        <v>3</v>
      </c>
      <c r="AE377" t="s">
        <v>103</v>
      </c>
      <c r="AF377" t="s">
        <v>91</v>
      </c>
      <c r="AG377" t="s">
        <v>147</v>
      </c>
      <c r="AH377" t="s">
        <v>151</v>
      </c>
      <c r="AI377">
        <v>0</v>
      </c>
      <c r="AJ377">
        <v>44</v>
      </c>
    </row>
    <row r="378" spans="1:36" x14ac:dyDescent="0.25">
      <c r="A378" t="s">
        <v>1511</v>
      </c>
      <c r="B378">
        <v>376</v>
      </c>
      <c r="C378" t="s">
        <v>45</v>
      </c>
      <c r="D378">
        <v>3</v>
      </c>
      <c r="F378">
        <v>1</v>
      </c>
      <c r="G378" t="s">
        <v>86</v>
      </c>
      <c r="H378" t="s">
        <v>141</v>
      </c>
      <c r="I378" t="s">
        <v>102</v>
      </c>
      <c r="J378" t="s">
        <v>143</v>
      </c>
      <c r="K378" t="s">
        <v>38</v>
      </c>
      <c r="L378">
        <v>3</v>
      </c>
      <c r="M378">
        <v>2</v>
      </c>
      <c r="N378">
        <v>2</v>
      </c>
      <c r="O378" t="s">
        <v>39</v>
      </c>
      <c r="P378" t="s">
        <v>96</v>
      </c>
      <c r="Q378" t="s">
        <v>153</v>
      </c>
      <c r="R378" t="s">
        <v>42</v>
      </c>
      <c r="S378" t="s">
        <v>63</v>
      </c>
      <c r="T378">
        <v>1</v>
      </c>
      <c r="V378">
        <v>2</v>
      </c>
      <c r="W378" t="s">
        <v>103</v>
      </c>
      <c r="X378" t="s">
        <v>146</v>
      </c>
      <c r="Y378" t="s">
        <v>104</v>
      </c>
      <c r="Z378" t="s">
        <v>150</v>
      </c>
      <c r="AA378" t="s">
        <v>227</v>
      </c>
      <c r="AB378">
        <v>3</v>
      </c>
      <c r="AC378">
        <v>1</v>
      </c>
      <c r="AD378">
        <v>3</v>
      </c>
      <c r="AE378" t="s">
        <v>229</v>
      </c>
      <c r="AF378" t="s">
        <v>231</v>
      </c>
      <c r="AG378" t="s">
        <v>235</v>
      </c>
      <c r="AH378" t="s">
        <v>238</v>
      </c>
      <c r="AI378">
        <v>0</v>
      </c>
      <c r="AJ378">
        <v>29</v>
      </c>
    </row>
    <row r="379" spans="1:36" x14ac:dyDescent="0.25">
      <c r="A379" t="s">
        <v>1512</v>
      </c>
      <c r="B379">
        <v>377</v>
      </c>
      <c r="C379" t="s">
        <v>63</v>
      </c>
      <c r="D379">
        <v>3</v>
      </c>
      <c r="F379">
        <v>3</v>
      </c>
      <c r="G379" t="s">
        <v>145</v>
      </c>
      <c r="H379" t="s">
        <v>91</v>
      </c>
      <c r="I379" t="s">
        <v>148</v>
      </c>
      <c r="J379" t="s">
        <v>149</v>
      </c>
      <c r="K379" t="s">
        <v>38</v>
      </c>
      <c r="L379">
        <v>3</v>
      </c>
      <c r="M379">
        <v>3</v>
      </c>
      <c r="N379">
        <v>3</v>
      </c>
      <c r="O379" t="s">
        <v>39</v>
      </c>
      <c r="P379" t="s">
        <v>70</v>
      </c>
      <c r="Q379" t="s">
        <v>154</v>
      </c>
      <c r="R379" t="s">
        <v>156</v>
      </c>
      <c r="S379" t="s">
        <v>45</v>
      </c>
      <c r="T379">
        <v>2</v>
      </c>
      <c r="V379">
        <v>1</v>
      </c>
      <c r="W379" t="s">
        <v>86</v>
      </c>
      <c r="AA379" t="s">
        <v>227</v>
      </c>
      <c r="AB379">
        <v>3</v>
      </c>
      <c r="AC379">
        <v>3</v>
      </c>
      <c r="AD379">
        <v>3</v>
      </c>
      <c r="AE379" t="s">
        <v>229</v>
      </c>
      <c r="AF379" t="s">
        <v>231</v>
      </c>
      <c r="AG379" t="s">
        <v>235</v>
      </c>
      <c r="AH379" t="s">
        <v>237</v>
      </c>
      <c r="AI379">
        <v>0</v>
      </c>
      <c r="AJ379">
        <v>38</v>
      </c>
    </row>
  </sheetData>
  <conditionalFormatting sqref="B379:B1048576 B1">
    <cfRule type="duplicateValues" dxfId="2" priority="3577"/>
  </conditionalFormatting>
  <conditionalFormatting sqref="B2:B379">
    <cfRule type="duplicateValues" dxfId="1" priority="5841"/>
  </conditionalFormatting>
  <conditionalFormatting sqref="A2:B379">
    <cfRule type="duplicateValues" dxfId="0" priority="5843"/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A1AE-AF65-4366-A552-86EB86485CFA}">
  <dimension ref="A1:P380"/>
  <sheetViews>
    <sheetView workbookViewId="0">
      <selection activeCell="O23" sqref="O23"/>
    </sheetView>
  </sheetViews>
  <sheetFormatPr defaultRowHeight="15" x14ac:dyDescent="0.25"/>
  <cols>
    <col min="1" max="1" width="10.5703125" bestFit="1" customWidth="1"/>
    <col min="2" max="2" width="11.42578125" bestFit="1" customWidth="1"/>
    <col min="3" max="3" width="13.5703125" bestFit="1" customWidth="1"/>
    <col min="4" max="5" width="11.42578125" bestFit="1" customWidth="1"/>
    <col min="6" max="6" width="13.5703125" bestFit="1" customWidth="1"/>
    <col min="7" max="7" width="9.42578125" bestFit="1" customWidth="1"/>
    <col min="9" max="10" width="11.42578125" bestFit="1" customWidth="1"/>
    <col min="11" max="11" width="9.42578125" bestFit="1" customWidth="1"/>
    <col min="12" max="12" width="7.42578125" bestFit="1" customWidth="1"/>
    <col min="13" max="13" width="10.85546875" bestFit="1" customWidth="1"/>
    <col min="15" max="15" width="25.140625" bestFit="1" customWidth="1"/>
    <col min="16" max="16" width="3" bestFit="1" customWidth="1"/>
    <col min="18" max="18" width="9.28515625" bestFit="1" customWidth="1"/>
  </cols>
  <sheetData>
    <row r="1" spans="1:16" ht="15.75" thickBot="1" x14ac:dyDescent="0.3">
      <c r="A1" s="36" t="s">
        <v>78</v>
      </c>
      <c r="B1" s="37"/>
      <c r="C1" s="37"/>
      <c r="D1" s="37"/>
      <c r="E1" s="37"/>
      <c r="F1" s="37"/>
      <c r="G1" s="38"/>
      <c r="I1" s="36" t="s">
        <v>82</v>
      </c>
      <c r="J1" s="37"/>
      <c r="K1" s="37"/>
      <c r="L1" s="37"/>
      <c r="M1" s="38"/>
      <c r="O1" s="4" t="s">
        <v>157</v>
      </c>
      <c r="P1" s="30">
        <f>MIN(Scenario5[crystals])</f>
        <v>0</v>
      </c>
    </row>
    <row r="2" spans="1:16" ht="15.75" thickBot="1" x14ac:dyDescent="0.3">
      <c r="A2" t="s">
        <v>59</v>
      </c>
      <c r="B2" t="s">
        <v>60</v>
      </c>
      <c r="C2" t="s">
        <v>81</v>
      </c>
      <c r="D2" t="s">
        <v>61</v>
      </c>
      <c r="E2" t="s">
        <v>62</v>
      </c>
      <c r="F2" t="s">
        <v>77</v>
      </c>
      <c r="G2" t="s">
        <v>58</v>
      </c>
      <c r="I2" t="s">
        <v>59</v>
      </c>
      <c r="J2" t="s">
        <v>60</v>
      </c>
      <c r="K2" t="s">
        <v>58</v>
      </c>
      <c r="L2" t="s">
        <v>79</v>
      </c>
      <c r="M2" t="s">
        <v>80</v>
      </c>
      <c r="O2" s="4" t="s">
        <v>107</v>
      </c>
      <c r="P2" s="30">
        <f>AVERAGE(Scenario5[crystals])</f>
        <v>0</v>
      </c>
    </row>
    <row r="3" spans="1:16" ht="15.75" thickBot="1" x14ac:dyDescent="0.3">
      <c r="A3" t="s">
        <v>53</v>
      </c>
      <c r="B3" t="s">
        <v>56</v>
      </c>
      <c r="C3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" t="s">
        <v>48</v>
      </c>
      <c r="E3" t="s">
        <v>33</v>
      </c>
      <c r="F3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">
        <f>ScenarioStat5[[#This Row],[team-1-win]]+ScenarioStat5[[#This Row],[team-2-win]]</f>
        <v>1</v>
      </c>
      <c r="I3" t="s">
        <v>53</v>
      </c>
      <c r="J3" t="s">
        <v>56</v>
      </c>
      <c r="K3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3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13</v>
      </c>
      <c r="M3" s="3">
        <f>IF(ScenarioTeams5[[#This Row],[battles]],ScenarioTeams5[[#This Row],[wins]]/ScenarioTeams5[[#This Row],[battles]],0)</f>
        <v>0.61904761904761907</v>
      </c>
      <c r="O3" s="4" t="s">
        <v>159</v>
      </c>
      <c r="P3" s="30">
        <f>MAX(Scenario5[crystals])</f>
        <v>0</v>
      </c>
    </row>
    <row r="4" spans="1:16" ht="15.75" thickBot="1" x14ac:dyDescent="0.3">
      <c r="A4" t="s">
        <v>53</v>
      </c>
      <c r="B4" t="s">
        <v>56</v>
      </c>
      <c r="C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4" t="s">
        <v>48</v>
      </c>
      <c r="E4" t="s">
        <v>43</v>
      </c>
      <c r="F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4">
        <f>ScenarioStat5[[#This Row],[team-1-win]]+ScenarioStat5[[#This Row],[team-2-win]]</f>
        <v>1</v>
      </c>
      <c r="I4" t="s">
        <v>53</v>
      </c>
      <c r="J4" t="s">
        <v>48</v>
      </c>
      <c r="K4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4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15</v>
      </c>
      <c r="M4" s="3">
        <f>IF(ScenarioTeams5[[#This Row],[battles]],ScenarioTeams5[[#This Row],[wins]]/ScenarioTeams5[[#This Row],[battles]],0)</f>
        <v>0.7142857142857143</v>
      </c>
    </row>
    <row r="5" spans="1:16" ht="15.75" thickBot="1" x14ac:dyDescent="0.3">
      <c r="A5" t="s">
        <v>53</v>
      </c>
      <c r="B5" t="s">
        <v>56</v>
      </c>
      <c r="C5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5" t="s">
        <v>48</v>
      </c>
      <c r="E5" t="s">
        <v>45</v>
      </c>
      <c r="F5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5">
        <f>ScenarioStat5[[#This Row],[team-1-win]]+ScenarioStat5[[#This Row],[team-2-win]]</f>
        <v>1</v>
      </c>
      <c r="I5" t="s">
        <v>53</v>
      </c>
      <c r="J5" t="s">
        <v>33</v>
      </c>
      <c r="K5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5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12</v>
      </c>
      <c r="M5" s="3">
        <f>IF(ScenarioTeams5[[#This Row],[battles]],ScenarioTeams5[[#This Row],[wins]]/ScenarioTeams5[[#This Row],[battles]],0)</f>
        <v>0.5714285714285714</v>
      </c>
      <c r="O5" s="4" t="s">
        <v>158</v>
      </c>
      <c r="P5" s="30">
        <f>MIN(Scenario5[turns])</f>
        <v>9</v>
      </c>
    </row>
    <row r="6" spans="1:16" ht="15.75" thickBot="1" x14ac:dyDescent="0.3">
      <c r="A6" t="s">
        <v>53</v>
      </c>
      <c r="B6" t="s">
        <v>56</v>
      </c>
      <c r="C6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6" t="s">
        <v>48</v>
      </c>
      <c r="E6" t="s">
        <v>63</v>
      </c>
      <c r="F6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6">
        <f>ScenarioStat5[[#This Row],[team-1-win]]+ScenarioStat5[[#This Row],[team-2-win]]</f>
        <v>1</v>
      </c>
      <c r="I6" t="s">
        <v>53</v>
      </c>
      <c r="J6" t="s">
        <v>43</v>
      </c>
      <c r="K6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6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12</v>
      </c>
      <c r="M6" s="3">
        <f>IF(ScenarioTeams5[[#This Row],[battles]],ScenarioTeams5[[#This Row],[wins]]/ScenarioTeams5[[#This Row],[battles]],0)</f>
        <v>0.5714285714285714</v>
      </c>
      <c r="O6" s="5" t="s">
        <v>108</v>
      </c>
      <c r="P6" s="31">
        <f>AVERAGE(Scenario5[turns])</f>
        <v>24.365079365079364</v>
      </c>
    </row>
    <row r="7" spans="1:16" ht="15.75" thickBot="1" x14ac:dyDescent="0.3">
      <c r="A7" t="s">
        <v>53</v>
      </c>
      <c r="B7" t="s">
        <v>56</v>
      </c>
      <c r="C7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7" t="s">
        <v>48</v>
      </c>
      <c r="E7" t="s">
        <v>38</v>
      </c>
      <c r="F7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7">
        <f>ScenarioStat5[[#This Row],[team-1-win]]+ScenarioStat5[[#This Row],[team-2-win]]</f>
        <v>1</v>
      </c>
      <c r="I7" t="s">
        <v>53</v>
      </c>
      <c r="J7" t="s">
        <v>45</v>
      </c>
      <c r="K7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7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12</v>
      </c>
      <c r="M7" s="3">
        <f>IF(ScenarioTeams5[[#This Row],[battles]],ScenarioTeams5[[#This Row],[wins]]/ScenarioTeams5[[#This Row],[battles]],0)</f>
        <v>0.5714285714285714</v>
      </c>
      <c r="O7" s="5" t="s">
        <v>160</v>
      </c>
      <c r="P7" s="31">
        <f>MAX(Scenario5[turns])</f>
        <v>64</v>
      </c>
    </row>
    <row r="8" spans="1:16" ht="15.75" thickBot="1" x14ac:dyDescent="0.3">
      <c r="A8" t="s">
        <v>53</v>
      </c>
      <c r="B8" t="s">
        <v>56</v>
      </c>
      <c r="C8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8" t="s">
        <v>48</v>
      </c>
      <c r="E8" t="s">
        <v>227</v>
      </c>
      <c r="F8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8">
        <f>ScenarioStat5[[#This Row],[team-1-win]]+ScenarioStat5[[#This Row],[team-2-win]]</f>
        <v>1</v>
      </c>
      <c r="I8" t="s">
        <v>53</v>
      </c>
      <c r="J8" t="s">
        <v>63</v>
      </c>
      <c r="K8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8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16</v>
      </c>
      <c r="M8" s="3">
        <f>IF(ScenarioTeams5[[#This Row],[battles]],ScenarioTeams5[[#This Row],[wins]]/ScenarioTeams5[[#This Row],[battles]],0)</f>
        <v>0.76190476190476186</v>
      </c>
    </row>
    <row r="9" spans="1:16" ht="15.75" thickBot="1" x14ac:dyDescent="0.3">
      <c r="A9" t="s">
        <v>53</v>
      </c>
      <c r="B9" t="s">
        <v>56</v>
      </c>
      <c r="C9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9" t="s">
        <v>33</v>
      </c>
      <c r="E9" t="s">
        <v>43</v>
      </c>
      <c r="F9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9">
        <f>ScenarioStat5[[#This Row],[team-1-win]]+ScenarioStat5[[#This Row],[team-2-win]]</f>
        <v>1</v>
      </c>
      <c r="I9" t="s">
        <v>53</v>
      </c>
      <c r="J9" t="s">
        <v>38</v>
      </c>
      <c r="K9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9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12</v>
      </c>
      <c r="M9" s="3">
        <f>IF(ScenarioTeams5[[#This Row],[battles]],ScenarioTeams5[[#This Row],[wins]]/ScenarioTeams5[[#This Row],[battles]],0)</f>
        <v>0.5714285714285714</v>
      </c>
      <c r="O9" s="4" t="s">
        <v>185</v>
      </c>
      <c r="P9" s="30">
        <f>120000*$P$6/1000/60</f>
        <v>48.730158730158728</v>
      </c>
    </row>
    <row r="10" spans="1:16" ht="15.75" thickBot="1" x14ac:dyDescent="0.3">
      <c r="A10" t="s">
        <v>53</v>
      </c>
      <c r="B10" t="s">
        <v>56</v>
      </c>
      <c r="C10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0" t="s">
        <v>33</v>
      </c>
      <c r="E10" t="s">
        <v>45</v>
      </c>
      <c r="F10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0">
        <f>ScenarioStat5[[#This Row],[team-1-win]]+ScenarioStat5[[#This Row],[team-2-win]]</f>
        <v>1</v>
      </c>
      <c r="I10" t="s">
        <v>53</v>
      </c>
      <c r="J10" t="s">
        <v>227</v>
      </c>
      <c r="K10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10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18</v>
      </c>
      <c r="M10" s="3">
        <f>IF(ScenarioTeams5[[#This Row],[battles]],ScenarioTeams5[[#This Row],[wins]]/ScenarioTeams5[[#This Row],[battles]],0)</f>
        <v>0.8571428571428571</v>
      </c>
      <c r="O10" s="5" t="s">
        <v>186</v>
      </c>
      <c r="P10" s="31">
        <f>P9*COUNTA(ScenarioStat5[hero-1])/60/24</f>
        <v>12.791666666666666</v>
      </c>
    </row>
    <row r="11" spans="1:16" x14ac:dyDescent="0.25">
      <c r="A11" t="s">
        <v>53</v>
      </c>
      <c r="B11" t="s">
        <v>56</v>
      </c>
      <c r="C11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1" t="s">
        <v>33</v>
      </c>
      <c r="E11" t="s">
        <v>63</v>
      </c>
      <c r="F11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1">
        <f>ScenarioStat5[[#This Row],[team-1-win]]+ScenarioStat5[[#This Row],[team-2-win]]</f>
        <v>1</v>
      </c>
      <c r="I11" t="s">
        <v>56</v>
      </c>
      <c r="J11" t="s">
        <v>48</v>
      </c>
      <c r="K11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11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12</v>
      </c>
      <c r="M11" s="3">
        <f>IF(ScenarioTeams5[[#This Row],[battles]],ScenarioTeams5[[#This Row],[wins]]/ScenarioTeams5[[#This Row],[battles]],0)</f>
        <v>0.5714285714285714</v>
      </c>
    </row>
    <row r="12" spans="1:16" x14ac:dyDescent="0.25">
      <c r="A12" t="s">
        <v>53</v>
      </c>
      <c r="B12" t="s">
        <v>56</v>
      </c>
      <c r="C12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2" t="s">
        <v>33</v>
      </c>
      <c r="E12" t="s">
        <v>38</v>
      </c>
      <c r="F12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2">
        <f>ScenarioStat5[[#This Row],[team-1-win]]+ScenarioStat5[[#This Row],[team-2-win]]</f>
        <v>1</v>
      </c>
      <c r="I12" t="s">
        <v>56</v>
      </c>
      <c r="J12" t="s">
        <v>33</v>
      </c>
      <c r="K12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12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5</v>
      </c>
      <c r="M12" s="3">
        <f>IF(ScenarioTeams5[[#This Row],[battles]],ScenarioTeams5[[#This Row],[wins]]/ScenarioTeams5[[#This Row],[battles]],0)</f>
        <v>0.23809523809523808</v>
      </c>
    </row>
    <row r="13" spans="1:16" x14ac:dyDescent="0.25">
      <c r="A13" t="s">
        <v>53</v>
      </c>
      <c r="B13" t="s">
        <v>56</v>
      </c>
      <c r="C1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3" t="s">
        <v>33</v>
      </c>
      <c r="E13" t="s">
        <v>227</v>
      </c>
      <c r="F1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3">
        <f>ScenarioStat5[[#This Row],[team-1-win]]+ScenarioStat5[[#This Row],[team-2-win]]</f>
        <v>1</v>
      </c>
      <c r="I13" t="s">
        <v>56</v>
      </c>
      <c r="J13" t="s">
        <v>43</v>
      </c>
      <c r="K13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13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13</v>
      </c>
      <c r="M13" s="3">
        <f>IF(ScenarioTeams5[[#This Row],[battles]],ScenarioTeams5[[#This Row],[wins]]/ScenarioTeams5[[#This Row],[battles]],0)</f>
        <v>0.61904761904761907</v>
      </c>
    </row>
    <row r="14" spans="1:16" x14ac:dyDescent="0.25">
      <c r="A14" t="s">
        <v>53</v>
      </c>
      <c r="B14" t="s">
        <v>56</v>
      </c>
      <c r="C1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4" t="s">
        <v>43</v>
      </c>
      <c r="E14" t="s">
        <v>45</v>
      </c>
      <c r="F1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4">
        <f>ScenarioStat5[[#This Row],[team-1-win]]+ScenarioStat5[[#This Row],[team-2-win]]</f>
        <v>1</v>
      </c>
      <c r="I14" t="s">
        <v>56</v>
      </c>
      <c r="J14" t="s">
        <v>45</v>
      </c>
      <c r="K14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14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11</v>
      </c>
      <c r="M14" s="3">
        <f>IF(ScenarioTeams5[[#This Row],[battles]],ScenarioTeams5[[#This Row],[wins]]/ScenarioTeams5[[#This Row],[battles]],0)</f>
        <v>0.52380952380952384</v>
      </c>
    </row>
    <row r="15" spans="1:16" x14ac:dyDescent="0.25">
      <c r="A15" t="s">
        <v>53</v>
      </c>
      <c r="B15" t="s">
        <v>56</v>
      </c>
      <c r="C15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5" t="s">
        <v>43</v>
      </c>
      <c r="E15" t="s">
        <v>63</v>
      </c>
      <c r="F15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5">
        <f>ScenarioStat5[[#This Row],[team-1-win]]+ScenarioStat5[[#This Row],[team-2-win]]</f>
        <v>1</v>
      </c>
      <c r="I15" t="s">
        <v>56</v>
      </c>
      <c r="J15" t="s">
        <v>63</v>
      </c>
      <c r="K15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15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15</v>
      </c>
      <c r="M15" s="3">
        <f>IF(ScenarioTeams5[[#This Row],[battles]],ScenarioTeams5[[#This Row],[wins]]/ScenarioTeams5[[#This Row],[battles]],0)</f>
        <v>0.7142857142857143</v>
      </c>
    </row>
    <row r="16" spans="1:16" x14ac:dyDescent="0.25">
      <c r="A16" t="s">
        <v>53</v>
      </c>
      <c r="B16" t="s">
        <v>56</v>
      </c>
      <c r="C16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6" t="s">
        <v>43</v>
      </c>
      <c r="E16" t="s">
        <v>38</v>
      </c>
      <c r="F16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6">
        <f>ScenarioStat5[[#This Row],[team-1-win]]+ScenarioStat5[[#This Row],[team-2-win]]</f>
        <v>1</v>
      </c>
      <c r="I16" t="s">
        <v>56</v>
      </c>
      <c r="J16" t="s">
        <v>38</v>
      </c>
      <c r="K16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16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7</v>
      </c>
      <c r="M16" s="3">
        <f>IF(ScenarioTeams5[[#This Row],[battles]],ScenarioTeams5[[#This Row],[wins]]/ScenarioTeams5[[#This Row],[battles]],0)</f>
        <v>0.33333333333333331</v>
      </c>
    </row>
    <row r="17" spans="1:13" x14ac:dyDescent="0.25">
      <c r="A17" t="s">
        <v>53</v>
      </c>
      <c r="B17" t="s">
        <v>56</v>
      </c>
      <c r="C17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7" t="s">
        <v>43</v>
      </c>
      <c r="E17" t="s">
        <v>227</v>
      </c>
      <c r="F17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7">
        <f>ScenarioStat5[[#This Row],[team-1-win]]+ScenarioStat5[[#This Row],[team-2-win]]</f>
        <v>1</v>
      </c>
      <c r="I17" t="s">
        <v>56</v>
      </c>
      <c r="J17" t="s">
        <v>227</v>
      </c>
      <c r="K17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17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14</v>
      </c>
      <c r="M17" s="3">
        <f>IF(ScenarioTeams5[[#This Row],[battles]],ScenarioTeams5[[#This Row],[wins]]/ScenarioTeams5[[#This Row],[battles]],0)</f>
        <v>0.66666666666666663</v>
      </c>
    </row>
    <row r="18" spans="1:13" x14ac:dyDescent="0.25">
      <c r="A18" t="s">
        <v>53</v>
      </c>
      <c r="B18" t="s">
        <v>56</v>
      </c>
      <c r="C18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8" t="s">
        <v>45</v>
      </c>
      <c r="E18" t="s">
        <v>63</v>
      </c>
      <c r="F18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8">
        <f>ScenarioStat5[[#This Row],[team-1-win]]+ScenarioStat5[[#This Row],[team-2-win]]</f>
        <v>1</v>
      </c>
      <c r="I18" t="s">
        <v>48</v>
      </c>
      <c r="J18" t="s">
        <v>33</v>
      </c>
      <c r="K18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18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8</v>
      </c>
      <c r="M18" s="3">
        <f>IF(ScenarioTeams5[[#This Row],[battles]],ScenarioTeams5[[#This Row],[wins]]/ScenarioTeams5[[#This Row],[battles]],0)</f>
        <v>0.38095238095238093</v>
      </c>
    </row>
    <row r="19" spans="1:13" x14ac:dyDescent="0.25">
      <c r="A19" t="s">
        <v>53</v>
      </c>
      <c r="B19" t="s">
        <v>56</v>
      </c>
      <c r="C1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9" t="s">
        <v>45</v>
      </c>
      <c r="E19" t="s">
        <v>38</v>
      </c>
      <c r="F1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9">
        <f>ScenarioStat5[[#This Row],[team-1-win]]+ScenarioStat5[[#This Row],[team-2-win]]</f>
        <v>1</v>
      </c>
      <c r="I19" t="s">
        <v>48</v>
      </c>
      <c r="J19" t="s">
        <v>43</v>
      </c>
      <c r="K19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19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10</v>
      </c>
      <c r="M19" s="3">
        <f>IF(ScenarioTeams5[[#This Row],[battles]],ScenarioTeams5[[#This Row],[wins]]/ScenarioTeams5[[#This Row],[battles]],0)</f>
        <v>0.47619047619047616</v>
      </c>
    </row>
    <row r="20" spans="1:13" x14ac:dyDescent="0.25">
      <c r="A20" t="s">
        <v>53</v>
      </c>
      <c r="B20" t="s">
        <v>56</v>
      </c>
      <c r="C20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0" t="s">
        <v>45</v>
      </c>
      <c r="E20" t="s">
        <v>227</v>
      </c>
      <c r="F20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0">
        <f>ScenarioStat5[[#This Row],[team-1-win]]+ScenarioStat5[[#This Row],[team-2-win]]</f>
        <v>1</v>
      </c>
      <c r="I20" t="s">
        <v>48</v>
      </c>
      <c r="J20" t="s">
        <v>45</v>
      </c>
      <c r="K20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20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11</v>
      </c>
      <c r="M20" s="3">
        <f>IF(ScenarioTeams5[[#This Row],[battles]],ScenarioTeams5[[#This Row],[wins]]/ScenarioTeams5[[#This Row],[battles]],0)</f>
        <v>0.52380952380952384</v>
      </c>
    </row>
    <row r="21" spans="1:13" x14ac:dyDescent="0.25">
      <c r="A21" t="s">
        <v>53</v>
      </c>
      <c r="B21" t="s">
        <v>56</v>
      </c>
      <c r="C2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1" t="s">
        <v>63</v>
      </c>
      <c r="E21" t="s">
        <v>38</v>
      </c>
      <c r="F2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1">
        <f>ScenarioStat5[[#This Row],[team-1-win]]+ScenarioStat5[[#This Row],[team-2-win]]</f>
        <v>1</v>
      </c>
      <c r="I21" t="s">
        <v>48</v>
      </c>
      <c r="J21" t="s">
        <v>63</v>
      </c>
      <c r="K21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21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9</v>
      </c>
      <c r="M21" s="3">
        <f>IF(ScenarioTeams5[[#This Row],[battles]],ScenarioTeams5[[#This Row],[wins]]/ScenarioTeams5[[#This Row],[battles]],0)</f>
        <v>0.42857142857142855</v>
      </c>
    </row>
    <row r="22" spans="1:13" x14ac:dyDescent="0.25">
      <c r="A22" t="s">
        <v>53</v>
      </c>
      <c r="B22" t="s">
        <v>56</v>
      </c>
      <c r="C22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2" t="s">
        <v>63</v>
      </c>
      <c r="E22" t="s">
        <v>227</v>
      </c>
      <c r="F22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2">
        <f>ScenarioStat5[[#This Row],[team-1-win]]+ScenarioStat5[[#This Row],[team-2-win]]</f>
        <v>1</v>
      </c>
      <c r="I22" t="s">
        <v>48</v>
      </c>
      <c r="J22" t="s">
        <v>38</v>
      </c>
      <c r="K22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22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10</v>
      </c>
      <c r="M22" s="3">
        <f>IF(ScenarioTeams5[[#This Row],[battles]],ScenarioTeams5[[#This Row],[wins]]/ScenarioTeams5[[#This Row],[battles]],0)</f>
        <v>0.47619047619047616</v>
      </c>
    </row>
    <row r="23" spans="1:13" x14ac:dyDescent="0.25">
      <c r="A23" t="s">
        <v>53</v>
      </c>
      <c r="B23" t="s">
        <v>56</v>
      </c>
      <c r="C2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3" t="s">
        <v>38</v>
      </c>
      <c r="E23" t="s">
        <v>227</v>
      </c>
      <c r="F2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3">
        <f>ScenarioStat5[[#This Row],[team-1-win]]+ScenarioStat5[[#This Row],[team-2-win]]</f>
        <v>1</v>
      </c>
      <c r="I23" t="s">
        <v>48</v>
      </c>
      <c r="J23" t="s">
        <v>227</v>
      </c>
      <c r="K23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23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13</v>
      </c>
      <c r="M23" s="3">
        <f>IF(ScenarioTeams5[[#This Row],[battles]],ScenarioTeams5[[#This Row],[wins]]/ScenarioTeams5[[#This Row],[battles]],0)</f>
        <v>0.61904761904761907</v>
      </c>
    </row>
    <row r="24" spans="1:13" x14ac:dyDescent="0.25">
      <c r="A24" t="s">
        <v>53</v>
      </c>
      <c r="B24" t="s">
        <v>48</v>
      </c>
      <c r="C2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4" t="s">
        <v>56</v>
      </c>
      <c r="E24" t="s">
        <v>33</v>
      </c>
      <c r="F2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4">
        <f>ScenarioStat5[[#This Row],[team-1-win]]+ScenarioStat5[[#This Row],[team-2-win]]</f>
        <v>1</v>
      </c>
      <c r="I24" t="s">
        <v>33</v>
      </c>
      <c r="J24" t="s">
        <v>43</v>
      </c>
      <c r="K24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24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7</v>
      </c>
      <c r="M24" s="3">
        <f>IF(ScenarioTeams5[[#This Row],[battles]],ScenarioTeams5[[#This Row],[wins]]/ScenarioTeams5[[#This Row],[battles]],0)</f>
        <v>0.33333333333333331</v>
      </c>
    </row>
    <row r="25" spans="1:13" x14ac:dyDescent="0.25">
      <c r="A25" t="s">
        <v>53</v>
      </c>
      <c r="B25" t="s">
        <v>48</v>
      </c>
      <c r="C25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5" t="s">
        <v>56</v>
      </c>
      <c r="E25" t="s">
        <v>43</v>
      </c>
      <c r="F25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5">
        <f>ScenarioStat5[[#This Row],[team-1-win]]+ScenarioStat5[[#This Row],[team-2-win]]</f>
        <v>1</v>
      </c>
      <c r="I25" t="s">
        <v>33</v>
      </c>
      <c r="J25" t="s">
        <v>45</v>
      </c>
      <c r="K25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25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8</v>
      </c>
      <c r="M25" s="3">
        <f>IF(ScenarioTeams5[[#This Row],[battles]],ScenarioTeams5[[#This Row],[wins]]/ScenarioTeams5[[#This Row],[battles]],0)</f>
        <v>0.38095238095238093</v>
      </c>
    </row>
    <row r="26" spans="1:13" x14ac:dyDescent="0.25">
      <c r="A26" t="s">
        <v>53</v>
      </c>
      <c r="B26" t="s">
        <v>48</v>
      </c>
      <c r="C26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6" t="s">
        <v>56</v>
      </c>
      <c r="E26" t="s">
        <v>45</v>
      </c>
      <c r="F26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6">
        <f>ScenarioStat5[[#This Row],[team-1-win]]+ScenarioStat5[[#This Row],[team-2-win]]</f>
        <v>1</v>
      </c>
      <c r="I26" t="s">
        <v>33</v>
      </c>
      <c r="J26" t="s">
        <v>63</v>
      </c>
      <c r="K26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26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8</v>
      </c>
      <c r="M26" s="3">
        <f>IF(ScenarioTeams5[[#This Row],[battles]],ScenarioTeams5[[#This Row],[wins]]/ScenarioTeams5[[#This Row],[battles]],0)</f>
        <v>0.38095238095238093</v>
      </c>
    </row>
    <row r="27" spans="1:13" x14ac:dyDescent="0.25">
      <c r="A27" t="s">
        <v>53</v>
      </c>
      <c r="B27" t="s">
        <v>48</v>
      </c>
      <c r="C27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7" t="s">
        <v>56</v>
      </c>
      <c r="E27" t="s">
        <v>63</v>
      </c>
      <c r="F27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7">
        <f>ScenarioStat5[[#This Row],[team-1-win]]+ScenarioStat5[[#This Row],[team-2-win]]</f>
        <v>1</v>
      </c>
      <c r="I27" t="s">
        <v>33</v>
      </c>
      <c r="J27" t="s">
        <v>38</v>
      </c>
      <c r="K27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27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9</v>
      </c>
      <c r="M27" s="3">
        <f>IF(ScenarioTeams5[[#This Row],[battles]],ScenarioTeams5[[#This Row],[wins]]/ScenarioTeams5[[#This Row],[battles]],0)</f>
        <v>0.42857142857142855</v>
      </c>
    </row>
    <row r="28" spans="1:13" x14ac:dyDescent="0.25">
      <c r="A28" t="s">
        <v>53</v>
      </c>
      <c r="B28" t="s">
        <v>48</v>
      </c>
      <c r="C28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8" t="s">
        <v>56</v>
      </c>
      <c r="E28" t="s">
        <v>38</v>
      </c>
      <c r="F28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8">
        <f>ScenarioStat5[[#This Row],[team-1-win]]+ScenarioStat5[[#This Row],[team-2-win]]</f>
        <v>1</v>
      </c>
      <c r="I28" t="s">
        <v>33</v>
      </c>
      <c r="J28" t="s">
        <v>227</v>
      </c>
      <c r="K28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28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4</v>
      </c>
      <c r="M28" s="3">
        <f>IF(ScenarioTeams5[[#This Row],[battles]],ScenarioTeams5[[#This Row],[wins]]/ScenarioTeams5[[#This Row],[battles]],0)</f>
        <v>0.19047619047619047</v>
      </c>
    </row>
    <row r="29" spans="1:13" x14ac:dyDescent="0.25">
      <c r="A29" t="s">
        <v>53</v>
      </c>
      <c r="B29" t="s">
        <v>48</v>
      </c>
      <c r="C2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9" t="s">
        <v>56</v>
      </c>
      <c r="E29" t="s">
        <v>227</v>
      </c>
      <c r="F2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9">
        <f>ScenarioStat5[[#This Row],[team-1-win]]+ScenarioStat5[[#This Row],[team-2-win]]</f>
        <v>1</v>
      </c>
      <c r="I29" t="s">
        <v>43</v>
      </c>
      <c r="J29" t="s">
        <v>45</v>
      </c>
      <c r="K29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29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10</v>
      </c>
      <c r="M29" s="3">
        <f>IF(ScenarioTeams5[[#This Row],[battles]],ScenarioTeams5[[#This Row],[wins]]/ScenarioTeams5[[#This Row],[battles]],0)</f>
        <v>0.47619047619047616</v>
      </c>
    </row>
    <row r="30" spans="1:13" x14ac:dyDescent="0.25">
      <c r="A30" t="s">
        <v>53</v>
      </c>
      <c r="B30" t="s">
        <v>48</v>
      </c>
      <c r="C30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0" t="s">
        <v>33</v>
      </c>
      <c r="E30" t="s">
        <v>43</v>
      </c>
      <c r="F30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0">
        <f>ScenarioStat5[[#This Row],[team-1-win]]+ScenarioStat5[[#This Row],[team-2-win]]</f>
        <v>1</v>
      </c>
      <c r="I30" t="s">
        <v>43</v>
      </c>
      <c r="J30" t="s">
        <v>63</v>
      </c>
      <c r="K30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30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14</v>
      </c>
      <c r="M30" s="3">
        <f>IF(ScenarioTeams5[[#This Row],[battles]],ScenarioTeams5[[#This Row],[wins]]/ScenarioTeams5[[#This Row],[battles]],0)</f>
        <v>0.66666666666666663</v>
      </c>
    </row>
    <row r="31" spans="1:13" x14ac:dyDescent="0.25">
      <c r="A31" t="s">
        <v>53</v>
      </c>
      <c r="B31" t="s">
        <v>48</v>
      </c>
      <c r="C31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1" t="s">
        <v>33</v>
      </c>
      <c r="E31" t="s">
        <v>45</v>
      </c>
      <c r="F31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1">
        <f>ScenarioStat5[[#This Row],[team-1-win]]+ScenarioStat5[[#This Row],[team-2-win]]</f>
        <v>1</v>
      </c>
      <c r="I31" t="s">
        <v>43</v>
      </c>
      <c r="J31" t="s">
        <v>38</v>
      </c>
      <c r="K31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31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9</v>
      </c>
      <c r="M31" s="3">
        <f>IF(ScenarioTeams5[[#This Row],[battles]],ScenarioTeams5[[#This Row],[wins]]/ScenarioTeams5[[#This Row],[battles]],0)</f>
        <v>0.42857142857142855</v>
      </c>
    </row>
    <row r="32" spans="1:13" x14ac:dyDescent="0.25">
      <c r="A32" t="s">
        <v>53</v>
      </c>
      <c r="B32" t="s">
        <v>48</v>
      </c>
      <c r="C32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2" t="s">
        <v>33</v>
      </c>
      <c r="E32" t="s">
        <v>63</v>
      </c>
      <c r="F32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2">
        <f>ScenarioStat5[[#This Row],[team-1-win]]+ScenarioStat5[[#This Row],[team-2-win]]</f>
        <v>1</v>
      </c>
      <c r="I32" t="s">
        <v>43</v>
      </c>
      <c r="J32" t="s">
        <v>227</v>
      </c>
      <c r="K32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32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6</v>
      </c>
      <c r="M32" s="3">
        <f>IF(ScenarioTeams5[[#This Row],[battles]],ScenarioTeams5[[#This Row],[wins]]/ScenarioTeams5[[#This Row],[battles]],0)</f>
        <v>0.2857142857142857</v>
      </c>
    </row>
    <row r="33" spans="1:13" x14ac:dyDescent="0.25">
      <c r="A33" t="s">
        <v>53</v>
      </c>
      <c r="B33" t="s">
        <v>48</v>
      </c>
      <c r="C3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3" t="s">
        <v>33</v>
      </c>
      <c r="E33" t="s">
        <v>38</v>
      </c>
      <c r="F3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3">
        <f>ScenarioStat5[[#This Row],[team-1-win]]+ScenarioStat5[[#This Row],[team-2-win]]</f>
        <v>1</v>
      </c>
      <c r="I33" t="s">
        <v>45</v>
      </c>
      <c r="J33" t="s">
        <v>63</v>
      </c>
      <c r="K33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33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14</v>
      </c>
      <c r="M33" s="3">
        <f>IF(ScenarioTeams5[[#This Row],[battles]],ScenarioTeams5[[#This Row],[wins]]/ScenarioTeams5[[#This Row],[battles]],0)</f>
        <v>0.66666666666666663</v>
      </c>
    </row>
    <row r="34" spans="1:13" x14ac:dyDescent="0.25">
      <c r="A34" t="s">
        <v>53</v>
      </c>
      <c r="B34" t="s">
        <v>48</v>
      </c>
      <c r="C3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4" t="s">
        <v>33</v>
      </c>
      <c r="E34" t="s">
        <v>227</v>
      </c>
      <c r="F3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4">
        <f>ScenarioStat5[[#This Row],[team-1-win]]+ScenarioStat5[[#This Row],[team-2-win]]</f>
        <v>1</v>
      </c>
      <c r="I34" t="s">
        <v>45</v>
      </c>
      <c r="J34" t="s">
        <v>38</v>
      </c>
      <c r="K34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34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6</v>
      </c>
      <c r="M34" s="3">
        <f>IF(ScenarioTeams5[[#This Row],[battles]],ScenarioTeams5[[#This Row],[wins]]/ScenarioTeams5[[#This Row],[battles]],0)</f>
        <v>0.2857142857142857</v>
      </c>
    </row>
    <row r="35" spans="1:13" x14ac:dyDescent="0.25">
      <c r="A35" t="s">
        <v>53</v>
      </c>
      <c r="B35" t="s">
        <v>48</v>
      </c>
      <c r="C35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5" t="s">
        <v>43</v>
      </c>
      <c r="E35" t="s">
        <v>45</v>
      </c>
      <c r="F35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5">
        <f>ScenarioStat5[[#This Row],[team-1-win]]+ScenarioStat5[[#This Row],[team-2-win]]</f>
        <v>1</v>
      </c>
      <c r="I35" t="s">
        <v>45</v>
      </c>
      <c r="J35" t="s">
        <v>227</v>
      </c>
      <c r="K35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35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11</v>
      </c>
      <c r="M35" s="3">
        <f>IF(ScenarioTeams5[[#This Row],[battles]],ScenarioTeams5[[#This Row],[wins]]/ScenarioTeams5[[#This Row],[battles]],0)</f>
        <v>0.52380952380952384</v>
      </c>
    </row>
    <row r="36" spans="1:13" x14ac:dyDescent="0.25">
      <c r="A36" t="s">
        <v>53</v>
      </c>
      <c r="B36" t="s">
        <v>48</v>
      </c>
      <c r="C36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6" t="s">
        <v>43</v>
      </c>
      <c r="E36" t="s">
        <v>63</v>
      </c>
      <c r="F36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6">
        <f>ScenarioStat5[[#This Row],[team-1-win]]+ScenarioStat5[[#This Row],[team-2-win]]</f>
        <v>1</v>
      </c>
      <c r="I36" t="s">
        <v>63</v>
      </c>
      <c r="J36" t="s">
        <v>38</v>
      </c>
      <c r="K36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36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11</v>
      </c>
      <c r="M36" s="3">
        <f>IF(ScenarioTeams5[[#This Row],[battles]],ScenarioTeams5[[#This Row],[wins]]/ScenarioTeams5[[#This Row],[battles]],0)</f>
        <v>0.52380952380952384</v>
      </c>
    </row>
    <row r="37" spans="1:13" x14ac:dyDescent="0.25">
      <c r="A37" t="s">
        <v>53</v>
      </c>
      <c r="B37" t="s">
        <v>48</v>
      </c>
      <c r="C37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7" t="s">
        <v>43</v>
      </c>
      <c r="E37" t="s">
        <v>38</v>
      </c>
      <c r="F37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7">
        <f>ScenarioStat5[[#This Row],[team-1-win]]+ScenarioStat5[[#This Row],[team-2-win]]</f>
        <v>1</v>
      </c>
      <c r="I37" t="s">
        <v>38</v>
      </c>
      <c r="J37" t="s">
        <v>227</v>
      </c>
      <c r="K37">
        <f>COUNTIFS(ScenarioStat5[hero-1],ScenarioTeams5[[#This Row],[hero-1]],ScenarioStat5[hero-2],ScenarioTeams5[[#This Row],[hero-2]],ScenarioStat5[battles],"1")+COUNTIFS(ScenarioStat5[hero-3],ScenarioTeams5[[#This Row],[hero-1]],ScenarioStat5[hero-4],ScenarioTeams5[[#This Row],[hero-2]],ScenarioStat5[battles],"1")</f>
        <v>21</v>
      </c>
      <c r="L37">
        <f>COUNTIFS(ScenarioStat5[hero-1],ScenarioTeams5[[#This Row],[hero-1]],ScenarioStat5[hero-2],ScenarioTeams5[[#This Row],[hero-2]],ScenarioStat5[team-1-win],"1")+COUNTIFS(ScenarioStat5[hero-3],ScenarioTeams5[[#This Row],[hero-1]],ScenarioStat5[hero-4],ScenarioTeams5[[#This Row],[hero-2]],ScenarioStat5[team-2-win],"1")</f>
        <v>6</v>
      </c>
      <c r="M37" s="3">
        <f>IF(ScenarioTeams5[[#This Row],[battles]],ScenarioTeams5[[#This Row],[wins]]/ScenarioTeams5[[#This Row],[battles]],0)</f>
        <v>0.2857142857142857</v>
      </c>
    </row>
    <row r="38" spans="1:13" x14ac:dyDescent="0.25">
      <c r="A38" t="s">
        <v>53</v>
      </c>
      <c r="B38" t="s">
        <v>48</v>
      </c>
      <c r="C38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8" t="s">
        <v>43</v>
      </c>
      <c r="E38" t="s">
        <v>227</v>
      </c>
      <c r="F38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8">
        <f>ScenarioStat5[[#This Row],[team-1-win]]+ScenarioStat5[[#This Row],[team-2-win]]</f>
        <v>1</v>
      </c>
    </row>
    <row r="39" spans="1:13" x14ac:dyDescent="0.25">
      <c r="A39" t="s">
        <v>53</v>
      </c>
      <c r="B39" t="s">
        <v>48</v>
      </c>
      <c r="C39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9" t="s">
        <v>45</v>
      </c>
      <c r="E39" t="s">
        <v>63</v>
      </c>
      <c r="F39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9">
        <f>ScenarioStat5[[#This Row],[team-1-win]]+ScenarioStat5[[#This Row],[team-2-win]]</f>
        <v>1</v>
      </c>
    </row>
    <row r="40" spans="1:13" x14ac:dyDescent="0.25">
      <c r="A40" t="s">
        <v>53</v>
      </c>
      <c r="B40" t="s">
        <v>48</v>
      </c>
      <c r="C40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40" t="s">
        <v>45</v>
      </c>
      <c r="E40" t="s">
        <v>38</v>
      </c>
      <c r="F40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40">
        <f>ScenarioStat5[[#This Row],[team-1-win]]+ScenarioStat5[[#This Row],[team-2-win]]</f>
        <v>1</v>
      </c>
    </row>
    <row r="41" spans="1:13" x14ac:dyDescent="0.25">
      <c r="A41" t="s">
        <v>53</v>
      </c>
      <c r="B41" t="s">
        <v>48</v>
      </c>
      <c r="C41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41" t="s">
        <v>45</v>
      </c>
      <c r="E41" t="s">
        <v>227</v>
      </c>
      <c r="F41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41">
        <f>ScenarioStat5[[#This Row],[team-1-win]]+ScenarioStat5[[#This Row],[team-2-win]]</f>
        <v>1</v>
      </c>
    </row>
    <row r="42" spans="1:13" x14ac:dyDescent="0.25">
      <c r="A42" t="s">
        <v>53</v>
      </c>
      <c r="B42" t="s">
        <v>48</v>
      </c>
      <c r="C42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42" t="s">
        <v>63</v>
      </c>
      <c r="E42" t="s">
        <v>38</v>
      </c>
      <c r="F42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42">
        <f>ScenarioStat5[[#This Row],[team-1-win]]+ScenarioStat5[[#This Row],[team-2-win]]</f>
        <v>1</v>
      </c>
    </row>
    <row r="43" spans="1:13" x14ac:dyDescent="0.25">
      <c r="A43" t="s">
        <v>53</v>
      </c>
      <c r="B43" t="s">
        <v>48</v>
      </c>
      <c r="C4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43" t="s">
        <v>63</v>
      </c>
      <c r="E43" t="s">
        <v>227</v>
      </c>
      <c r="F4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43">
        <f>ScenarioStat5[[#This Row],[team-1-win]]+ScenarioStat5[[#This Row],[team-2-win]]</f>
        <v>1</v>
      </c>
    </row>
    <row r="44" spans="1:13" x14ac:dyDescent="0.25">
      <c r="A44" t="s">
        <v>53</v>
      </c>
      <c r="B44" t="s">
        <v>48</v>
      </c>
      <c r="C4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44" t="s">
        <v>38</v>
      </c>
      <c r="E44" t="s">
        <v>227</v>
      </c>
      <c r="F4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44">
        <f>ScenarioStat5[[#This Row],[team-1-win]]+ScenarioStat5[[#This Row],[team-2-win]]</f>
        <v>1</v>
      </c>
    </row>
    <row r="45" spans="1:13" x14ac:dyDescent="0.25">
      <c r="A45" t="s">
        <v>53</v>
      </c>
      <c r="B45" t="s">
        <v>33</v>
      </c>
      <c r="C45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45" t="s">
        <v>56</v>
      </c>
      <c r="E45" t="s">
        <v>48</v>
      </c>
      <c r="F45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45">
        <f>ScenarioStat5[[#This Row],[team-1-win]]+ScenarioStat5[[#This Row],[team-2-win]]</f>
        <v>1</v>
      </c>
    </row>
    <row r="46" spans="1:13" x14ac:dyDescent="0.25">
      <c r="A46" t="s">
        <v>53</v>
      </c>
      <c r="B46" t="s">
        <v>33</v>
      </c>
      <c r="C46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46" t="s">
        <v>56</v>
      </c>
      <c r="E46" t="s">
        <v>43</v>
      </c>
      <c r="F46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46">
        <f>ScenarioStat5[[#This Row],[team-1-win]]+ScenarioStat5[[#This Row],[team-2-win]]</f>
        <v>1</v>
      </c>
    </row>
    <row r="47" spans="1:13" x14ac:dyDescent="0.25">
      <c r="A47" t="s">
        <v>53</v>
      </c>
      <c r="B47" t="s">
        <v>33</v>
      </c>
      <c r="C47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47" t="s">
        <v>56</v>
      </c>
      <c r="E47" t="s">
        <v>45</v>
      </c>
      <c r="F47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47">
        <f>ScenarioStat5[[#This Row],[team-1-win]]+ScenarioStat5[[#This Row],[team-2-win]]</f>
        <v>1</v>
      </c>
    </row>
    <row r="48" spans="1:13" x14ac:dyDescent="0.25">
      <c r="A48" t="s">
        <v>53</v>
      </c>
      <c r="B48" t="s">
        <v>33</v>
      </c>
      <c r="C48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48" t="s">
        <v>56</v>
      </c>
      <c r="E48" t="s">
        <v>63</v>
      </c>
      <c r="F48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48">
        <f>ScenarioStat5[[#This Row],[team-1-win]]+ScenarioStat5[[#This Row],[team-2-win]]</f>
        <v>1</v>
      </c>
    </row>
    <row r="49" spans="1:7" x14ac:dyDescent="0.25">
      <c r="A49" t="s">
        <v>53</v>
      </c>
      <c r="B49" t="s">
        <v>33</v>
      </c>
      <c r="C4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49" t="s">
        <v>56</v>
      </c>
      <c r="E49" t="s">
        <v>38</v>
      </c>
      <c r="F4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49">
        <f>ScenarioStat5[[#This Row],[team-1-win]]+ScenarioStat5[[#This Row],[team-2-win]]</f>
        <v>1</v>
      </c>
    </row>
    <row r="50" spans="1:7" x14ac:dyDescent="0.25">
      <c r="A50" t="s">
        <v>53</v>
      </c>
      <c r="B50" t="s">
        <v>33</v>
      </c>
      <c r="C50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50" t="s">
        <v>56</v>
      </c>
      <c r="E50" t="s">
        <v>227</v>
      </c>
      <c r="F50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50">
        <f>ScenarioStat5[[#This Row],[team-1-win]]+ScenarioStat5[[#This Row],[team-2-win]]</f>
        <v>1</v>
      </c>
    </row>
    <row r="51" spans="1:7" x14ac:dyDescent="0.25">
      <c r="A51" t="s">
        <v>53</v>
      </c>
      <c r="B51" t="s">
        <v>33</v>
      </c>
      <c r="C5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51" t="s">
        <v>48</v>
      </c>
      <c r="E51" t="s">
        <v>43</v>
      </c>
      <c r="F5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51">
        <f>ScenarioStat5[[#This Row],[team-1-win]]+ScenarioStat5[[#This Row],[team-2-win]]</f>
        <v>1</v>
      </c>
    </row>
    <row r="52" spans="1:7" x14ac:dyDescent="0.25">
      <c r="A52" t="s">
        <v>53</v>
      </c>
      <c r="B52" t="s">
        <v>33</v>
      </c>
      <c r="C52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52" t="s">
        <v>48</v>
      </c>
      <c r="E52" t="s">
        <v>45</v>
      </c>
      <c r="F52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52">
        <f>ScenarioStat5[[#This Row],[team-1-win]]+ScenarioStat5[[#This Row],[team-2-win]]</f>
        <v>1</v>
      </c>
    </row>
    <row r="53" spans="1:7" x14ac:dyDescent="0.25">
      <c r="A53" t="s">
        <v>53</v>
      </c>
      <c r="B53" t="s">
        <v>33</v>
      </c>
      <c r="C5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53" t="s">
        <v>48</v>
      </c>
      <c r="E53" t="s">
        <v>63</v>
      </c>
      <c r="F5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53">
        <f>ScenarioStat5[[#This Row],[team-1-win]]+ScenarioStat5[[#This Row],[team-2-win]]</f>
        <v>1</v>
      </c>
    </row>
    <row r="54" spans="1:7" x14ac:dyDescent="0.25">
      <c r="A54" t="s">
        <v>53</v>
      </c>
      <c r="B54" t="s">
        <v>33</v>
      </c>
      <c r="C5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54" t="s">
        <v>48</v>
      </c>
      <c r="E54" t="s">
        <v>38</v>
      </c>
      <c r="F5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54">
        <f>ScenarioStat5[[#This Row],[team-1-win]]+ScenarioStat5[[#This Row],[team-2-win]]</f>
        <v>1</v>
      </c>
    </row>
    <row r="55" spans="1:7" x14ac:dyDescent="0.25">
      <c r="A55" t="s">
        <v>53</v>
      </c>
      <c r="B55" t="s">
        <v>33</v>
      </c>
      <c r="C55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55" t="s">
        <v>48</v>
      </c>
      <c r="E55" t="s">
        <v>227</v>
      </c>
      <c r="F55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55">
        <f>ScenarioStat5[[#This Row],[team-1-win]]+ScenarioStat5[[#This Row],[team-2-win]]</f>
        <v>1</v>
      </c>
    </row>
    <row r="56" spans="1:7" x14ac:dyDescent="0.25">
      <c r="A56" t="s">
        <v>53</v>
      </c>
      <c r="B56" t="s">
        <v>33</v>
      </c>
      <c r="C56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56" t="s">
        <v>43</v>
      </c>
      <c r="E56" t="s">
        <v>45</v>
      </c>
      <c r="F56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56">
        <f>ScenarioStat5[[#This Row],[team-1-win]]+ScenarioStat5[[#This Row],[team-2-win]]</f>
        <v>1</v>
      </c>
    </row>
    <row r="57" spans="1:7" x14ac:dyDescent="0.25">
      <c r="A57" t="s">
        <v>53</v>
      </c>
      <c r="B57" t="s">
        <v>33</v>
      </c>
      <c r="C57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57" t="s">
        <v>43</v>
      </c>
      <c r="E57" t="s">
        <v>63</v>
      </c>
      <c r="F57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57">
        <f>ScenarioStat5[[#This Row],[team-1-win]]+ScenarioStat5[[#This Row],[team-2-win]]</f>
        <v>1</v>
      </c>
    </row>
    <row r="58" spans="1:7" x14ac:dyDescent="0.25">
      <c r="A58" t="s">
        <v>53</v>
      </c>
      <c r="B58" t="s">
        <v>33</v>
      </c>
      <c r="C58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58" t="s">
        <v>43</v>
      </c>
      <c r="E58" t="s">
        <v>38</v>
      </c>
      <c r="F58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58">
        <f>ScenarioStat5[[#This Row],[team-1-win]]+ScenarioStat5[[#This Row],[team-2-win]]</f>
        <v>1</v>
      </c>
    </row>
    <row r="59" spans="1:7" x14ac:dyDescent="0.25">
      <c r="A59" t="s">
        <v>53</v>
      </c>
      <c r="B59" t="s">
        <v>33</v>
      </c>
      <c r="C5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59" t="s">
        <v>43</v>
      </c>
      <c r="E59" t="s">
        <v>227</v>
      </c>
      <c r="F5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59">
        <f>ScenarioStat5[[#This Row],[team-1-win]]+ScenarioStat5[[#This Row],[team-2-win]]</f>
        <v>1</v>
      </c>
    </row>
    <row r="60" spans="1:7" x14ac:dyDescent="0.25">
      <c r="A60" t="s">
        <v>53</v>
      </c>
      <c r="B60" t="s">
        <v>33</v>
      </c>
      <c r="C60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60" t="s">
        <v>45</v>
      </c>
      <c r="E60" t="s">
        <v>63</v>
      </c>
      <c r="F60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60">
        <f>ScenarioStat5[[#This Row],[team-1-win]]+ScenarioStat5[[#This Row],[team-2-win]]</f>
        <v>1</v>
      </c>
    </row>
    <row r="61" spans="1:7" x14ac:dyDescent="0.25">
      <c r="A61" t="s">
        <v>53</v>
      </c>
      <c r="B61" t="s">
        <v>33</v>
      </c>
      <c r="C6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61" t="s">
        <v>45</v>
      </c>
      <c r="E61" t="s">
        <v>38</v>
      </c>
      <c r="F6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61">
        <f>ScenarioStat5[[#This Row],[team-1-win]]+ScenarioStat5[[#This Row],[team-2-win]]</f>
        <v>1</v>
      </c>
    </row>
    <row r="62" spans="1:7" x14ac:dyDescent="0.25">
      <c r="A62" t="s">
        <v>53</v>
      </c>
      <c r="B62" t="s">
        <v>33</v>
      </c>
      <c r="C62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62" t="s">
        <v>45</v>
      </c>
      <c r="E62" t="s">
        <v>227</v>
      </c>
      <c r="F62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62">
        <f>ScenarioStat5[[#This Row],[team-1-win]]+ScenarioStat5[[#This Row],[team-2-win]]</f>
        <v>1</v>
      </c>
    </row>
    <row r="63" spans="1:7" x14ac:dyDescent="0.25">
      <c r="A63" t="s">
        <v>53</v>
      </c>
      <c r="B63" t="s">
        <v>33</v>
      </c>
      <c r="C63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63" t="s">
        <v>63</v>
      </c>
      <c r="E63" t="s">
        <v>38</v>
      </c>
      <c r="F63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63">
        <f>ScenarioStat5[[#This Row],[team-1-win]]+ScenarioStat5[[#This Row],[team-2-win]]</f>
        <v>1</v>
      </c>
    </row>
    <row r="64" spans="1:7" x14ac:dyDescent="0.25">
      <c r="A64" t="s">
        <v>53</v>
      </c>
      <c r="B64" t="s">
        <v>33</v>
      </c>
      <c r="C6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64" t="s">
        <v>63</v>
      </c>
      <c r="E64" t="s">
        <v>227</v>
      </c>
      <c r="F6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64">
        <f>ScenarioStat5[[#This Row],[team-1-win]]+ScenarioStat5[[#This Row],[team-2-win]]</f>
        <v>1</v>
      </c>
    </row>
    <row r="65" spans="1:7" x14ac:dyDescent="0.25">
      <c r="A65" t="s">
        <v>53</v>
      </c>
      <c r="B65" t="s">
        <v>33</v>
      </c>
      <c r="C65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65" t="s">
        <v>38</v>
      </c>
      <c r="E65" t="s">
        <v>227</v>
      </c>
      <c r="F65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65">
        <f>ScenarioStat5[[#This Row],[team-1-win]]+ScenarioStat5[[#This Row],[team-2-win]]</f>
        <v>1</v>
      </c>
    </row>
    <row r="66" spans="1:7" x14ac:dyDescent="0.25">
      <c r="A66" t="s">
        <v>53</v>
      </c>
      <c r="B66" t="s">
        <v>43</v>
      </c>
      <c r="C66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66" t="s">
        <v>56</v>
      </c>
      <c r="E66" t="s">
        <v>48</v>
      </c>
      <c r="F66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66">
        <f>ScenarioStat5[[#This Row],[team-1-win]]+ScenarioStat5[[#This Row],[team-2-win]]</f>
        <v>1</v>
      </c>
    </row>
    <row r="67" spans="1:7" x14ac:dyDescent="0.25">
      <c r="A67" t="s">
        <v>53</v>
      </c>
      <c r="B67" t="s">
        <v>43</v>
      </c>
      <c r="C67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67" t="s">
        <v>56</v>
      </c>
      <c r="E67" t="s">
        <v>33</v>
      </c>
      <c r="F67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67">
        <f>ScenarioStat5[[#This Row],[team-1-win]]+ScenarioStat5[[#This Row],[team-2-win]]</f>
        <v>1</v>
      </c>
    </row>
    <row r="68" spans="1:7" x14ac:dyDescent="0.25">
      <c r="A68" t="s">
        <v>53</v>
      </c>
      <c r="B68" t="s">
        <v>43</v>
      </c>
      <c r="C68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68" t="s">
        <v>56</v>
      </c>
      <c r="E68" t="s">
        <v>45</v>
      </c>
      <c r="F68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68">
        <f>ScenarioStat5[[#This Row],[team-1-win]]+ScenarioStat5[[#This Row],[team-2-win]]</f>
        <v>1</v>
      </c>
    </row>
    <row r="69" spans="1:7" x14ac:dyDescent="0.25">
      <c r="A69" t="s">
        <v>53</v>
      </c>
      <c r="B69" t="s">
        <v>43</v>
      </c>
      <c r="C69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69" t="s">
        <v>56</v>
      </c>
      <c r="E69" t="s">
        <v>63</v>
      </c>
      <c r="F69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69">
        <f>ScenarioStat5[[#This Row],[team-1-win]]+ScenarioStat5[[#This Row],[team-2-win]]</f>
        <v>1</v>
      </c>
    </row>
    <row r="70" spans="1:7" x14ac:dyDescent="0.25">
      <c r="A70" t="s">
        <v>53</v>
      </c>
      <c r="B70" t="s">
        <v>43</v>
      </c>
      <c r="C70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70" t="s">
        <v>56</v>
      </c>
      <c r="E70" t="s">
        <v>38</v>
      </c>
      <c r="F70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70">
        <f>ScenarioStat5[[#This Row],[team-1-win]]+ScenarioStat5[[#This Row],[team-2-win]]</f>
        <v>1</v>
      </c>
    </row>
    <row r="71" spans="1:7" x14ac:dyDescent="0.25">
      <c r="A71" t="s">
        <v>53</v>
      </c>
      <c r="B71" t="s">
        <v>43</v>
      </c>
      <c r="C7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71" t="s">
        <v>56</v>
      </c>
      <c r="E71" t="s">
        <v>227</v>
      </c>
      <c r="F7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71">
        <f>ScenarioStat5[[#This Row],[team-1-win]]+ScenarioStat5[[#This Row],[team-2-win]]</f>
        <v>1</v>
      </c>
    </row>
    <row r="72" spans="1:7" x14ac:dyDescent="0.25">
      <c r="A72" t="s">
        <v>53</v>
      </c>
      <c r="B72" t="s">
        <v>43</v>
      </c>
      <c r="C72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72" t="s">
        <v>48</v>
      </c>
      <c r="E72" t="s">
        <v>33</v>
      </c>
      <c r="F72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72">
        <f>ScenarioStat5[[#This Row],[team-1-win]]+ScenarioStat5[[#This Row],[team-2-win]]</f>
        <v>1</v>
      </c>
    </row>
    <row r="73" spans="1:7" x14ac:dyDescent="0.25">
      <c r="A73" t="s">
        <v>53</v>
      </c>
      <c r="B73" t="s">
        <v>43</v>
      </c>
      <c r="C7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73" t="s">
        <v>48</v>
      </c>
      <c r="E73" t="s">
        <v>45</v>
      </c>
      <c r="F7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73">
        <f>ScenarioStat5[[#This Row],[team-1-win]]+ScenarioStat5[[#This Row],[team-2-win]]</f>
        <v>1</v>
      </c>
    </row>
    <row r="74" spans="1:7" x14ac:dyDescent="0.25">
      <c r="A74" t="s">
        <v>53</v>
      </c>
      <c r="B74" t="s">
        <v>43</v>
      </c>
      <c r="C7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74" t="s">
        <v>48</v>
      </c>
      <c r="E74" t="s">
        <v>63</v>
      </c>
      <c r="F7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74">
        <f>ScenarioStat5[[#This Row],[team-1-win]]+ScenarioStat5[[#This Row],[team-2-win]]</f>
        <v>1</v>
      </c>
    </row>
    <row r="75" spans="1:7" x14ac:dyDescent="0.25">
      <c r="A75" t="s">
        <v>53</v>
      </c>
      <c r="B75" t="s">
        <v>43</v>
      </c>
      <c r="C75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75" t="s">
        <v>48</v>
      </c>
      <c r="E75" t="s">
        <v>38</v>
      </c>
      <c r="F75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75">
        <f>ScenarioStat5[[#This Row],[team-1-win]]+ScenarioStat5[[#This Row],[team-2-win]]</f>
        <v>1</v>
      </c>
    </row>
    <row r="76" spans="1:7" x14ac:dyDescent="0.25">
      <c r="A76" t="s">
        <v>53</v>
      </c>
      <c r="B76" t="s">
        <v>43</v>
      </c>
      <c r="C76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76" t="s">
        <v>48</v>
      </c>
      <c r="E76" t="s">
        <v>227</v>
      </c>
      <c r="F76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76">
        <f>ScenarioStat5[[#This Row],[team-1-win]]+ScenarioStat5[[#This Row],[team-2-win]]</f>
        <v>1</v>
      </c>
    </row>
    <row r="77" spans="1:7" x14ac:dyDescent="0.25">
      <c r="A77" t="s">
        <v>53</v>
      </c>
      <c r="B77" t="s">
        <v>43</v>
      </c>
      <c r="C77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77" t="s">
        <v>33</v>
      </c>
      <c r="E77" t="s">
        <v>45</v>
      </c>
      <c r="F77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77">
        <f>ScenarioStat5[[#This Row],[team-1-win]]+ScenarioStat5[[#This Row],[team-2-win]]</f>
        <v>1</v>
      </c>
    </row>
    <row r="78" spans="1:7" x14ac:dyDescent="0.25">
      <c r="A78" t="s">
        <v>53</v>
      </c>
      <c r="B78" t="s">
        <v>43</v>
      </c>
      <c r="C78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78" t="s">
        <v>33</v>
      </c>
      <c r="E78" t="s">
        <v>63</v>
      </c>
      <c r="F78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78">
        <f>ScenarioStat5[[#This Row],[team-1-win]]+ScenarioStat5[[#This Row],[team-2-win]]</f>
        <v>1</v>
      </c>
    </row>
    <row r="79" spans="1:7" x14ac:dyDescent="0.25">
      <c r="A79" t="s">
        <v>53</v>
      </c>
      <c r="B79" t="s">
        <v>43</v>
      </c>
      <c r="C7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79" t="s">
        <v>33</v>
      </c>
      <c r="E79" t="s">
        <v>38</v>
      </c>
      <c r="F7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79">
        <f>ScenarioStat5[[#This Row],[team-1-win]]+ScenarioStat5[[#This Row],[team-2-win]]</f>
        <v>1</v>
      </c>
    </row>
    <row r="80" spans="1:7" x14ac:dyDescent="0.25">
      <c r="A80" t="s">
        <v>53</v>
      </c>
      <c r="B80" t="s">
        <v>43</v>
      </c>
      <c r="C80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80" t="s">
        <v>33</v>
      </c>
      <c r="E80" t="s">
        <v>227</v>
      </c>
      <c r="F80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80">
        <f>ScenarioStat5[[#This Row],[team-1-win]]+ScenarioStat5[[#This Row],[team-2-win]]</f>
        <v>1</v>
      </c>
    </row>
    <row r="81" spans="1:7" x14ac:dyDescent="0.25">
      <c r="A81" t="s">
        <v>53</v>
      </c>
      <c r="B81" t="s">
        <v>43</v>
      </c>
      <c r="C81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81" t="s">
        <v>45</v>
      </c>
      <c r="E81" t="s">
        <v>63</v>
      </c>
      <c r="F81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81">
        <f>ScenarioStat5[[#This Row],[team-1-win]]+ScenarioStat5[[#This Row],[team-2-win]]</f>
        <v>1</v>
      </c>
    </row>
    <row r="82" spans="1:7" x14ac:dyDescent="0.25">
      <c r="A82" t="s">
        <v>53</v>
      </c>
      <c r="B82" t="s">
        <v>43</v>
      </c>
      <c r="C82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82" t="s">
        <v>45</v>
      </c>
      <c r="E82" t="s">
        <v>38</v>
      </c>
      <c r="F82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82">
        <f>ScenarioStat5[[#This Row],[team-1-win]]+ScenarioStat5[[#This Row],[team-2-win]]</f>
        <v>1</v>
      </c>
    </row>
    <row r="83" spans="1:7" x14ac:dyDescent="0.25">
      <c r="A83" t="s">
        <v>53</v>
      </c>
      <c r="B83" t="s">
        <v>43</v>
      </c>
      <c r="C83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83" t="s">
        <v>45</v>
      </c>
      <c r="E83" t="s">
        <v>227</v>
      </c>
      <c r="F83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83">
        <f>ScenarioStat5[[#This Row],[team-1-win]]+ScenarioStat5[[#This Row],[team-2-win]]</f>
        <v>1</v>
      </c>
    </row>
    <row r="84" spans="1:7" x14ac:dyDescent="0.25">
      <c r="A84" t="s">
        <v>53</v>
      </c>
      <c r="B84" t="s">
        <v>43</v>
      </c>
      <c r="C84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84" t="s">
        <v>63</v>
      </c>
      <c r="E84" t="s">
        <v>38</v>
      </c>
      <c r="F84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84">
        <f>ScenarioStat5[[#This Row],[team-1-win]]+ScenarioStat5[[#This Row],[team-2-win]]</f>
        <v>1</v>
      </c>
    </row>
    <row r="85" spans="1:7" x14ac:dyDescent="0.25">
      <c r="A85" t="s">
        <v>53</v>
      </c>
      <c r="B85" t="s">
        <v>43</v>
      </c>
      <c r="C85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85" t="s">
        <v>63</v>
      </c>
      <c r="E85" t="s">
        <v>227</v>
      </c>
      <c r="F85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85">
        <f>ScenarioStat5[[#This Row],[team-1-win]]+ScenarioStat5[[#This Row],[team-2-win]]</f>
        <v>1</v>
      </c>
    </row>
    <row r="86" spans="1:7" x14ac:dyDescent="0.25">
      <c r="A86" t="s">
        <v>53</v>
      </c>
      <c r="B86" t="s">
        <v>43</v>
      </c>
      <c r="C86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86" t="s">
        <v>38</v>
      </c>
      <c r="E86" t="s">
        <v>227</v>
      </c>
      <c r="F86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86">
        <f>ScenarioStat5[[#This Row],[team-1-win]]+ScenarioStat5[[#This Row],[team-2-win]]</f>
        <v>1</v>
      </c>
    </row>
    <row r="87" spans="1:7" x14ac:dyDescent="0.25">
      <c r="A87" t="s">
        <v>53</v>
      </c>
      <c r="B87" t="s">
        <v>45</v>
      </c>
      <c r="C87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87" t="s">
        <v>56</v>
      </c>
      <c r="E87" t="s">
        <v>48</v>
      </c>
      <c r="F87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87">
        <f>ScenarioStat5[[#This Row],[team-1-win]]+ScenarioStat5[[#This Row],[team-2-win]]</f>
        <v>1</v>
      </c>
    </row>
    <row r="88" spans="1:7" x14ac:dyDescent="0.25">
      <c r="A88" t="s">
        <v>53</v>
      </c>
      <c r="B88" t="s">
        <v>45</v>
      </c>
      <c r="C88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88" t="s">
        <v>56</v>
      </c>
      <c r="E88" t="s">
        <v>33</v>
      </c>
      <c r="F88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88">
        <f>ScenarioStat5[[#This Row],[team-1-win]]+ScenarioStat5[[#This Row],[team-2-win]]</f>
        <v>1</v>
      </c>
    </row>
    <row r="89" spans="1:7" x14ac:dyDescent="0.25">
      <c r="A89" t="s">
        <v>53</v>
      </c>
      <c r="B89" t="s">
        <v>45</v>
      </c>
      <c r="C8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89" t="s">
        <v>56</v>
      </c>
      <c r="E89" t="s">
        <v>43</v>
      </c>
      <c r="F8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89">
        <f>ScenarioStat5[[#This Row],[team-1-win]]+ScenarioStat5[[#This Row],[team-2-win]]</f>
        <v>1</v>
      </c>
    </row>
    <row r="90" spans="1:7" x14ac:dyDescent="0.25">
      <c r="A90" t="s">
        <v>53</v>
      </c>
      <c r="B90" t="s">
        <v>45</v>
      </c>
      <c r="C90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90" t="s">
        <v>56</v>
      </c>
      <c r="E90" t="s">
        <v>63</v>
      </c>
      <c r="F90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90">
        <f>ScenarioStat5[[#This Row],[team-1-win]]+ScenarioStat5[[#This Row],[team-2-win]]</f>
        <v>1</v>
      </c>
    </row>
    <row r="91" spans="1:7" x14ac:dyDescent="0.25">
      <c r="A91" t="s">
        <v>53</v>
      </c>
      <c r="B91" t="s">
        <v>45</v>
      </c>
      <c r="C9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91" t="s">
        <v>56</v>
      </c>
      <c r="E91" t="s">
        <v>38</v>
      </c>
      <c r="F9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91">
        <f>ScenarioStat5[[#This Row],[team-1-win]]+ScenarioStat5[[#This Row],[team-2-win]]</f>
        <v>1</v>
      </c>
    </row>
    <row r="92" spans="1:7" x14ac:dyDescent="0.25">
      <c r="A92" t="s">
        <v>53</v>
      </c>
      <c r="B92" t="s">
        <v>45</v>
      </c>
      <c r="C92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92" t="s">
        <v>56</v>
      </c>
      <c r="E92" t="s">
        <v>227</v>
      </c>
      <c r="F92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92">
        <f>ScenarioStat5[[#This Row],[team-1-win]]+ScenarioStat5[[#This Row],[team-2-win]]</f>
        <v>1</v>
      </c>
    </row>
    <row r="93" spans="1:7" x14ac:dyDescent="0.25">
      <c r="A93" t="s">
        <v>53</v>
      </c>
      <c r="B93" t="s">
        <v>45</v>
      </c>
      <c r="C9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93" t="s">
        <v>48</v>
      </c>
      <c r="E93" t="s">
        <v>33</v>
      </c>
      <c r="F9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93">
        <f>ScenarioStat5[[#This Row],[team-1-win]]+ScenarioStat5[[#This Row],[team-2-win]]</f>
        <v>1</v>
      </c>
    </row>
    <row r="94" spans="1:7" x14ac:dyDescent="0.25">
      <c r="A94" t="s">
        <v>53</v>
      </c>
      <c r="B94" t="s">
        <v>45</v>
      </c>
      <c r="C9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94" t="s">
        <v>48</v>
      </c>
      <c r="E94" t="s">
        <v>43</v>
      </c>
      <c r="F9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94">
        <f>ScenarioStat5[[#This Row],[team-1-win]]+ScenarioStat5[[#This Row],[team-2-win]]</f>
        <v>1</v>
      </c>
    </row>
    <row r="95" spans="1:7" x14ac:dyDescent="0.25">
      <c r="A95" t="s">
        <v>53</v>
      </c>
      <c r="B95" t="s">
        <v>45</v>
      </c>
      <c r="C95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95" t="s">
        <v>48</v>
      </c>
      <c r="E95" t="s">
        <v>63</v>
      </c>
      <c r="F95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95">
        <f>ScenarioStat5[[#This Row],[team-1-win]]+ScenarioStat5[[#This Row],[team-2-win]]</f>
        <v>1</v>
      </c>
    </row>
    <row r="96" spans="1:7" x14ac:dyDescent="0.25">
      <c r="A96" t="s">
        <v>53</v>
      </c>
      <c r="B96" t="s">
        <v>45</v>
      </c>
      <c r="C96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96" t="s">
        <v>48</v>
      </c>
      <c r="E96" t="s">
        <v>38</v>
      </c>
      <c r="F96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96">
        <f>ScenarioStat5[[#This Row],[team-1-win]]+ScenarioStat5[[#This Row],[team-2-win]]</f>
        <v>1</v>
      </c>
    </row>
    <row r="97" spans="1:7" x14ac:dyDescent="0.25">
      <c r="A97" t="s">
        <v>53</v>
      </c>
      <c r="B97" t="s">
        <v>45</v>
      </c>
      <c r="C97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97" t="s">
        <v>48</v>
      </c>
      <c r="E97" t="s">
        <v>227</v>
      </c>
      <c r="F97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97">
        <f>ScenarioStat5[[#This Row],[team-1-win]]+ScenarioStat5[[#This Row],[team-2-win]]</f>
        <v>1</v>
      </c>
    </row>
    <row r="98" spans="1:7" x14ac:dyDescent="0.25">
      <c r="A98" t="s">
        <v>53</v>
      </c>
      <c r="B98" t="s">
        <v>45</v>
      </c>
      <c r="C98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98" t="s">
        <v>33</v>
      </c>
      <c r="E98" t="s">
        <v>43</v>
      </c>
      <c r="F98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98">
        <f>ScenarioStat5[[#This Row],[team-1-win]]+ScenarioStat5[[#This Row],[team-2-win]]</f>
        <v>1</v>
      </c>
    </row>
    <row r="99" spans="1:7" x14ac:dyDescent="0.25">
      <c r="A99" t="s">
        <v>53</v>
      </c>
      <c r="B99" t="s">
        <v>45</v>
      </c>
      <c r="C9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99" t="s">
        <v>33</v>
      </c>
      <c r="E99" t="s">
        <v>63</v>
      </c>
      <c r="F9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99">
        <f>ScenarioStat5[[#This Row],[team-1-win]]+ScenarioStat5[[#This Row],[team-2-win]]</f>
        <v>1</v>
      </c>
    </row>
    <row r="100" spans="1:7" x14ac:dyDescent="0.25">
      <c r="A100" t="s">
        <v>53</v>
      </c>
      <c r="B100" t="s">
        <v>45</v>
      </c>
      <c r="C100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00" t="s">
        <v>33</v>
      </c>
      <c r="E100" t="s">
        <v>38</v>
      </c>
      <c r="F100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00">
        <f>ScenarioStat5[[#This Row],[team-1-win]]+ScenarioStat5[[#This Row],[team-2-win]]</f>
        <v>1</v>
      </c>
    </row>
    <row r="101" spans="1:7" x14ac:dyDescent="0.25">
      <c r="A101" t="s">
        <v>53</v>
      </c>
      <c r="B101" t="s">
        <v>45</v>
      </c>
      <c r="C10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01" t="s">
        <v>33</v>
      </c>
      <c r="E101" t="s">
        <v>227</v>
      </c>
      <c r="F10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01">
        <f>ScenarioStat5[[#This Row],[team-1-win]]+ScenarioStat5[[#This Row],[team-2-win]]</f>
        <v>1</v>
      </c>
    </row>
    <row r="102" spans="1:7" x14ac:dyDescent="0.25">
      <c r="A102" t="s">
        <v>53</v>
      </c>
      <c r="B102" t="s">
        <v>45</v>
      </c>
      <c r="C102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02" t="s">
        <v>43</v>
      </c>
      <c r="E102" t="s">
        <v>63</v>
      </c>
      <c r="F102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02">
        <f>ScenarioStat5[[#This Row],[team-1-win]]+ScenarioStat5[[#This Row],[team-2-win]]</f>
        <v>1</v>
      </c>
    </row>
    <row r="103" spans="1:7" x14ac:dyDescent="0.25">
      <c r="A103" t="s">
        <v>53</v>
      </c>
      <c r="B103" t="s">
        <v>45</v>
      </c>
      <c r="C103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03" t="s">
        <v>43</v>
      </c>
      <c r="E103" t="s">
        <v>38</v>
      </c>
      <c r="F103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03">
        <f>ScenarioStat5[[#This Row],[team-1-win]]+ScenarioStat5[[#This Row],[team-2-win]]</f>
        <v>1</v>
      </c>
    </row>
    <row r="104" spans="1:7" x14ac:dyDescent="0.25">
      <c r="A104" t="s">
        <v>53</v>
      </c>
      <c r="B104" t="s">
        <v>45</v>
      </c>
      <c r="C10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04" t="s">
        <v>43</v>
      </c>
      <c r="E104" t="s">
        <v>227</v>
      </c>
      <c r="F10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04">
        <f>ScenarioStat5[[#This Row],[team-1-win]]+ScenarioStat5[[#This Row],[team-2-win]]</f>
        <v>1</v>
      </c>
    </row>
    <row r="105" spans="1:7" x14ac:dyDescent="0.25">
      <c r="A105" t="s">
        <v>53</v>
      </c>
      <c r="B105" t="s">
        <v>45</v>
      </c>
      <c r="C105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05" t="s">
        <v>63</v>
      </c>
      <c r="E105" t="s">
        <v>38</v>
      </c>
      <c r="F105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05">
        <f>ScenarioStat5[[#This Row],[team-1-win]]+ScenarioStat5[[#This Row],[team-2-win]]</f>
        <v>1</v>
      </c>
    </row>
    <row r="106" spans="1:7" x14ac:dyDescent="0.25">
      <c r="A106" t="s">
        <v>53</v>
      </c>
      <c r="B106" t="s">
        <v>45</v>
      </c>
      <c r="C106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06" t="s">
        <v>63</v>
      </c>
      <c r="E106" t="s">
        <v>227</v>
      </c>
      <c r="F106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06">
        <f>ScenarioStat5[[#This Row],[team-1-win]]+ScenarioStat5[[#This Row],[team-2-win]]</f>
        <v>1</v>
      </c>
    </row>
    <row r="107" spans="1:7" x14ac:dyDescent="0.25">
      <c r="A107" t="s">
        <v>53</v>
      </c>
      <c r="B107" t="s">
        <v>45</v>
      </c>
      <c r="C107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07" t="s">
        <v>38</v>
      </c>
      <c r="E107" t="s">
        <v>227</v>
      </c>
      <c r="F107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07">
        <f>ScenarioStat5[[#This Row],[team-1-win]]+ScenarioStat5[[#This Row],[team-2-win]]</f>
        <v>1</v>
      </c>
    </row>
    <row r="108" spans="1:7" x14ac:dyDescent="0.25">
      <c r="A108" t="s">
        <v>53</v>
      </c>
      <c r="B108" t="s">
        <v>63</v>
      </c>
      <c r="C108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08" t="s">
        <v>56</v>
      </c>
      <c r="E108" t="s">
        <v>48</v>
      </c>
      <c r="F108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08">
        <f>ScenarioStat5[[#This Row],[team-1-win]]+ScenarioStat5[[#This Row],[team-2-win]]</f>
        <v>1</v>
      </c>
    </row>
    <row r="109" spans="1:7" x14ac:dyDescent="0.25">
      <c r="A109" t="s">
        <v>53</v>
      </c>
      <c r="B109" t="s">
        <v>63</v>
      </c>
      <c r="C109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09" t="s">
        <v>56</v>
      </c>
      <c r="E109" t="s">
        <v>33</v>
      </c>
      <c r="F109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09">
        <f>ScenarioStat5[[#This Row],[team-1-win]]+ScenarioStat5[[#This Row],[team-2-win]]</f>
        <v>1</v>
      </c>
    </row>
    <row r="110" spans="1:7" x14ac:dyDescent="0.25">
      <c r="A110" t="s">
        <v>53</v>
      </c>
      <c r="B110" t="s">
        <v>63</v>
      </c>
      <c r="C110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10" t="s">
        <v>56</v>
      </c>
      <c r="E110" t="s">
        <v>43</v>
      </c>
      <c r="F110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10">
        <f>ScenarioStat5[[#This Row],[team-1-win]]+ScenarioStat5[[#This Row],[team-2-win]]</f>
        <v>1</v>
      </c>
    </row>
    <row r="111" spans="1:7" x14ac:dyDescent="0.25">
      <c r="A111" t="s">
        <v>53</v>
      </c>
      <c r="B111" t="s">
        <v>63</v>
      </c>
      <c r="C11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11" t="s">
        <v>56</v>
      </c>
      <c r="E111" t="s">
        <v>45</v>
      </c>
      <c r="F11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11">
        <f>ScenarioStat5[[#This Row],[team-1-win]]+ScenarioStat5[[#This Row],[team-2-win]]</f>
        <v>1</v>
      </c>
    </row>
    <row r="112" spans="1:7" x14ac:dyDescent="0.25">
      <c r="A112" t="s">
        <v>53</v>
      </c>
      <c r="B112" t="s">
        <v>63</v>
      </c>
      <c r="C112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12" t="s">
        <v>56</v>
      </c>
      <c r="E112" t="s">
        <v>38</v>
      </c>
      <c r="F112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12">
        <f>ScenarioStat5[[#This Row],[team-1-win]]+ScenarioStat5[[#This Row],[team-2-win]]</f>
        <v>1</v>
      </c>
    </row>
    <row r="113" spans="1:7" x14ac:dyDescent="0.25">
      <c r="A113" t="s">
        <v>53</v>
      </c>
      <c r="B113" t="s">
        <v>63</v>
      </c>
      <c r="C11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13" t="s">
        <v>56</v>
      </c>
      <c r="E113" t="s">
        <v>227</v>
      </c>
      <c r="F11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13">
        <f>ScenarioStat5[[#This Row],[team-1-win]]+ScenarioStat5[[#This Row],[team-2-win]]</f>
        <v>1</v>
      </c>
    </row>
    <row r="114" spans="1:7" x14ac:dyDescent="0.25">
      <c r="A114" t="s">
        <v>53</v>
      </c>
      <c r="B114" t="s">
        <v>63</v>
      </c>
      <c r="C11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14" t="s">
        <v>48</v>
      </c>
      <c r="E114" t="s">
        <v>33</v>
      </c>
      <c r="F11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14">
        <f>ScenarioStat5[[#This Row],[team-1-win]]+ScenarioStat5[[#This Row],[team-2-win]]</f>
        <v>1</v>
      </c>
    </row>
    <row r="115" spans="1:7" x14ac:dyDescent="0.25">
      <c r="A115" t="s">
        <v>53</v>
      </c>
      <c r="B115" t="s">
        <v>63</v>
      </c>
      <c r="C115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15" t="s">
        <v>48</v>
      </c>
      <c r="E115" t="s">
        <v>43</v>
      </c>
      <c r="F115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15">
        <f>ScenarioStat5[[#This Row],[team-1-win]]+ScenarioStat5[[#This Row],[team-2-win]]</f>
        <v>1</v>
      </c>
    </row>
    <row r="116" spans="1:7" x14ac:dyDescent="0.25">
      <c r="A116" t="s">
        <v>53</v>
      </c>
      <c r="B116" t="s">
        <v>63</v>
      </c>
      <c r="C116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16" t="s">
        <v>48</v>
      </c>
      <c r="E116" t="s">
        <v>45</v>
      </c>
      <c r="F116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16">
        <f>ScenarioStat5[[#This Row],[team-1-win]]+ScenarioStat5[[#This Row],[team-2-win]]</f>
        <v>1</v>
      </c>
    </row>
    <row r="117" spans="1:7" x14ac:dyDescent="0.25">
      <c r="A117" t="s">
        <v>53</v>
      </c>
      <c r="B117" t="s">
        <v>63</v>
      </c>
      <c r="C117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17" t="s">
        <v>48</v>
      </c>
      <c r="E117" t="s">
        <v>38</v>
      </c>
      <c r="F117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17">
        <f>ScenarioStat5[[#This Row],[team-1-win]]+ScenarioStat5[[#This Row],[team-2-win]]</f>
        <v>1</v>
      </c>
    </row>
    <row r="118" spans="1:7" x14ac:dyDescent="0.25">
      <c r="A118" t="s">
        <v>53</v>
      </c>
      <c r="B118" t="s">
        <v>63</v>
      </c>
      <c r="C118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18" t="s">
        <v>48</v>
      </c>
      <c r="E118" t="s">
        <v>227</v>
      </c>
      <c r="F118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18">
        <f>ScenarioStat5[[#This Row],[team-1-win]]+ScenarioStat5[[#This Row],[team-2-win]]</f>
        <v>1</v>
      </c>
    </row>
    <row r="119" spans="1:7" x14ac:dyDescent="0.25">
      <c r="A119" t="s">
        <v>53</v>
      </c>
      <c r="B119" t="s">
        <v>63</v>
      </c>
      <c r="C11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19" t="s">
        <v>33</v>
      </c>
      <c r="E119" t="s">
        <v>43</v>
      </c>
      <c r="F11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19">
        <f>ScenarioStat5[[#This Row],[team-1-win]]+ScenarioStat5[[#This Row],[team-2-win]]</f>
        <v>1</v>
      </c>
    </row>
    <row r="120" spans="1:7" x14ac:dyDescent="0.25">
      <c r="A120" t="s">
        <v>53</v>
      </c>
      <c r="B120" t="s">
        <v>63</v>
      </c>
      <c r="C120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20" t="s">
        <v>33</v>
      </c>
      <c r="E120" t="s">
        <v>45</v>
      </c>
      <c r="F120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20">
        <f>ScenarioStat5[[#This Row],[team-1-win]]+ScenarioStat5[[#This Row],[team-2-win]]</f>
        <v>1</v>
      </c>
    </row>
    <row r="121" spans="1:7" x14ac:dyDescent="0.25">
      <c r="A121" t="s">
        <v>53</v>
      </c>
      <c r="B121" t="s">
        <v>63</v>
      </c>
      <c r="C12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21" t="s">
        <v>33</v>
      </c>
      <c r="E121" t="s">
        <v>38</v>
      </c>
      <c r="F12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21">
        <f>ScenarioStat5[[#This Row],[team-1-win]]+ScenarioStat5[[#This Row],[team-2-win]]</f>
        <v>1</v>
      </c>
    </row>
    <row r="122" spans="1:7" x14ac:dyDescent="0.25">
      <c r="A122" t="s">
        <v>53</v>
      </c>
      <c r="B122" t="s">
        <v>63</v>
      </c>
      <c r="C122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22" t="s">
        <v>33</v>
      </c>
      <c r="E122" t="s">
        <v>227</v>
      </c>
      <c r="F122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22">
        <f>ScenarioStat5[[#This Row],[team-1-win]]+ScenarioStat5[[#This Row],[team-2-win]]</f>
        <v>1</v>
      </c>
    </row>
    <row r="123" spans="1:7" x14ac:dyDescent="0.25">
      <c r="A123" t="s">
        <v>53</v>
      </c>
      <c r="B123" t="s">
        <v>63</v>
      </c>
      <c r="C12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23" t="s">
        <v>43</v>
      </c>
      <c r="E123" t="s">
        <v>45</v>
      </c>
      <c r="F12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23">
        <f>ScenarioStat5[[#This Row],[team-1-win]]+ScenarioStat5[[#This Row],[team-2-win]]</f>
        <v>1</v>
      </c>
    </row>
    <row r="124" spans="1:7" x14ac:dyDescent="0.25">
      <c r="A124" t="s">
        <v>53</v>
      </c>
      <c r="B124" t="s">
        <v>63</v>
      </c>
      <c r="C12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24" t="s">
        <v>43</v>
      </c>
      <c r="E124" t="s">
        <v>38</v>
      </c>
      <c r="F12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24">
        <f>ScenarioStat5[[#This Row],[team-1-win]]+ScenarioStat5[[#This Row],[team-2-win]]</f>
        <v>1</v>
      </c>
    </row>
    <row r="125" spans="1:7" x14ac:dyDescent="0.25">
      <c r="A125" t="s">
        <v>53</v>
      </c>
      <c r="B125" t="s">
        <v>63</v>
      </c>
      <c r="C125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25" t="s">
        <v>43</v>
      </c>
      <c r="E125" t="s">
        <v>227</v>
      </c>
      <c r="F125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25">
        <f>ScenarioStat5[[#This Row],[team-1-win]]+ScenarioStat5[[#This Row],[team-2-win]]</f>
        <v>1</v>
      </c>
    </row>
    <row r="126" spans="1:7" x14ac:dyDescent="0.25">
      <c r="A126" t="s">
        <v>53</v>
      </c>
      <c r="B126" t="s">
        <v>63</v>
      </c>
      <c r="C126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26" t="s">
        <v>45</v>
      </c>
      <c r="E126" t="s">
        <v>38</v>
      </c>
      <c r="F126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26">
        <f>ScenarioStat5[[#This Row],[team-1-win]]+ScenarioStat5[[#This Row],[team-2-win]]</f>
        <v>1</v>
      </c>
    </row>
    <row r="127" spans="1:7" x14ac:dyDescent="0.25">
      <c r="A127" t="s">
        <v>53</v>
      </c>
      <c r="B127" t="s">
        <v>63</v>
      </c>
      <c r="C127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27" t="s">
        <v>45</v>
      </c>
      <c r="E127" t="s">
        <v>227</v>
      </c>
      <c r="F127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27">
        <f>ScenarioStat5[[#This Row],[team-1-win]]+ScenarioStat5[[#This Row],[team-2-win]]</f>
        <v>1</v>
      </c>
    </row>
    <row r="128" spans="1:7" x14ac:dyDescent="0.25">
      <c r="A128" t="s">
        <v>53</v>
      </c>
      <c r="B128" t="s">
        <v>63</v>
      </c>
      <c r="C128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28" t="s">
        <v>38</v>
      </c>
      <c r="E128" t="s">
        <v>227</v>
      </c>
      <c r="F128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28">
        <f>ScenarioStat5[[#This Row],[team-1-win]]+ScenarioStat5[[#This Row],[team-2-win]]</f>
        <v>1</v>
      </c>
    </row>
    <row r="129" spans="1:7" x14ac:dyDescent="0.25">
      <c r="A129" t="s">
        <v>53</v>
      </c>
      <c r="B129" t="s">
        <v>38</v>
      </c>
      <c r="C129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29" t="s">
        <v>56</v>
      </c>
      <c r="E129" t="s">
        <v>48</v>
      </c>
      <c r="F129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29">
        <f>ScenarioStat5[[#This Row],[team-1-win]]+ScenarioStat5[[#This Row],[team-2-win]]</f>
        <v>1</v>
      </c>
    </row>
    <row r="130" spans="1:7" x14ac:dyDescent="0.25">
      <c r="A130" t="s">
        <v>53</v>
      </c>
      <c r="B130" t="s">
        <v>38</v>
      </c>
      <c r="C130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30" t="s">
        <v>56</v>
      </c>
      <c r="E130" t="s">
        <v>33</v>
      </c>
      <c r="F130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30">
        <f>ScenarioStat5[[#This Row],[team-1-win]]+ScenarioStat5[[#This Row],[team-2-win]]</f>
        <v>1</v>
      </c>
    </row>
    <row r="131" spans="1:7" x14ac:dyDescent="0.25">
      <c r="A131" t="s">
        <v>53</v>
      </c>
      <c r="B131" t="s">
        <v>38</v>
      </c>
      <c r="C131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31" t="s">
        <v>56</v>
      </c>
      <c r="E131" t="s">
        <v>43</v>
      </c>
      <c r="F131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31">
        <f>ScenarioStat5[[#This Row],[team-1-win]]+ScenarioStat5[[#This Row],[team-2-win]]</f>
        <v>1</v>
      </c>
    </row>
    <row r="132" spans="1:7" x14ac:dyDescent="0.25">
      <c r="A132" t="s">
        <v>53</v>
      </c>
      <c r="B132" t="s">
        <v>38</v>
      </c>
      <c r="C132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32" t="s">
        <v>56</v>
      </c>
      <c r="E132" t="s">
        <v>45</v>
      </c>
      <c r="F132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32">
        <f>ScenarioStat5[[#This Row],[team-1-win]]+ScenarioStat5[[#This Row],[team-2-win]]</f>
        <v>1</v>
      </c>
    </row>
    <row r="133" spans="1:7" x14ac:dyDescent="0.25">
      <c r="A133" t="s">
        <v>53</v>
      </c>
      <c r="B133" t="s">
        <v>38</v>
      </c>
      <c r="C13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33" t="s">
        <v>56</v>
      </c>
      <c r="E133" t="s">
        <v>63</v>
      </c>
      <c r="F13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33">
        <f>ScenarioStat5[[#This Row],[team-1-win]]+ScenarioStat5[[#This Row],[team-2-win]]</f>
        <v>1</v>
      </c>
    </row>
    <row r="134" spans="1:7" x14ac:dyDescent="0.25">
      <c r="A134" t="s">
        <v>53</v>
      </c>
      <c r="B134" t="s">
        <v>38</v>
      </c>
      <c r="C134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34" t="s">
        <v>56</v>
      </c>
      <c r="E134" t="s">
        <v>227</v>
      </c>
      <c r="F134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34">
        <f>ScenarioStat5[[#This Row],[team-1-win]]+ScenarioStat5[[#This Row],[team-2-win]]</f>
        <v>1</v>
      </c>
    </row>
    <row r="135" spans="1:7" x14ac:dyDescent="0.25">
      <c r="A135" t="s">
        <v>53</v>
      </c>
      <c r="B135" t="s">
        <v>38</v>
      </c>
      <c r="C135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35" t="s">
        <v>48</v>
      </c>
      <c r="E135" t="s">
        <v>33</v>
      </c>
      <c r="F135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35">
        <f>ScenarioStat5[[#This Row],[team-1-win]]+ScenarioStat5[[#This Row],[team-2-win]]</f>
        <v>1</v>
      </c>
    </row>
    <row r="136" spans="1:7" x14ac:dyDescent="0.25">
      <c r="A136" t="s">
        <v>53</v>
      </c>
      <c r="B136" t="s">
        <v>38</v>
      </c>
      <c r="C136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36" t="s">
        <v>48</v>
      </c>
      <c r="E136" t="s">
        <v>43</v>
      </c>
      <c r="F136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36">
        <f>ScenarioStat5[[#This Row],[team-1-win]]+ScenarioStat5[[#This Row],[team-2-win]]</f>
        <v>1</v>
      </c>
    </row>
    <row r="137" spans="1:7" x14ac:dyDescent="0.25">
      <c r="A137" t="s">
        <v>53</v>
      </c>
      <c r="B137" t="s">
        <v>38</v>
      </c>
      <c r="C137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37" t="s">
        <v>48</v>
      </c>
      <c r="E137" t="s">
        <v>45</v>
      </c>
      <c r="F137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37">
        <f>ScenarioStat5[[#This Row],[team-1-win]]+ScenarioStat5[[#This Row],[team-2-win]]</f>
        <v>1</v>
      </c>
    </row>
    <row r="138" spans="1:7" x14ac:dyDescent="0.25">
      <c r="A138" t="s">
        <v>53</v>
      </c>
      <c r="B138" t="s">
        <v>38</v>
      </c>
      <c r="C138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38" t="s">
        <v>48</v>
      </c>
      <c r="E138" t="s">
        <v>63</v>
      </c>
      <c r="F138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38">
        <f>ScenarioStat5[[#This Row],[team-1-win]]+ScenarioStat5[[#This Row],[team-2-win]]</f>
        <v>1</v>
      </c>
    </row>
    <row r="139" spans="1:7" x14ac:dyDescent="0.25">
      <c r="A139" t="s">
        <v>53</v>
      </c>
      <c r="B139" t="s">
        <v>38</v>
      </c>
      <c r="C13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39" t="s">
        <v>48</v>
      </c>
      <c r="E139" t="s">
        <v>227</v>
      </c>
      <c r="F13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39">
        <f>ScenarioStat5[[#This Row],[team-1-win]]+ScenarioStat5[[#This Row],[team-2-win]]</f>
        <v>1</v>
      </c>
    </row>
    <row r="140" spans="1:7" x14ac:dyDescent="0.25">
      <c r="A140" t="s">
        <v>53</v>
      </c>
      <c r="B140" t="s">
        <v>38</v>
      </c>
      <c r="C140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40" t="s">
        <v>33</v>
      </c>
      <c r="E140" t="s">
        <v>43</v>
      </c>
      <c r="F140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40">
        <f>ScenarioStat5[[#This Row],[team-1-win]]+ScenarioStat5[[#This Row],[team-2-win]]</f>
        <v>1</v>
      </c>
    </row>
    <row r="141" spans="1:7" x14ac:dyDescent="0.25">
      <c r="A141" t="s">
        <v>53</v>
      </c>
      <c r="B141" t="s">
        <v>38</v>
      </c>
      <c r="C14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41" t="s">
        <v>33</v>
      </c>
      <c r="E141" t="s">
        <v>45</v>
      </c>
      <c r="F14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41">
        <f>ScenarioStat5[[#This Row],[team-1-win]]+ScenarioStat5[[#This Row],[team-2-win]]</f>
        <v>1</v>
      </c>
    </row>
    <row r="142" spans="1:7" x14ac:dyDescent="0.25">
      <c r="A142" t="s">
        <v>53</v>
      </c>
      <c r="B142" t="s">
        <v>38</v>
      </c>
      <c r="C142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42" t="s">
        <v>33</v>
      </c>
      <c r="E142" t="s">
        <v>63</v>
      </c>
      <c r="F142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42">
        <f>ScenarioStat5[[#This Row],[team-1-win]]+ScenarioStat5[[#This Row],[team-2-win]]</f>
        <v>1</v>
      </c>
    </row>
    <row r="143" spans="1:7" x14ac:dyDescent="0.25">
      <c r="A143" t="s">
        <v>53</v>
      </c>
      <c r="B143" t="s">
        <v>38</v>
      </c>
      <c r="C14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43" t="s">
        <v>33</v>
      </c>
      <c r="E143" t="s">
        <v>227</v>
      </c>
      <c r="F14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43">
        <f>ScenarioStat5[[#This Row],[team-1-win]]+ScenarioStat5[[#This Row],[team-2-win]]</f>
        <v>1</v>
      </c>
    </row>
    <row r="144" spans="1:7" x14ac:dyDescent="0.25">
      <c r="A144" t="s">
        <v>53</v>
      </c>
      <c r="B144" t="s">
        <v>38</v>
      </c>
      <c r="C14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44" t="s">
        <v>43</v>
      </c>
      <c r="E144" t="s">
        <v>45</v>
      </c>
      <c r="F14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44">
        <f>ScenarioStat5[[#This Row],[team-1-win]]+ScenarioStat5[[#This Row],[team-2-win]]</f>
        <v>1</v>
      </c>
    </row>
    <row r="145" spans="1:7" x14ac:dyDescent="0.25">
      <c r="A145" t="s">
        <v>53</v>
      </c>
      <c r="B145" t="s">
        <v>38</v>
      </c>
      <c r="C145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45" t="s">
        <v>43</v>
      </c>
      <c r="E145" t="s">
        <v>63</v>
      </c>
      <c r="F145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45">
        <f>ScenarioStat5[[#This Row],[team-1-win]]+ScenarioStat5[[#This Row],[team-2-win]]</f>
        <v>1</v>
      </c>
    </row>
    <row r="146" spans="1:7" x14ac:dyDescent="0.25">
      <c r="A146" t="s">
        <v>53</v>
      </c>
      <c r="B146" t="s">
        <v>38</v>
      </c>
      <c r="C146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46" t="s">
        <v>43</v>
      </c>
      <c r="E146" t="s">
        <v>227</v>
      </c>
      <c r="F146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46">
        <f>ScenarioStat5[[#This Row],[team-1-win]]+ScenarioStat5[[#This Row],[team-2-win]]</f>
        <v>1</v>
      </c>
    </row>
    <row r="147" spans="1:7" x14ac:dyDescent="0.25">
      <c r="A147" t="s">
        <v>53</v>
      </c>
      <c r="B147" t="s">
        <v>38</v>
      </c>
      <c r="C147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47" t="s">
        <v>45</v>
      </c>
      <c r="E147" t="s">
        <v>63</v>
      </c>
      <c r="F147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47">
        <f>ScenarioStat5[[#This Row],[team-1-win]]+ScenarioStat5[[#This Row],[team-2-win]]</f>
        <v>1</v>
      </c>
    </row>
    <row r="148" spans="1:7" x14ac:dyDescent="0.25">
      <c r="A148" t="s">
        <v>53</v>
      </c>
      <c r="B148" t="s">
        <v>38</v>
      </c>
      <c r="C148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48" t="s">
        <v>45</v>
      </c>
      <c r="E148" t="s">
        <v>227</v>
      </c>
      <c r="F148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48">
        <f>ScenarioStat5[[#This Row],[team-1-win]]+ScenarioStat5[[#This Row],[team-2-win]]</f>
        <v>1</v>
      </c>
    </row>
    <row r="149" spans="1:7" x14ac:dyDescent="0.25">
      <c r="A149" t="s">
        <v>53</v>
      </c>
      <c r="B149" t="s">
        <v>38</v>
      </c>
      <c r="C14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49" t="s">
        <v>63</v>
      </c>
      <c r="E149" t="s">
        <v>227</v>
      </c>
      <c r="F14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49">
        <f>ScenarioStat5[[#This Row],[team-1-win]]+ScenarioStat5[[#This Row],[team-2-win]]</f>
        <v>1</v>
      </c>
    </row>
    <row r="150" spans="1:7" x14ac:dyDescent="0.25">
      <c r="A150" t="s">
        <v>53</v>
      </c>
      <c r="B150" t="s">
        <v>227</v>
      </c>
      <c r="C150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50" t="s">
        <v>56</v>
      </c>
      <c r="E150" t="s">
        <v>48</v>
      </c>
      <c r="F150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50">
        <f>ScenarioStat5[[#This Row],[team-1-win]]+ScenarioStat5[[#This Row],[team-2-win]]</f>
        <v>1</v>
      </c>
    </row>
    <row r="151" spans="1:7" x14ac:dyDescent="0.25">
      <c r="A151" t="s">
        <v>53</v>
      </c>
      <c r="B151" t="s">
        <v>227</v>
      </c>
      <c r="C15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51" t="s">
        <v>56</v>
      </c>
      <c r="E151" t="s">
        <v>33</v>
      </c>
      <c r="F15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51">
        <f>ScenarioStat5[[#This Row],[team-1-win]]+ScenarioStat5[[#This Row],[team-2-win]]</f>
        <v>1</v>
      </c>
    </row>
    <row r="152" spans="1:7" x14ac:dyDescent="0.25">
      <c r="A152" t="s">
        <v>53</v>
      </c>
      <c r="B152" t="s">
        <v>227</v>
      </c>
      <c r="C152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52" t="s">
        <v>56</v>
      </c>
      <c r="E152" t="s">
        <v>43</v>
      </c>
      <c r="F152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52">
        <f>ScenarioStat5[[#This Row],[team-1-win]]+ScenarioStat5[[#This Row],[team-2-win]]</f>
        <v>1</v>
      </c>
    </row>
    <row r="153" spans="1:7" x14ac:dyDescent="0.25">
      <c r="A153" t="s">
        <v>53</v>
      </c>
      <c r="B153" t="s">
        <v>227</v>
      </c>
      <c r="C15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53" t="s">
        <v>56</v>
      </c>
      <c r="E153" t="s">
        <v>45</v>
      </c>
      <c r="F15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53">
        <f>ScenarioStat5[[#This Row],[team-1-win]]+ScenarioStat5[[#This Row],[team-2-win]]</f>
        <v>1</v>
      </c>
    </row>
    <row r="154" spans="1:7" x14ac:dyDescent="0.25">
      <c r="A154" t="s">
        <v>53</v>
      </c>
      <c r="B154" t="s">
        <v>227</v>
      </c>
      <c r="C15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54" t="s">
        <v>56</v>
      </c>
      <c r="E154" t="s">
        <v>63</v>
      </c>
      <c r="F15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54">
        <f>ScenarioStat5[[#This Row],[team-1-win]]+ScenarioStat5[[#This Row],[team-2-win]]</f>
        <v>1</v>
      </c>
    </row>
    <row r="155" spans="1:7" x14ac:dyDescent="0.25">
      <c r="A155" t="s">
        <v>53</v>
      </c>
      <c r="B155" t="s">
        <v>227</v>
      </c>
      <c r="C155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55" t="s">
        <v>56</v>
      </c>
      <c r="E155" t="s">
        <v>38</v>
      </c>
      <c r="F155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55">
        <f>ScenarioStat5[[#This Row],[team-1-win]]+ScenarioStat5[[#This Row],[team-2-win]]</f>
        <v>1</v>
      </c>
    </row>
    <row r="156" spans="1:7" x14ac:dyDescent="0.25">
      <c r="A156" t="s">
        <v>53</v>
      </c>
      <c r="B156" t="s">
        <v>227</v>
      </c>
      <c r="C156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56" t="s">
        <v>48</v>
      </c>
      <c r="E156" t="s">
        <v>33</v>
      </c>
      <c r="F156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56">
        <f>ScenarioStat5[[#This Row],[team-1-win]]+ScenarioStat5[[#This Row],[team-2-win]]</f>
        <v>1</v>
      </c>
    </row>
    <row r="157" spans="1:7" x14ac:dyDescent="0.25">
      <c r="A157" t="s">
        <v>53</v>
      </c>
      <c r="B157" t="s">
        <v>227</v>
      </c>
      <c r="C157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57" t="s">
        <v>48</v>
      </c>
      <c r="E157" t="s">
        <v>43</v>
      </c>
      <c r="F157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57">
        <f>ScenarioStat5[[#This Row],[team-1-win]]+ScenarioStat5[[#This Row],[team-2-win]]</f>
        <v>1</v>
      </c>
    </row>
    <row r="158" spans="1:7" x14ac:dyDescent="0.25">
      <c r="A158" t="s">
        <v>53</v>
      </c>
      <c r="B158" t="s">
        <v>227</v>
      </c>
      <c r="C158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58" t="s">
        <v>48</v>
      </c>
      <c r="E158" t="s">
        <v>45</v>
      </c>
      <c r="F158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58">
        <f>ScenarioStat5[[#This Row],[team-1-win]]+ScenarioStat5[[#This Row],[team-2-win]]</f>
        <v>1</v>
      </c>
    </row>
    <row r="159" spans="1:7" x14ac:dyDescent="0.25">
      <c r="A159" t="s">
        <v>53</v>
      </c>
      <c r="B159" t="s">
        <v>227</v>
      </c>
      <c r="C15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59" t="s">
        <v>48</v>
      </c>
      <c r="E159" t="s">
        <v>63</v>
      </c>
      <c r="F15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59">
        <f>ScenarioStat5[[#This Row],[team-1-win]]+ScenarioStat5[[#This Row],[team-2-win]]</f>
        <v>1</v>
      </c>
    </row>
    <row r="160" spans="1:7" x14ac:dyDescent="0.25">
      <c r="A160" t="s">
        <v>53</v>
      </c>
      <c r="B160" t="s">
        <v>227</v>
      </c>
      <c r="C160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60" t="s">
        <v>48</v>
      </c>
      <c r="E160" t="s">
        <v>38</v>
      </c>
      <c r="F160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60">
        <f>ScenarioStat5[[#This Row],[team-1-win]]+ScenarioStat5[[#This Row],[team-2-win]]</f>
        <v>1</v>
      </c>
    </row>
    <row r="161" spans="1:7" x14ac:dyDescent="0.25">
      <c r="A161" t="s">
        <v>53</v>
      </c>
      <c r="B161" t="s">
        <v>227</v>
      </c>
      <c r="C161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61" t="s">
        <v>33</v>
      </c>
      <c r="E161" t="s">
        <v>43</v>
      </c>
      <c r="F161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61">
        <f>ScenarioStat5[[#This Row],[team-1-win]]+ScenarioStat5[[#This Row],[team-2-win]]</f>
        <v>1</v>
      </c>
    </row>
    <row r="162" spans="1:7" x14ac:dyDescent="0.25">
      <c r="A162" t="s">
        <v>53</v>
      </c>
      <c r="B162" t="s">
        <v>227</v>
      </c>
      <c r="C162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62" t="s">
        <v>33</v>
      </c>
      <c r="E162" t="s">
        <v>45</v>
      </c>
      <c r="F162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62">
        <f>ScenarioStat5[[#This Row],[team-1-win]]+ScenarioStat5[[#This Row],[team-2-win]]</f>
        <v>1</v>
      </c>
    </row>
    <row r="163" spans="1:7" x14ac:dyDescent="0.25">
      <c r="A163" t="s">
        <v>53</v>
      </c>
      <c r="B163" t="s">
        <v>227</v>
      </c>
      <c r="C16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63" t="s">
        <v>33</v>
      </c>
      <c r="E163" t="s">
        <v>63</v>
      </c>
      <c r="F16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63">
        <f>ScenarioStat5[[#This Row],[team-1-win]]+ScenarioStat5[[#This Row],[team-2-win]]</f>
        <v>1</v>
      </c>
    </row>
    <row r="164" spans="1:7" x14ac:dyDescent="0.25">
      <c r="A164" t="s">
        <v>53</v>
      </c>
      <c r="B164" t="s">
        <v>227</v>
      </c>
      <c r="C16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64" t="s">
        <v>33</v>
      </c>
      <c r="E164" t="s">
        <v>38</v>
      </c>
      <c r="F16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64">
        <f>ScenarioStat5[[#This Row],[team-1-win]]+ScenarioStat5[[#This Row],[team-2-win]]</f>
        <v>1</v>
      </c>
    </row>
    <row r="165" spans="1:7" x14ac:dyDescent="0.25">
      <c r="A165" t="s">
        <v>53</v>
      </c>
      <c r="B165" t="s">
        <v>227</v>
      </c>
      <c r="C165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65" t="s">
        <v>43</v>
      </c>
      <c r="E165" t="s">
        <v>45</v>
      </c>
      <c r="F165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65">
        <f>ScenarioStat5[[#This Row],[team-1-win]]+ScenarioStat5[[#This Row],[team-2-win]]</f>
        <v>1</v>
      </c>
    </row>
    <row r="166" spans="1:7" x14ac:dyDescent="0.25">
      <c r="A166" t="s">
        <v>53</v>
      </c>
      <c r="B166" t="s">
        <v>227</v>
      </c>
      <c r="C166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66" t="s">
        <v>43</v>
      </c>
      <c r="E166" t="s">
        <v>63</v>
      </c>
      <c r="F166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66">
        <f>ScenarioStat5[[#This Row],[team-1-win]]+ScenarioStat5[[#This Row],[team-2-win]]</f>
        <v>1</v>
      </c>
    </row>
    <row r="167" spans="1:7" x14ac:dyDescent="0.25">
      <c r="A167" t="s">
        <v>53</v>
      </c>
      <c r="B167" t="s">
        <v>227</v>
      </c>
      <c r="C167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67" t="s">
        <v>43</v>
      </c>
      <c r="E167" t="s">
        <v>38</v>
      </c>
      <c r="F167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67">
        <f>ScenarioStat5[[#This Row],[team-1-win]]+ScenarioStat5[[#This Row],[team-2-win]]</f>
        <v>1</v>
      </c>
    </row>
    <row r="168" spans="1:7" x14ac:dyDescent="0.25">
      <c r="A168" t="s">
        <v>53</v>
      </c>
      <c r="B168" t="s">
        <v>227</v>
      </c>
      <c r="C168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68" t="s">
        <v>45</v>
      </c>
      <c r="E168" t="s">
        <v>63</v>
      </c>
      <c r="F168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68">
        <f>ScenarioStat5[[#This Row],[team-1-win]]+ScenarioStat5[[#This Row],[team-2-win]]</f>
        <v>1</v>
      </c>
    </row>
    <row r="169" spans="1:7" x14ac:dyDescent="0.25">
      <c r="A169" t="s">
        <v>53</v>
      </c>
      <c r="B169" t="s">
        <v>227</v>
      </c>
      <c r="C16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69" t="s">
        <v>45</v>
      </c>
      <c r="E169" t="s">
        <v>38</v>
      </c>
      <c r="F16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69">
        <f>ScenarioStat5[[#This Row],[team-1-win]]+ScenarioStat5[[#This Row],[team-2-win]]</f>
        <v>1</v>
      </c>
    </row>
    <row r="170" spans="1:7" x14ac:dyDescent="0.25">
      <c r="A170" t="s">
        <v>53</v>
      </c>
      <c r="B170" t="s">
        <v>227</v>
      </c>
      <c r="C170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70" t="s">
        <v>63</v>
      </c>
      <c r="E170" t="s">
        <v>38</v>
      </c>
      <c r="F170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70">
        <f>ScenarioStat5[[#This Row],[team-1-win]]+ScenarioStat5[[#This Row],[team-2-win]]</f>
        <v>1</v>
      </c>
    </row>
    <row r="171" spans="1:7" x14ac:dyDescent="0.25">
      <c r="A171" t="s">
        <v>56</v>
      </c>
      <c r="B171" t="s">
        <v>48</v>
      </c>
      <c r="C171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71" t="s">
        <v>33</v>
      </c>
      <c r="E171" t="s">
        <v>43</v>
      </c>
      <c r="F171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71">
        <f>ScenarioStat5[[#This Row],[team-1-win]]+ScenarioStat5[[#This Row],[team-2-win]]</f>
        <v>1</v>
      </c>
    </row>
    <row r="172" spans="1:7" x14ac:dyDescent="0.25">
      <c r="A172" t="s">
        <v>56</v>
      </c>
      <c r="B172" t="s">
        <v>48</v>
      </c>
      <c r="C172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72" t="s">
        <v>33</v>
      </c>
      <c r="E172" t="s">
        <v>45</v>
      </c>
      <c r="F172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72">
        <f>ScenarioStat5[[#This Row],[team-1-win]]+ScenarioStat5[[#This Row],[team-2-win]]</f>
        <v>1</v>
      </c>
    </row>
    <row r="173" spans="1:7" x14ac:dyDescent="0.25">
      <c r="A173" t="s">
        <v>56</v>
      </c>
      <c r="B173" t="s">
        <v>48</v>
      </c>
      <c r="C173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73" t="s">
        <v>33</v>
      </c>
      <c r="E173" t="s">
        <v>63</v>
      </c>
      <c r="F173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73">
        <f>ScenarioStat5[[#This Row],[team-1-win]]+ScenarioStat5[[#This Row],[team-2-win]]</f>
        <v>1</v>
      </c>
    </row>
    <row r="174" spans="1:7" x14ac:dyDescent="0.25">
      <c r="A174" t="s">
        <v>56</v>
      </c>
      <c r="B174" t="s">
        <v>48</v>
      </c>
      <c r="C174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74" t="s">
        <v>33</v>
      </c>
      <c r="E174" t="s">
        <v>38</v>
      </c>
      <c r="F174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74">
        <f>ScenarioStat5[[#This Row],[team-1-win]]+ScenarioStat5[[#This Row],[team-2-win]]</f>
        <v>1</v>
      </c>
    </row>
    <row r="175" spans="1:7" x14ac:dyDescent="0.25">
      <c r="A175" t="s">
        <v>56</v>
      </c>
      <c r="B175" t="s">
        <v>48</v>
      </c>
      <c r="C175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75" t="s">
        <v>33</v>
      </c>
      <c r="E175" t="s">
        <v>227</v>
      </c>
      <c r="F175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75">
        <f>ScenarioStat5[[#This Row],[team-1-win]]+ScenarioStat5[[#This Row],[team-2-win]]</f>
        <v>1</v>
      </c>
    </row>
    <row r="176" spans="1:7" x14ac:dyDescent="0.25">
      <c r="A176" t="s">
        <v>56</v>
      </c>
      <c r="B176" t="s">
        <v>48</v>
      </c>
      <c r="C176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76" t="s">
        <v>43</v>
      </c>
      <c r="E176" t="s">
        <v>45</v>
      </c>
      <c r="F176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76">
        <f>ScenarioStat5[[#This Row],[team-1-win]]+ScenarioStat5[[#This Row],[team-2-win]]</f>
        <v>1</v>
      </c>
    </row>
    <row r="177" spans="1:7" x14ac:dyDescent="0.25">
      <c r="A177" t="s">
        <v>56</v>
      </c>
      <c r="B177" t="s">
        <v>48</v>
      </c>
      <c r="C177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77" t="s">
        <v>43</v>
      </c>
      <c r="E177" t="s">
        <v>63</v>
      </c>
      <c r="F177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77">
        <f>ScenarioStat5[[#This Row],[team-1-win]]+ScenarioStat5[[#This Row],[team-2-win]]</f>
        <v>1</v>
      </c>
    </row>
    <row r="178" spans="1:7" x14ac:dyDescent="0.25">
      <c r="A178" t="s">
        <v>56</v>
      </c>
      <c r="B178" t="s">
        <v>48</v>
      </c>
      <c r="C178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78" t="s">
        <v>43</v>
      </c>
      <c r="E178" t="s">
        <v>38</v>
      </c>
      <c r="F178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78">
        <f>ScenarioStat5[[#This Row],[team-1-win]]+ScenarioStat5[[#This Row],[team-2-win]]</f>
        <v>1</v>
      </c>
    </row>
    <row r="179" spans="1:7" x14ac:dyDescent="0.25">
      <c r="A179" t="s">
        <v>56</v>
      </c>
      <c r="B179" t="s">
        <v>48</v>
      </c>
      <c r="C17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79" t="s">
        <v>43</v>
      </c>
      <c r="E179" t="s">
        <v>227</v>
      </c>
      <c r="F17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79">
        <f>ScenarioStat5[[#This Row],[team-1-win]]+ScenarioStat5[[#This Row],[team-2-win]]</f>
        <v>1</v>
      </c>
    </row>
    <row r="180" spans="1:7" x14ac:dyDescent="0.25">
      <c r="A180" t="s">
        <v>56</v>
      </c>
      <c r="B180" t="s">
        <v>48</v>
      </c>
      <c r="C180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80" t="s">
        <v>45</v>
      </c>
      <c r="E180" t="s">
        <v>63</v>
      </c>
      <c r="F180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80">
        <f>ScenarioStat5[[#This Row],[team-1-win]]+ScenarioStat5[[#This Row],[team-2-win]]</f>
        <v>1</v>
      </c>
    </row>
    <row r="181" spans="1:7" x14ac:dyDescent="0.25">
      <c r="A181" t="s">
        <v>56</v>
      </c>
      <c r="B181" t="s">
        <v>48</v>
      </c>
      <c r="C18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81" t="s">
        <v>45</v>
      </c>
      <c r="E181" t="s">
        <v>38</v>
      </c>
      <c r="F18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81">
        <f>ScenarioStat5[[#This Row],[team-1-win]]+ScenarioStat5[[#This Row],[team-2-win]]</f>
        <v>1</v>
      </c>
    </row>
    <row r="182" spans="1:7" x14ac:dyDescent="0.25">
      <c r="A182" t="s">
        <v>56</v>
      </c>
      <c r="B182" t="s">
        <v>48</v>
      </c>
      <c r="C182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82" t="s">
        <v>45</v>
      </c>
      <c r="E182" t="s">
        <v>227</v>
      </c>
      <c r="F182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82">
        <f>ScenarioStat5[[#This Row],[team-1-win]]+ScenarioStat5[[#This Row],[team-2-win]]</f>
        <v>1</v>
      </c>
    </row>
    <row r="183" spans="1:7" x14ac:dyDescent="0.25">
      <c r="A183" t="s">
        <v>56</v>
      </c>
      <c r="B183" t="s">
        <v>48</v>
      </c>
      <c r="C18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83" t="s">
        <v>63</v>
      </c>
      <c r="E183" t="s">
        <v>38</v>
      </c>
      <c r="F18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83">
        <f>ScenarioStat5[[#This Row],[team-1-win]]+ScenarioStat5[[#This Row],[team-2-win]]</f>
        <v>1</v>
      </c>
    </row>
    <row r="184" spans="1:7" x14ac:dyDescent="0.25">
      <c r="A184" t="s">
        <v>56</v>
      </c>
      <c r="B184" t="s">
        <v>48</v>
      </c>
      <c r="C18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84" t="s">
        <v>63</v>
      </c>
      <c r="E184" t="s">
        <v>227</v>
      </c>
      <c r="F18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84">
        <f>ScenarioStat5[[#This Row],[team-1-win]]+ScenarioStat5[[#This Row],[team-2-win]]</f>
        <v>1</v>
      </c>
    </row>
    <row r="185" spans="1:7" x14ac:dyDescent="0.25">
      <c r="A185" t="s">
        <v>56</v>
      </c>
      <c r="B185" t="s">
        <v>48</v>
      </c>
      <c r="C185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85" t="s">
        <v>38</v>
      </c>
      <c r="E185" t="s">
        <v>227</v>
      </c>
      <c r="F185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85">
        <f>ScenarioStat5[[#This Row],[team-1-win]]+ScenarioStat5[[#This Row],[team-2-win]]</f>
        <v>1</v>
      </c>
    </row>
    <row r="186" spans="1:7" x14ac:dyDescent="0.25">
      <c r="A186" t="s">
        <v>56</v>
      </c>
      <c r="B186" t="s">
        <v>33</v>
      </c>
      <c r="C186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86" t="s">
        <v>48</v>
      </c>
      <c r="E186" t="s">
        <v>43</v>
      </c>
      <c r="F186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86">
        <f>ScenarioStat5[[#This Row],[team-1-win]]+ScenarioStat5[[#This Row],[team-2-win]]</f>
        <v>1</v>
      </c>
    </row>
    <row r="187" spans="1:7" x14ac:dyDescent="0.25">
      <c r="A187" t="s">
        <v>56</v>
      </c>
      <c r="B187" t="s">
        <v>33</v>
      </c>
      <c r="C187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87" t="s">
        <v>48</v>
      </c>
      <c r="E187" t="s">
        <v>45</v>
      </c>
      <c r="F187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87">
        <f>ScenarioStat5[[#This Row],[team-1-win]]+ScenarioStat5[[#This Row],[team-2-win]]</f>
        <v>1</v>
      </c>
    </row>
    <row r="188" spans="1:7" x14ac:dyDescent="0.25">
      <c r="A188" t="s">
        <v>56</v>
      </c>
      <c r="B188" t="s">
        <v>33</v>
      </c>
      <c r="C188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88" t="s">
        <v>48</v>
      </c>
      <c r="E188" t="s">
        <v>63</v>
      </c>
      <c r="F188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88">
        <f>ScenarioStat5[[#This Row],[team-1-win]]+ScenarioStat5[[#This Row],[team-2-win]]</f>
        <v>1</v>
      </c>
    </row>
    <row r="189" spans="1:7" x14ac:dyDescent="0.25">
      <c r="A189" t="s">
        <v>56</v>
      </c>
      <c r="B189" t="s">
        <v>33</v>
      </c>
      <c r="C18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189" t="s">
        <v>48</v>
      </c>
      <c r="E189" t="s">
        <v>38</v>
      </c>
      <c r="F18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189">
        <f>ScenarioStat5[[#This Row],[team-1-win]]+ScenarioStat5[[#This Row],[team-2-win]]</f>
        <v>1</v>
      </c>
    </row>
    <row r="190" spans="1:7" x14ac:dyDescent="0.25">
      <c r="A190" t="s">
        <v>56</v>
      </c>
      <c r="B190" t="s">
        <v>33</v>
      </c>
      <c r="C190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90" t="s">
        <v>48</v>
      </c>
      <c r="E190" t="s">
        <v>227</v>
      </c>
      <c r="F190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90">
        <f>ScenarioStat5[[#This Row],[team-1-win]]+ScenarioStat5[[#This Row],[team-2-win]]</f>
        <v>1</v>
      </c>
    </row>
    <row r="191" spans="1:7" x14ac:dyDescent="0.25">
      <c r="A191" t="s">
        <v>56</v>
      </c>
      <c r="B191" t="s">
        <v>33</v>
      </c>
      <c r="C191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91" t="s">
        <v>43</v>
      </c>
      <c r="E191" t="s">
        <v>45</v>
      </c>
      <c r="F191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91">
        <f>ScenarioStat5[[#This Row],[team-1-win]]+ScenarioStat5[[#This Row],[team-2-win]]</f>
        <v>1</v>
      </c>
    </row>
    <row r="192" spans="1:7" x14ac:dyDescent="0.25">
      <c r="A192" t="s">
        <v>56</v>
      </c>
      <c r="B192" t="s">
        <v>33</v>
      </c>
      <c r="C192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92" t="s">
        <v>43</v>
      </c>
      <c r="E192" t="s">
        <v>63</v>
      </c>
      <c r="F192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92">
        <f>ScenarioStat5[[#This Row],[team-1-win]]+ScenarioStat5[[#This Row],[team-2-win]]</f>
        <v>1</v>
      </c>
    </row>
    <row r="193" spans="1:7" x14ac:dyDescent="0.25">
      <c r="A193" t="s">
        <v>56</v>
      </c>
      <c r="B193" t="s">
        <v>33</v>
      </c>
      <c r="C193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93" t="s">
        <v>43</v>
      </c>
      <c r="E193" t="s">
        <v>38</v>
      </c>
      <c r="F193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93">
        <f>ScenarioStat5[[#This Row],[team-1-win]]+ScenarioStat5[[#This Row],[team-2-win]]</f>
        <v>1</v>
      </c>
    </row>
    <row r="194" spans="1:7" x14ac:dyDescent="0.25">
      <c r="A194" t="s">
        <v>56</v>
      </c>
      <c r="B194" t="s">
        <v>33</v>
      </c>
      <c r="C194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94" t="s">
        <v>43</v>
      </c>
      <c r="E194" t="s">
        <v>227</v>
      </c>
      <c r="F194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94">
        <f>ScenarioStat5[[#This Row],[team-1-win]]+ScenarioStat5[[#This Row],[team-2-win]]</f>
        <v>1</v>
      </c>
    </row>
    <row r="195" spans="1:7" x14ac:dyDescent="0.25">
      <c r="A195" t="s">
        <v>56</v>
      </c>
      <c r="B195" t="s">
        <v>33</v>
      </c>
      <c r="C195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95" t="s">
        <v>45</v>
      </c>
      <c r="E195" t="s">
        <v>63</v>
      </c>
      <c r="F195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95">
        <f>ScenarioStat5[[#This Row],[team-1-win]]+ScenarioStat5[[#This Row],[team-2-win]]</f>
        <v>1</v>
      </c>
    </row>
    <row r="196" spans="1:7" x14ac:dyDescent="0.25">
      <c r="A196" t="s">
        <v>56</v>
      </c>
      <c r="B196" t="s">
        <v>33</v>
      </c>
      <c r="C196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96" t="s">
        <v>45</v>
      </c>
      <c r="E196" t="s">
        <v>38</v>
      </c>
      <c r="F196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96">
        <f>ScenarioStat5[[#This Row],[team-1-win]]+ScenarioStat5[[#This Row],[team-2-win]]</f>
        <v>1</v>
      </c>
    </row>
    <row r="197" spans="1:7" x14ac:dyDescent="0.25">
      <c r="A197" t="s">
        <v>56</v>
      </c>
      <c r="B197" t="s">
        <v>33</v>
      </c>
      <c r="C197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97" t="s">
        <v>45</v>
      </c>
      <c r="E197" t="s">
        <v>227</v>
      </c>
      <c r="F197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97">
        <f>ScenarioStat5[[#This Row],[team-1-win]]+ScenarioStat5[[#This Row],[team-2-win]]</f>
        <v>1</v>
      </c>
    </row>
    <row r="198" spans="1:7" x14ac:dyDescent="0.25">
      <c r="A198" t="s">
        <v>56</v>
      </c>
      <c r="B198" t="s">
        <v>33</v>
      </c>
      <c r="C198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98" t="s">
        <v>63</v>
      </c>
      <c r="E198" t="s">
        <v>38</v>
      </c>
      <c r="F198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98">
        <f>ScenarioStat5[[#This Row],[team-1-win]]+ScenarioStat5[[#This Row],[team-2-win]]</f>
        <v>1</v>
      </c>
    </row>
    <row r="199" spans="1:7" x14ac:dyDescent="0.25">
      <c r="A199" t="s">
        <v>56</v>
      </c>
      <c r="B199" t="s">
        <v>33</v>
      </c>
      <c r="C199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199" t="s">
        <v>63</v>
      </c>
      <c r="E199" t="s">
        <v>227</v>
      </c>
      <c r="F199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199">
        <f>ScenarioStat5[[#This Row],[team-1-win]]+ScenarioStat5[[#This Row],[team-2-win]]</f>
        <v>1</v>
      </c>
    </row>
    <row r="200" spans="1:7" x14ac:dyDescent="0.25">
      <c r="A200" t="s">
        <v>56</v>
      </c>
      <c r="B200" t="s">
        <v>33</v>
      </c>
      <c r="C200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00" t="s">
        <v>38</v>
      </c>
      <c r="E200" t="s">
        <v>227</v>
      </c>
      <c r="F200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00">
        <f>ScenarioStat5[[#This Row],[team-1-win]]+ScenarioStat5[[#This Row],[team-2-win]]</f>
        <v>1</v>
      </c>
    </row>
    <row r="201" spans="1:7" x14ac:dyDescent="0.25">
      <c r="A201" t="s">
        <v>56</v>
      </c>
      <c r="B201" t="s">
        <v>43</v>
      </c>
      <c r="C20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01" t="s">
        <v>48</v>
      </c>
      <c r="E201" t="s">
        <v>33</v>
      </c>
      <c r="F20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01">
        <f>ScenarioStat5[[#This Row],[team-1-win]]+ScenarioStat5[[#This Row],[team-2-win]]</f>
        <v>1</v>
      </c>
    </row>
    <row r="202" spans="1:7" x14ac:dyDescent="0.25">
      <c r="A202" t="s">
        <v>56</v>
      </c>
      <c r="B202" t="s">
        <v>43</v>
      </c>
      <c r="C202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02" t="s">
        <v>48</v>
      </c>
      <c r="E202" t="s">
        <v>45</v>
      </c>
      <c r="F202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02">
        <f>ScenarioStat5[[#This Row],[team-1-win]]+ScenarioStat5[[#This Row],[team-2-win]]</f>
        <v>1</v>
      </c>
    </row>
    <row r="203" spans="1:7" x14ac:dyDescent="0.25">
      <c r="A203" t="s">
        <v>56</v>
      </c>
      <c r="B203" t="s">
        <v>43</v>
      </c>
      <c r="C20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03" t="s">
        <v>48</v>
      </c>
      <c r="E203" t="s">
        <v>63</v>
      </c>
      <c r="F20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03">
        <f>ScenarioStat5[[#This Row],[team-1-win]]+ScenarioStat5[[#This Row],[team-2-win]]</f>
        <v>1</v>
      </c>
    </row>
    <row r="204" spans="1:7" x14ac:dyDescent="0.25">
      <c r="A204" t="s">
        <v>56</v>
      </c>
      <c r="B204" t="s">
        <v>43</v>
      </c>
      <c r="C20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04" t="s">
        <v>48</v>
      </c>
      <c r="E204" t="s">
        <v>38</v>
      </c>
      <c r="F20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04">
        <f>ScenarioStat5[[#This Row],[team-1-win]]+ScenarioStat5[[#This Row],[team-2-win]]</f>
        <v>1</v>
      </c>
    </row>
    <row r="205" spans="1:7" x14ac:dyDescent="0.25">
      <c r="A205" t="s">
        <v>56</v>
      </c>
      <c r="B205" t="s">
        <v>43</v>
      </c>
      <c r="C205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05" t="s">
        <v>48</v>
      </c>
      <c r="E205" t="s">
        <v>227</v>
      </c>
      <c r="F205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05">
        <f>ScenarioStat5[[#This Row],[team-1-win]]+ScenarioStat5[[#This Row],[team-2-win]]</f>
        <v>1</v>
      </c>
    </row>
    <row r="206" spans="1:7" x14ac:dyDescent="0.25">
      <c r="A206" t="s">
        <v>56</v>
      </c>
      <c r="B206" t="s">
        <v>43</v>
      </c>
      <c r="C206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06" t="s">
        <v>33</v>
      </c>
      <c r="E206" t="s">
        <v>45</v>
      </c>
      <c r="F206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06">
        <f>ScenarioStat5[[#This Row],[team-1-win]]+ScenarioStat5[[#This Row],[team-2-win]]</f>
        <v>1</v>
      </c>
    </row>
    <row r="207" spans="1:7" x14ac:dyDescent="0.25">
      <c r="A207" t="s">
        <v>56</v>
      </c>
      <c r="B207" t="s">
        <v>43</v>
      </c>
      <c r="C207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07" t="s">
        <v>33</v>
      </c>
      <c r="E207" t="s">
        <v>63</v>
      </c>
      <c r="F207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07">
        <f>ScenarioStat5[[#This Row],[team-1-win]]+ScenarioStat5[[#This Row],[team-2-win]]</f>
        <v>1</v>
      </c>
    </row>
    <row r="208" spans="1:7" x14ac:dyDescent="0.25">
      <c r="A208" t="s">
        <v>56</v>
      </c>
      <c r="B208" t="s">
        <v>43</v>
      </c>
      <c r="C208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08" t="s">
        <v>33</v>
      </c>
      <c r="E208" t="s">
        <v>38</v>
      </c>
      <c r="F208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08">
        <f>ScenarioStat5[[#This Row],[team-1-win]]+ScenarioStat5[[#This Row],[team-2-win]]</f>
        <v>1</v>
      </c>
    </row>
    <row r="209" spans="1:7" x14ac:dyDescent="0.25">
      <c r="A209" t="s">
        <v>56</v>
      </c>
      <c r="B209" t="s">
        <v>43</v>
      </c>
      <c r="C20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09" t="s">
        <v>33</v>
      </c>
      <c r="E209" t="s">
        <v>227</v>
      </c>
      <c r="F20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09">
        <f>ScenarioStat5[[#This Row],[team-1-win]]+ScenarioStat5[[#This Row],[team-2-win]]</f>
        <v>1</v>
      </c>
    </row>
    <row r="210" spans="1:7" x14ac:dyDescent="0.25">
      <c r="A210" t="s">
        <v>56</v>
      </c>
      <c r="B210" t="s">
        <v>43</v>
      </c>
      <c r="C210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10" t="s">
        <v>45</v>
      </c>
      <c r="E210" t="s">
        <v>63</v>
      </c>
      <c r="F210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10">
        <f>ScenarioStat5[[#This Row],[team-1-win]]+ScenarioStat5[[#This Row],[team-2-win]]</f>
        <v>1</v>
      </c>
    </row>
    <row r="211" spans="1:7" x14ac:dyDescent="0.25">
      <c r="A211" t="s">
        <v>56</v>
      </c>
      <c r="B211" t="s">
        <v>43</v>
      </c>
      <c r="C21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11" t="s">
        <v>45</v>
      </c>
      <c r="E211" t="s">
        <v>38</v>
      </c>
      <c r="F21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11">
        <f>ScenarioStat5[[#This Row],[team-1-win]]+ScenarioStat5[[#This Row],[team-2-win]]</f>
        <v>1</v>
      </c>
    </row>
    <row r="212" spans="1:7" x14ac:dyDescent="0.25">
      <c r="A212" t="s">
        <v>56</v>
      </c>
      <c r="B212" t="s">
        <v>43</v>
      </c>
      <c r="C212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12" t="s">
        <v>45</v>
      </c>
      <c r="E212" t="s">
        <v>227</v>
      </c>
      <c r="F212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12">
        <f>ScenarioStat5[[#This Row],[team-1-win]]+ScenarioStat5[[#This Row],[team-2-win]]</f>
        <v>1</v>
      </c>
    </row>
    <row r="213" spans="1:7" x14ac:dyDescent="0.25">
      <c r="A213" t="s">
        <v>56</v>
      </c>
      <c r="B213" t="s">
        <v>43</v>
      </c>
      <c r="C21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13" t="s">
        <v>63</v>
      </c>
      <c r="E213" t="s">
        <v>38</v>
      </c>
      <c r="F21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13">
        <f>ScenarioStat5[[#This Row],[team-1-win]]+ScenarioStat5[[#This Row],[team-2-win]]</f>
        <v>1</v>
      </c>
    </row>
    <row r="214" spans="1:7" x14ac:dyDescent="0.25">
      <c r="A214" t="s">
        <v>56</v>
      </c>
      <c r="B214" t="s">
        <v>43</v>
      </c>
      <c r="C21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14" t="s">
        <v>63</v>
      </c>
      <c r="E214" t="s">
        <v>227</v>
      </c>
      <c r="F21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14">
        <f>ScenarioStat5[[#This Row],[team-1-win]]+ScenarioStat5[[#This Row],[team-2-win]]</f>
        <v>1</v>
      </c>
    </row>
    <row r="215" spans="1:7" x14ac:dyDescent="0.25">
      <c r="A215" t="s">
        <v>56</v>
      </c>
      <c r="B215" t="s">
        <v>43</v>
      </c>
      <c r="C215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15" t="s">
        <v>38</v>
      </c>
      <c r="E215" t="s">
        <v>227</v>
      </c>
      <c r="F215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15">
        <f>ScenarioStat5[[#This Row],[team-1-win]]+ScenarioStat5[[#This Row],[team-2-win]]</f>
        <v>1</v>
      </c>
    </row>
    <row r="216" spans="1:7" x14ac:dyDescent="0.25">
      <c r="A216" t="s">
        <v>56</v>
      </c>
      <c r="B216" t="s">
        <v>45</v>
      </c>
      <c r="C216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16" t="s">
        <v>48</v>
      </c>
      <c r="E216" t="s">
        <v>33</v>
      </c>
      <c r="F216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16">
        <f>ScenarioStat5[[#This Row],[team-1-win]]+ScenarioStat5[[#This Row],[team-2-win]]</f>
        <v>1</v>
      </c>
    </row>
    <row r="217" spans="1:7" x14ac:dyDescent="0.25">
      <c r="A217" t="s">
        <v>56</v>
      </c>
      <c r="B217" t="s">
        <v>45</v>
      </c>
      <c r="C217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17" t="s">
        <v>48</v>
      </c>
      <c r="E217" t="s">
        <v>43</v>
      </c>
      <c r="F217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17">
        <f>ScenarioStat5[[#This Row],[team-1-win]]+ScenarioStat5[[#This Row],[team-2-win]]</f>
        <v>1</v>
      </c>
    </row>
    <row r="218" spans="1:7" x14ac:dyDescent="0.25">
      <c r="A218" t="s">
        <v>56</v>
      </c>
      <c r="B218" t="s">
        <v>45</v>
      </c>
      <c r="C218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18" t="s">
        <v>48</v>
      </c>
      <c r="E218" t="s">
        <v>63</v>
      </c>
      <c r="F218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18">
        <f>ScenarioStat5[[#This Row],[team-1-win]]+ScenarioStat5[[#This Row],[team-2-win]]</f>
        <v>1</v>
      </c>
    </row>
    <row r="219" spans="1:7" x14ac:dyDescent="0.25">
      <c r="A219" t="s">
        <v>56</v>
      </c>
      <c r="B219" t="s">
        <v>45</v>
      </c>
      <c r="C219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19" t="s">
        <v>48</v>
      </c>
      <c r="E219" t="s">
        <v>38</v>
      </c>
      <c r="F219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19">
        <f>ScenarioStat5[[#This Row],[team-1-win]]+ScenarioStat5[[#This Row],[team-2-win]]</f>
        <v>1</v>
      </c>
    </row>
    <row r="220" spans="1:7" x14ac:dyDescent="0.25">
      <c r="A220" t="s">
        <v>56</v>
      </c>
      <c r="B220" t="s">
        <v>45</v>
      </c>
      <c r="C220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20" t="s">
        <v>48</v>
      </c>
      <c r="E220" t="s">
        <v>227</v>
      </c>
      <c r="F220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20">
        <f>ScenarioStat5[[#This Row],[team-1-win]]+ScenarioStat5[[#This Row],[team-2-win]]</f>
        <v>1</v>
      </c>
    </row>
    <row r="221" spans="1:7" x14ac:dyDescent="0.25">
      <c r="A221" t="s">
        <v>56</v>
      </c>
      <c r="B221" t="s">
        <v>45</v>
      </c>
      <c r="C22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21" t="s">
        <v>33</v>
      </c>
      <c r="E221" t="s">
        <v>43</v>
      </c>
      <c r="F22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21">
        <f>ScenarioStat5[[#This Row],[team-1-win]]+ScenarioStat5[[#This Row],[team-2-win]]</f>
        <v>1</v>
      </c>
    </row>
    <row r="222" spans="1:7" x14ac:dyDescent="0.25">
      <c r="A222" t="s">
        <v>56</v>
      </c>
      <c r="B222" t="s">
        <v>45</v>
      </c>
      <c r="C222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22" t="s">
        <v>33</v>
      </c>
      <c r="E222" t="s">
        <v>63</v>
      </c>
      <c r="F222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22">
        <f>ScenarioStat5[[#This Row],[team-1-win]]+ScenarioStat5[[#This Row],[team-2-win]]</f>
        <v>1</v>
      </c>
    </row>
    <row r="223" spans="1:7" x14ac:dyDescent="0.25">
      <c r="A223" t="s">
        <v>56</v>
      </c>
      <c r="B223" t="s">
        <v>45</v>
      </c>
      <c r="C223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23" t="s">
        <v>33</v>
      </c>
      <c r="E223" t="s">
        <v>38</v>
      </c>
      <c r="F223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23">
        <f>ScenarioStat5[[#This Row],[team-1-win]]+ScenarioStat5[[#This Row],[team-2-win]]</f>
        <v>1</v>
      </c>
    </row>
    <row r="224" spans="1:7" x14ac:dyDescent="0.25">
      <c r="A224" t="s">
        <v>56</v>
      </c>
      <c r="B224" t="s">
        <v>45</v>
      </c>
      <c r="C224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24" t="s">
        <v>33</v>
      </c>
      <c r="E224" t="s">
        <v>227</v>
      </c>
      <c r="F224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24">
        <f>ScenarioStat5[[#This Row],[team-1-win]]+ScenarioStat5[[#This Row],[team-2-win]]</f>
        <v>1</v>
      </c>
    </row>
    <row r="225" spans="1:7" x14ac:dyDescent="0.25">
      <c r="A225" t="s">
        <v>56</v>
      </c>
      <c r="B225" t="s">
        <v>45</v>
      </c>
      <c r="C225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25" t="s">
        <v>43</v>
      </c>
      <c r="E225" t="s">
        <v>63</v>
      </c>
      <c r="F225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25">
        <f>ScenarioStat5[[#This Row],[team-1-win]]+ScenarioStat5[[#This Row],[team-2-win]]</f>
        <v>1</v>
      </c>
    </row>
    <row r="226" spans="1:7" x14ac:dyDescent="0.25">
      <c r="A226" t="s">
        <v>56</v>
      </c>
      <c r="B226" t="s">
        <v>45</v>
      </c>
      <c r="C226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26" t="s">
        <v>43</v>
      </c>
      <c r="E226" t="s">
        <v>38</v>
      </c>
      <c r="F226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26">
        <f>ScenarioStat5[[#This Row],[team-1-win]]+ScenarioStat5[[#This Row],[team-2-win]]</f>
        <v>1</v>
      </c>
    </row>
    <row r="227" spans="1:7" x14ac:dyDescent="0.25">
      <c r="A227" t="s">
        <v>56</v>
      </c>
      <c r="B227" t="s">
        <v>45</v>
      </c>
      <c r="C227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27" t="s">
        <v>43</v>
      </c>
      <c r="E227" t="s">
        <v>227</v>
      </c>
      <c r="F227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27">
        <f>ScenarioStat5[[#This Row],[team-1-win]]+ScenarioStat5[[#This Row],[team-2-win]]</f>
        <v>1</v>
      </c>
    </row>
    <row r="228" spans="1:7" x14ac:dyDescent="0.25">
      <c r="A228" t="s">
        <v>56</v>
      </c>
      <c r="B228" t="s">
        <v>45</v>
      </c>
      <c r="C228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28" t="s">
        <v>63</v>
      </c>
      <c r="E228" t="s">
        <v>38</v>
      </c>
      <c r="F228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28">
        <f>ScenarioStat5[[#This Row],[team-1-win]]+ScenarioStat5[[#This Row],[team-2-win]]</f>
        <v>1</v>
      </c>
    </row>
    <row r="229" spans="1:7" x14ac:dyDescent="0.25">
      <c r="A229" t="s">
        <v>56</v>
      </c>
      <c r="B229" t="s">
        <v>45</v>
      </c>
      <c r="C22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29" t="s">
        <v>63</v>
      </c>
      <c r="E229" t="s">
        <v>227</v>
      </c>
      <c r="F22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29">
        <f>ScenarioStat5[[#This Row],[team-1-win]]+ScenarioStat5[[#This Row],[team-2-win]]</f>
        <v>1</v>
      </c>
    </row>
    <row r="230" spans="1:7" x14ac:dyDescent="0.25">
      <c r="A230" t="s">
        <v>56</v>
      </c>
      <c r="B230" t="s">
        <v>45</v>
      </c>
      <c r="C230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30" t="s">
        <v>38</v>
      </c>
      <c r="E230" t="s">
        <v>227</v>
      </c>
      <c r="F230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30">
        <f>ScenarioStat5[[#This Row],[team-1-win]]+ScenarioStat5[[#This Row],[team-2-win]]</f>
        <v>1</v>
      </c>
    </row>
    <row r="231" spans="1:7" x14ac:dyDescent="0.25">
      <c r="A231" t="s">
        <v>56</v>
      </c>
      <c r="B231" t="s">
        <v>63</v>
      </c>
      <c r="C23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31" t="s">
        <v>48</v>
      </c>
      <c r="E231" t="s">
        <v>33</v>
      </c>
      <c r="F23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31">
        <f>ScenarioStat5[[#This Row],[team-1-win]]+ScenarioStat5[[#This Row],[team-2-win]]</f>
        <v>1</v>
      </c>
    </row>
    <row r="232" spans="1:7" x14ac:dyDescent="0.25">
      <c r="A232" t="s">
        <v>56</v>
      </c>
      <c r="B232" t="s">
        <v>63</v>
      </c>
      <c r="C232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32" t="s">
        <v>48</v>
      </c>
      <c r="E232" t="s">
        <v>43</v>
      </c>
      <c r="F232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32">
        <f>ScenarioStat5[[#This Row],[team-1-win]]+ScenarioStat5[[#This Row],[team-2-win]]</f>
        <v>1</v>
      </c>
    </row>
    <row r="233" spans="1:7" x14ac:dyDescent="0.25">
      <c r="A233" t="s">
        <v>56</v>
      </c>
      <c r="B233" t="s">
        <v>63</v>
      </c>
      <c r="C23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33" t="s">
        <v>48</v>
      </c>
      <c r="E233" t="s">
        <v>45</v>
      </c>
      <c r="F23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33">
        <f>ScenarioStat5[[#This Row],[team-1-win]]+ScenarioStat5[[#This Row],[team-2-win]]</f>
        <v>1</v>
      </c>
    </row>
    <row r="234" spans="1:7" x14ac:dyDescent="0.25">
      <c r="A234" t="s">
        <v>56</v>
      </c>
      <c r="B234" t="s">
        <v>63</v>
      </c>
      <c r="C23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34" t="s">
        <v>48</v>
      </c>
      <c r="E234" t="s">
        <v>38</v>
      </c>
      <c r="F23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34">
        <f>ScenarioStat5[[#This Row],[team-1-win]]+ScenarioStat5[[#This Row],[team-2-win]]</f>
        <v>1</v>
      </c>
    </row>
    <row r="235" spans="1:7" x14ac:dyDescent="0.25">
      <c r="A235" t="s">
        <v>56</v>
      </c>
      <c r="B235" t="s">
        <v>63</v>
      </c>
      <c r="C235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35" t="s">
        <v>48</v>
      </c>
      <c r="E235" t="s">
        <v>227</v>
      </c>
      <c r="F235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35">
        <f>ScenarioStat5[[#This Row],[team-1-win]]+ScenarioStat5[[#This Row],[team-2-win]]</f>
        <v>1</v>
      </c>
    </row>
    <row r="236" spans="1:7" x14ac:dyDescent="0.25">
      <c r="A236" t="s">
        <v>56</v>
      </c>
      <c r="B236" t="s">
        <v>63</v>
      </c>
      <c r="C236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36" t="s">
        <v>33</v>
      </c>
      <c r="E236" t="s">
        <v>43</v>
      </c>
      <c r="F236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36">
        <f>ScenarioStat5[[#This Row],[team-1-win]]+ScenarioStat5[[#This Row],[team-2-win]]</f>
        <v>1</v>
      </c>
    </row>
    <row r="237" spans="1:7" x14ac:dyDescent="0.25">
      <c r="A237" t="s">
        <v>56</v>
      </c>
      <c r="B237" t="s">
        <v>63</v>
      </c>
      <c r="C237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37" t="s">
        <v>33</v>
      </c>
      <c r="E237" t="s">
        <v>45</v>
      </c>
      <c r="F237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37">
        <f>ScenarioStat5[[#This Row],[team-1-win]]+ScenarioStat5[[#This Row],[team-2-win]]</f>
        <v>1</v>
      </c>
    </row>
    <row r="238" spans="1:7" x14ac:dyDescent="0.25">
      <c r="A238" t="s">
        <v>56</v>
      </c>
      <c r="B238" t="s">
        <v>63</v>
      </c>
      <c r="C238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38" t="s">
        <v>33</v>
      </c>
      <c r="E238" t="s">
        <v>38</v>
      </c>
      <c r="F238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38">
        <f>ScenarioStat5[[#This Row],[team-1-win]]+ScenarioStat5[[#This Row],[team-2-win]]</f>
        <v>1</v>
      </c>
    </row>
    <row r="239" spans="1:7" x14ac:dyDescent="0.25">
      <c r="A239" t="s">
        <v>56</v>
      </c>
      <c r="B239" t="s">
        <v>63</v>
      </c>
      <c r="C23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39" t="s">
        <v>33</v>
      </c>
      <c r="E239" t="s">
        <v>227</v>
      </c>
      <c r="F23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39">
        <f>ScenarioStat5[[#This Row],[team-1-win]]+ScenarioStat5[[#This Row],[team-2-win]]</f>
        <v>1</v>
      </c>
    </row>
    <row r="240" spans="1:7" x14ac:dyDescent="0.25">
      <c r="A240" t="s">
        <v>56</v>
      </c>
      <c r="B240" t="s">
        <v>63</v>
      </c>
      <c r="C240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40" t="s">
        <v>43</v>
      </c>
      <c r="E240" t="s">
        <v>45</v>
      </c>
      <c r="F240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40">
        <f>ScenarioStat5[[#This Row],[team-1-win]]+ScenarioStat5[[#This Row],[team-2-win]]</f>
        <v>1</v>
      </c>
    </row>
    <row r="241" spans="1:7" x14ac:dyDescent="0.25">
      <c r="A241" t="s">
        <v>56</v>
      </c>
      <c r="B241" t="s">
        <v>63</v>
      </c>
      <c r="C24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41" t="s">
        <v>43</v>
      </c>
      <c r="E241" t="s">
        <v>38</v>
      </c>
      <c r="F24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41">
        <f>ScenarioStat5[[#This Row],[team-1-win]]+ScenarioStat5[[#This Row],[team-2-win]]</f>
        <v>1</v>
      </c>
    </row>
    <row r="242" spans="1:7" x14ac:dyDescent="0.25">
      <c r="A242" t="s">
        <v>56</v>
      </c>
      <c r="B242" t="s">
        <v>63</v>
      </c>
      <c r="C242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42" t="s">
        <v>43</v>
      </c>
      <c r="E242" t="s">
        <v>227</v>
      </c>
      <c r="F242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42">
        <f>ScenarioStat5[[#This Row],[team-1-win]]+ScenarioStat5[[#This Row],[team-2-win]]</f>
        <v>1</v>
      </c>
    </row>
    <row r="243" spans="1:7" x14ac:dyDescent="0.25">
      <c r="A243" t="s">
        <v>56</v>
      </c>
      <c r="B243" t="s">
        <v>63</v>
      </c>
      <c r="C24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43" t="s">
        <v>45</v>
      </c>
      <c r="E243" t="s">
        <v>38</v>
      </c>
      <c r="F24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43">
        <f>ScenarioStat5[[#This Row],[team-1-win]]+ScenarioStat5[[#This Row],[team-2-win]]</f>
        <v>1</v>
      </c>
    </row>
    <row r="244" spans="1:7" x14ac:dyDescent="0.25">
      <c r="A244" t="s">
        <v>56</v>
      </c>
      <c r="B244" t="s">
        <v>63</v>
      </c>
      <c r="C244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44" t="s">
        <v>45</v>
      </c>
      <c r="E244" t="s">
        <v>227</v>
      </c>
      <c r="F244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44">
        <f>ScenarioStat5[[#This Row],[team-1-win]]+ScenarioStat5[[#This Row],[team-2-win]]</f>
        <v>1</v>
      </c>
    </row>
    <row r="245" spans="1:7" x14ac:dyDescent="0.25">
      <c r="A245" t="s">
        <v>56</v>
      </c>
      <c r="B245" t="s">
        <v>63</v>
      </c>
      <c r="C245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45" t="s">
        <v>38</v>
      </c>
      <c r="E245" t="s">
        <v>227</v>
      </c>
      <c r="F245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45">
        <f>ScenarioStat5[[#This Row],[team-1-win]]+ScenarioStat5[[#This Row],[team-2-win]]</f>
        <v>1</v>
      </c>
    </row>
    <row r="246" spans="1:7" x14ac:dyDescent="0.25">
      <c r="A246" t="s">
        <v>56</v>
      </c>
      <c r="B246" t="s">
        <v>38</v>
      </c>
      <c r="C246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46" t="s">
        <v>48</v>
      </c>
      <c r="E246" t="s">
        <v>33</v>
      </c>
      <c r="F246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46">
        <f>ScenarioStat5[[#This Row],[team-1-win]]+ScenarioStat5[[#This Row],[team-2-win]]</f>
        <v>1</v>
      </c>
    </row>
    <row r="247" spans="1:7" x14ac:dyDescent="0.25">
      <c r="A247" t="s">
        <v>56</v>
      </c>
      <c r="B247" t="s">
        <v>38</v>
      </c>
      <c r="C247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47" t="s">
        <v>48</v>
      </c>
      <c r="E247" t="s">
        <v>43</v>
      </c>
      <c r="F247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47">
        <f>ScenarioStat5[[#This Row],[team-1-win]]+ScenarioStat5[[#This Row],[team-2-win]]</f>
        <v>1</v>
      </c>
    </row>
    <row r="248" spans="1:7" x14ac:dyDescent="0.25">
      <c r="A248" t="s">
        <v>56</v>
      </c>
      <c r="B248" t="s">
        <v>38</v>
      </c>
      <c r="C248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48" t="s">
        <v>48</v>
      </c>
      <c r="E248" t="s">
        <v>45</v>
      </c>
      <c r="F248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48">
        <f>ScenarioStat5[[#This Row],[team-1-win]]+ScenarioStat5[[#This Row],[team-2-win]]</f>
        <v>1</v>
      </c>
    </row>
    <row r="249" spans="1:7" x14ac:dyDescent="0.25">
      <c r="A249" t="s">
        <v>56</v>
      </c>
      <c r="B249" t="s">
        <v>38</v>
      </c>
      <c r="C249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49" t="s">
        <v>48</v>
      </c>
      <c r="E249" t="s">
        <v>63</v>
      </c>
      <c r="F249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49">
        <f>ScenarioStat5[[#This Row],[team-1-win]]+ScenarioStat5[[#This Row],[team-2-win]]</f>
        <v>1</v>
      </c>
    </row>
    <row r="250" spans="1:7" x14ac:dyDescent="0.25">
      <c r="A250" t="s">
        <v>56</v>
      </c>
      <c r="B250" t="s">
        <v>38</v>
      </c>
      <c r="C250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50" t="s">
        <v>48</v>
      </c>
      <c r="E250" t="s">
        <v>227</v>
      </c>
      <c r="F250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50">
        <f>ScenarioStat5[[#This Row],[team-1-win]]+ScenarioStat5[[#This Row],[team-2-win]]</f>
        <v>1</v>
      </c>
    </row>
    <row r="251" spans="1:7" x14ac:dyDescent="0.25">
      <c r="A251" t="s">
        <v>56</v>
      </c>
      <c r="B251" t="s">
        <v>38</v>
      </c>
      <c r="C25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51" t="s">
        <v>33</v>
      </c>
      <c r="E251" t="s">
        <v>43</v>
      </c>
      <c r="F25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51">
        <f>ScenarioStat5[[#This Row],[team-1-win]]+ScenarioStat5[[#This Row],[team-2-win]]</f>
        <v>1</v>
      </c>
    </row>
    <row r="252" spans="1:7" x14ac:dyDescent="0.25">
      <c r="A252" t="s">
        <v>56</v>
      </c>
      <c r="B252" t="s">
        <v>38</v>
      </c>
      <c r="C252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52" t="s">
        <v>33</v>
      </c>
      <c r="E252" t="s">
        <v>45</v>
      </c>
      <c r="F252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52">
        <f>ScenarioStat5[[#This Row],[team-1-win]]+ScenarioStat5[[#This Row],[team-2-win]]</f>
        <v>1</v>
      </c>
    </row>
    <row r="253" spans="1:7" x14ac:dyDescent="0.25">
      <c r="A253" t="s">
        <v>56</v>
      </c>
      <c r="B253" t="s">
        <v>38</v>
      </c>
      <c r="C253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53" t="s">
        <v>33</v>
      </c>
      <c r="E253" t="s">
        <v>63</v>
      </c>
      <c r="F253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53">
        <f>ScenarioStat5[[#This Row],[team-1-win]]+ScenarioStat5[[#This Row],[team-2-win]]</f>
        <v>1</v>
      </c>
    </row>
    <row r="254" spans="1:7" x14ac:dyDescent="0.25">
      <c r="A254" t="s">
        <v>56</v>
      </c>
      <c r="B254" t="s">
        <v>38</v>
      </c>
      <c r="C25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54" t="s">
        <v>33</v>
      </c>
      <c r="E254" t="s">
        <v>227</v>
      </c>
      <c r="F25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54">
        <f>ScenarioStat5[[#This Row],[team-1-win]]+ScenarioStat5[[#This Row],[team-2-win]]</f>
        <v>1</v>
      </c>
    </row>
    <row r="255" spans="1:7" x14ac:dyDescent="0.25">
      <c r="A255" t="s">
        <v>56</v>
      </c>
      <c r="B255" t="s">
        <v>38</v>
      </c>
      <c r="C255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55" t="s">
        <v>43</v>
      </c>
      <c r="E255" t="s">
        <v>45</v>
      </c>
      <c r="F255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55">
        <f>ScenarioStat5[[#This Row],[team-1-win]]+ScenarioStat5[[#This Row],[team-2-win]]</f>
        <v>1</v>
      </c>
    </row>
    <row r="256" spans="1:7" x14ac:dyDescent="0.25">
      <c r="A256" t="s">
        <v>56</v>
      </c>
      <c r="B256" t="s">
        <v>38</v>
      </c>
      <c r="C256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56" t="s">
        <v>43</v>
      </c>
      <c r="E256" t="s">
        <v>63</v>
      </c>
      <c r="F256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56">
        <f>ScenarioStat5[[#This Row],[team-1-win]]+ScenarioStat5[[#This Row],[team-2-win]]</f>
        <v>1</v>
      </c>
    </row>
    <row r="257" spans="1:7" x14ac:dyDescent="0.25">
      <c r="A257" t="s">
        <v>56</v>
      </c>
      <c r="B257" t="s">
        <v>38</v>
      </c>
      <c r="C257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57" t="s">
        <v>43</v>
      </c>
      <c r="E257" t="s">
        <v>227</v>
      </c>
      <c r="F257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57">
        <f>ScenarioStat5[[#This Row],[team-1-win]]+ScenarioStat5[[#This Row],[team-2-win]]</f>
        <v>1</v>
      </c>
    </row>
    <row r="258" spans="1:7" x14ac:dyDescent="0.25">
      <c r="A258" t="s">
        <v>56</v>
      </c>
      <c r="B258" t="s">
        <v>38</v>
      </c>
      <c r="C258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58" t="s">
        <v>45</v>
      </c>
      <c r="E258" t="s">
        <v>63</v>
      </c>
      <c r="F258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58">
        <f>ScenarioStat5[[#This Row],[team-1-win]]+ScenarioStat5[[#This Row],[team-2-win]]</f>
        <v>1</v>
      </c>
    </row>
    <row r="259" spans="1:7" x14ac:dyDescent="0.25">
      <c r="A259" t="s">
        <v>56</v>
      </c>
      <c r="B259" t="s">
        <v>38</v>
      </c>
      <c r="C25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59" t="s">
        <v>45</v>
      </c>
      <c r="E259" t="s">
        <v>227</v>
      </c>
      <c r="F25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59">
        <f>ScenarioStat5[[#This Row],[team-1-win]]+ScenarioStat5[[#This Row],[team-2-win]]</f>
        <v>1</v>
      </c>
    </row>
    <row r="260" spans="1:7" x14ac:dyDescent="0.25">
      <c r="A260" t="s">
        <v>56</v>
      </c>
      <c r="B260" t="s">
        <v>38</v>
      </c>
      <c r="C260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60" t="s">
        <v>63</v>
      </c>
      <c r="E260" t="s">
        <v>227</v>
      </c>
      <c r="F260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60">
        <f>ScenarioStat5[[#This Row],[team-1-win]]+ScenarioStat5[[#This Row],[team-2-win]]</f>
        <v>1</v>
      </c>
    </row>
    <row r="261" spans="1:7" x14ac:dyDescent="0.25">
      <c r="A261" t="s">
        <v>56</v>
      </c>
      <c r="B261" t="s">
        <v>227</v>
      </c>
      <c r="C261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61" t="s">
        <v>48</v>
      </c>
      <c r="E261" t="s">
        <v>33</v>
      </c>
      <c r="F261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61">
        <f>ScenarioStat5[[#This Row],[team-1-win]]+ScenarioStat5[[#This Row],[team-2-win]]</f>
        <v>1</v>
      </c>
    </row>
    <row r="262" spans="1:7" x14ac:dyDescent="0.25">
      <c r="A262" t="s">
        <v>56</v>
      </c>
      <c r="B262" t="s">
        <v>227</v>
      </c>
      <c r="C262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62" t="s">
        <v>48</v>
      </c>
      <c r="E262" t="s">
        <v>43</v>
      </c>
      <c r="F262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62">
        <f>ScenarioStat5[[#This Row],[team-1-win]]+ScenarioStat5[[#This Row],[team-2-win]]</f>
        <v>1</v>
      </c>
    </row>
    <row r="263" spans="1:7" x14ac:dyDescent="0.25">
      <c r="A263" t="s">
        <v>56</v>
      </c>
      <c r="B263" t="s">
        <v>227</v>
      </c>
      <c r="C26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63" t="s">
        <v>48</v>
      </c>
      <c r="E263" t="s">
        <v>45</v>
      </c>
      <c r="F26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63">
        <f>ScenarioStat5[[#This Row],[team-1-win]]+ScenarioStat5[[#This Row],[team-2-win]]</f>
        <v>1</v>
      </c>
    </row>
    <row r="264" spans="1:7" x14ac:dyDescent="0.25">
      <c r="A264" t="s">
        <v>56</v>
      </c>
      <c r="B264" t="s">
        <v>227</v>
      </c>
      <c r="C26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64" t="s">
        <v>48</v>
      </c>
      <c r="E264" t="s">
        <v>63</v>
      </c>
      <c r="F26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64">
        <f>ScenarioStat5[[#This Row],[team-1-win]]+ScenarioStat5[[#This Row],[team-2-win]]</f>
        <v>1</v>
      </c>
    </row>
    <row r="265" spans="1:7" x14ac:dyDescent="0.25">
      <c r="A265" t="s">
        <v>56</v>
      </c>
      <c r="B265" t="s">
        <v>227</v>
      </c>
      <c r="C265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65" t="s">
        <v>48</v>
      </c>
      <c r="E265" t="s">
        <v>38</v>
      </c>
      <c r="F265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65">
        <f>ScenarioStat5[[#This Row],[team-1-win]]+ScenarioStat5[[#This Row],[team-2-win]]</f>
        <v>1</v>
      </c>
    </row>
    <row r="266" spans="1:7" x14ac:dyDescent="0.25">
      <c r="A266" t="s">
        <v>56</v>
      </c>
      <c r="B266" t="s">
        <v>227</v>
      </c>
      <c r="C266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66" t="s">
        <v>33</v>
      </c>
      <c r="E266" t="s">
        <v>43</v>
      </c>
      <c r="F266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66">
        <f>ScenarioStat5[[#This Row],[team-1-win]]+ScenarioStat5[[#This Row],[team-2-win]]</f>
        <v>1</v>
      </c>
    </row>
    <row r="267" spans="1:7" x14ac:dyDescent="0.25">
      <c r="A267" t="s">
        <v>56</v>
      </c>
      <c r="B267" t="s">
        <v>227</v>
      </c>
      <c r="C267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67" t="s">
        <v>33</v>
      </c>
      <c r="E267" t="s">
        <v>45</v>
      </c>
      <c r="F267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67">
        <f>ScenarioStat5[[#This Row],[team-1-win]]+ScenarioStat5[[#This Row],[team-2-win]]</f>
        <v>1</v>
      </c>
    </row>
    <row r="268" spans="1:7" x14ac:dyDescent="0.25">
      <c r="A268" t="s">
        <v>56</v>
      </c>
      <c r="B268" t="s">
        <v>227</v>
      </c>
      <c r="C268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68" t="s">
        <v>33</v>
      </c>
      <c r="E268" t="s">
        <v>63</v>
      </c>
      <c r="F268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68">
        <f>ScenarioStat5[[#This Row],[team-1-win]]+ScenarioStat5[[#This Row],[team-2-win]]</f>
        <v>1</v>
      </c>
    </row>
    <row r="269" spans="1:7" x14ac:dyDescent="0.25">
      <c r="A269" t="s">
        <v>56</v>
      </c>
      <c r="B269" t="s">
        <v>227</v>
      </c>
      <c r="C269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69" t="s">
        <v>33</v>
      </c>
      <c r="E269" t="s">
        <v>38</v>
      </c>
      <c r="F269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69">
        <f>ScenarioStat5[[#This Row],[team-1-win]]+ScenarioStat5[[#This Row],[team-2-win]]</f>
        <v>1</v>
      </c>
    </row>
    <row r="270" spans="1:7" x14ac:dyDescent="0.25">
      <c r="A270" t="s">
        <v>56</v>
      </c>
      <c r="B270" t="s">
        <v>227</v>
      </c>
      <c r="C270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70" t="s">
        <v>43</v>
      </c>
      <c r="E270" t="s">
        <v>45</v>
      </c>
      <c r="F270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70">
        <f>ScenarioStat5[[#This Row],[team-1-win]]+ScenarioStat5[[#This Row],[team-2-win]]</f>
        <v>1</v>
      </c>
    </row>
    <row r="271" spans="1:7" x14ac:dyDescent="0.25">
      <c r="A271" t="s">
        <v>56</v>
      </c>
      <c r="B271" t="s">
        <v>227</v>
      </c>
      <c r="C27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71" t="s">
        <v>43</v>
      </c>
      <c r="E271" t="s">
        <v>63</v>
      </c>
      <c r="F27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71">
        <f>ScenarioStat5[[#This Row],[team-1-win]]+ScenarioStat5[[#This Row],[team-2-win]]</f>
        <v>1</v>
      </c>
    </row>
    <row r="272" spans="1:7" x14ac:dyDescent="0.25">
      <c r="A272" t="s">
        <v>56</v>
      </c>
      <c r="B272" t="s">
        <v>227</v>
      </c>
      <c r="C272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72" t="s">
        <v>43</v>
      </c>
      <c r="E272" t="s">
        <v>38</v>
      </c>
      <c r="F272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72">
        <f>ScenarioStat5[[#This Row],[team-1-win]]+ScenarioStat5[[#This Row],[team-2-win]]</f>
        <v>1</v>
      </c>
    </row>
    <row r="273" spans="1:7" x14ac:dyDescent="0.25">
      <c r="A273" t="s">
        <v>56</v>
      </c>
      <c r="B273" t="s">
        <v>227</v>
      </c>
      <c r="C27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73" t="s">
        <v>45</v>
      </c>
      <c r="E273" t="s">
        <v>63</v>
      </c>
      <c r="F27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73">
        <f>ScenarioStat5[[#This Row],[team-1-win]]+ScenarioStat5[[#This Row],[team-2-win]]</f>
        <v>1</v>
      </c>
    </row>
    <row r="274" spans="1:7" x14ac:dyDescent="0.25">
      <c r="A274" t="s">
        <v>56</v>
      </c>
      <c r="B274" t="s">
        <v>227</v>
      </c>
      <c r="C27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74" t="s">
        <v>45</v>
      </c>
      <c r="E274" t="s">
        <v>38</v>
      </c>
      <c r="F27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74">
        <f>ScenarioStat5[[#This Row],[team-1-win]]+ScenarioStat5[[#This Row],[team-2-win]]</f>
        <v>1</v>
      </c>
    </row>
    <row r="275" spans="1:7" x14ac:dyDescent="0.25">
      <c r="A275" t="s">
        <v>56</v>
      </c>
      <c r="B275" t="s">
        <v>227</v>
      </c>
      <c r="C275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75" t="s">
        <v>63</v>
      </c>
      <c r="E275" t="s">
        <v>38</v>
      </c>
      <c r="F275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75">
        <f>ScenarioStat5[[#This Row],[team-1-win]]+ScenarioStat5[[#This Row],[team-2-win]]</f>
        <v>1</v>
      </c>
    </row>
    <row r="276" spans="1:7" x14ac:dyDescent="0.25">
      <c r="A276" t="s">
        <v>48</v>
      </c>
      <c r="B276" t="s">
        <v>33</v>
      </c>
      <c r="C276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76" t="s">
        <v>43</v>
      </c>
      <c r="E276" t="s">
        <v>45</v>
      </c>
      <c r="F276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76">
        <f>ScenarioStat5[[#This Row],[team-1-win]]+ScenarioStat5[[#This Row],[team-2-win]]</f>
        <v>1</v>
      </c>
    </row>
    <row r="277" spans="1:7" x14ac:dyDescent="0.25">
      <c r="A277" t="s">
        <v>48</v>
      </c>
      <c r="B277" t="s">
        <v>33</v>
      </c>
      <c r="C277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77" t="s">
        <v>43</v>
      </c>
      <c r="E277" t="s">
        <v>63</v>
      </c>
      <c r="F277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77">
        <f>ScenarioStat5[[#This Row],[team-1-win]]+ScenarioStat5[[#This Row],[team-2-win]]</f>
        <v>1</v>
      </c>
    </row>
    <row r="278" spans="1:7" x14ac:dyDescent="0.25">
      <c r="A278" t="s">
        <v>48</v>
      </c>
      <c r="B278" t="s">
        <v>33</v>
      </c>
      <c r="C278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78" t="s">
        <v>43</v>
      </c>
      <c r="E278" t="s">
        <v>38</v>
      </c>
      <c r="F278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78">
        <f>ScenarioStat5[[#This Row],[team-1-win]]+ScenarioStat5[[#This Row],[team-2-win]]</f>
        <v>1</v>
      </c>
    </row>
    <row r="279" spans="1:7" x14ac:dyDescent="0.25">
      <c r="A279" t="s">
        <v>48</v>
      </c>
      <c r="B279" t="s">
        <v>33</v>
      </c>
      <c r="C279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79" t="s">
        <v>43</v>
      </c>
      <c r="E279" t="s">
        <v>227</v>
      </c>
      <c r="F279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79">
        <f>ScenarioStat5[[#This Row],[team-1-win]]+ScenarioStat5[[#This Row],[team-2-win]]</f>
        <v>1</v>
      </c>
    </row>
    <row r="280" spans="1:7" x14ac:dyDescent="0.25">
      <c r="A280" t="s">
        <v>48</v>
      </c>
      <c r="B280" t="s">
        <v>33</v>
      </c>
      <c r="C280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80" t="s">
        <v>45</v>
      </c>
      <c r="E280" t="s">
        <v>63</v>
      </c>
      <c r="F280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80">
        <f>ScenarioStat5[[#This Row],[team-1-win]]+ScenarioStat5[[#This Row],[team-2-win]]</f>
        <v>1</v>
      </c>
    </row>
    <row r="281" spans="1:7" x14ac:dyDescent="0.25">
      <c r="A281" t="s">
        <v>48</v>
      </c>
      <c r="B281" t="s">
        <v>33</v>
      </c>
      <c r="C28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81" t="s">
        <v>45</v>
      </c>
      <c r="E281" t="s">
        <v>38</v>
      </c>
      <c r="F28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81">
        <f>ScenarioStat5[[#This Row],[team-1-win]]+ScenarioStat5[[#This Row],[team-2-win]]</f>
        <v>1</v>
      </c>
    </row>
    <row r="282" spans="1:7" x14ac:dyDescent="0.25">
      <c r="A282" t="s">
        <v>48</v>
      </c>
      <c r="B282" t="s">
        <v>33</v>
      </c>
      <c r="C282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82" t="s">
        <v>45</v>
      </c>
      <c r="E282" t="s">
        <v>227</v>
      </c>
      <c r="F282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82">
        <f>ScenarioStat5[[#This Row],[team-1-win]]+ScenarioStat5[[#This Row],[team-2-win]]</f>
        <v>1</v>
      </c>
    </row>
    <row r="283" spans="1:7" x14ac:dyDescent="0.25">
      <c r="A283" t="s">
        <v>48</v>
      </c>
      <c r="B283" t="s">
        <v>33</v>
      </c>
      <c r="C283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83" t="s">
        <v>63</v>
      </c>
      <c r="E283" t="s">
        <v>38</v>
      </c>
      <c r="F283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83">
        <f>ScenarioStat5[[#This Row],[team-1-win]]+ScenarioStat5[[#This Row],[team-2-win]]</f>
        <v>1</v>
      </c>
    </row>
    <row r="284" spans="1:7" x14ac:dyDescent="0.25">
      <c r="A284" t="s">
        <v>48</v>
      </c>
      <c r="B284" t="s">
        <v>33</v>
      </c>
      <c r="C28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84" t="s">
        <v>63</v>
      </c>
      <c r="E284" t="s">
        <v>227</v>
      </c>
      <c r="F28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84">
        <f>ScenarioStat5[[#This Row],[team-1-win]]+ScenarioStat5[[#This Row],[team-2-win]]</f>
        <v>1</v>
      </c>
    </row>
    <row r="285" spans="1:7" x14ac:dyDescent="0.25">
      <c r="A285" t="s">
        <v>48</v>
      </c>
      <c r="B285" t="s">
        <v>33</v>
      </c>
      <c r="C285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85" t="s">
        <v>38</v>
      </c>
      <c r="E285" t="s">
        <v>227</v>
      </c>
      <c r="F285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85">
        <f>ScenarioStat5[[#This Row],[team-1-win]]+ScenarioStat5[[#This Row],[team-2-win]]</f>
        <v>1</v>
      </c>
    </row>
    <row r="286" spans="1:7" x14ac:dyDescent="0.25">
      <c r="A286" t="s">
        <v>48</v>
      </c>
      <c r="B286" t="s">
        <v>43</v>
      </c>
      <c r="C286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86" t="s">
        <v>33</v>
      </c>
      <c r="E286" t="s">
        <v>45</v>
      </c>
      <c r="F286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86">
        <f>ScenarioStat5[[#This Row],[team-1-win]]+ScenarioStat5[[#This Row],[team-2-win]]</f>
        <v>1</v>
      </c>
    </row>
    <row r="287" spans="1:7" x14ac:dyDescent="0.25">
      <c r="A287" t="s">
        <v>48</v>
      </c>
      <c r="B287" t="s">
        <v>43</v>
      </c>
      <c r="C287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87" t="s">
        <v>33</v>
      </c>
      <c r="E287" t="s">
        <v>63</v>
      </c>
      <c r="F287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87">
        <f>ScenarioStat5[[#This Row],[team-1-win]]+ScenarioStat5[[#This Row],[team-2-win]]</f>
        <v>1</v>
      </c>
    </row>
    <row r="288" spans="1:7" x14ac:dyDescent="0.25">
      <c r="A288" t="s">
        <v>48</v>
      </c>
      <c r="B288" t="s">
        <v>43</v>
      </c>
      <c r="C288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88" t="s">
        <v>33</v>
      </c>
      <c r="E288" t="s">
        <v>38</v>
      </c>
      <c r="F288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88">
        <f>ScenarioStat5[[#This Row],[team-1-win]]+ScenarioStat5[[#This Row],[team-2-win]]</f>
        <v>1</v>
      </c>
    </row>
    <row r="289" spans="1:7" x14ac:dyDescent="0.25">
      <c r="A289" t="s">
        <v>48</v>
      </c>
      <c r="B289" t="s">
        <v>43</v>
      </c>
      <c r="C28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89" t="s">
        <v>33</v>
      </c>
      <c r="E289" t="s">
        <v>227</v>
      </c>
      <c r="F28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89">
        <f>ScenarioStat5[[#This Row],[team-1-win]]+ScenarioStat5[[#This Row],[team-2-win]]</f>
        <v>1</v>
      </c>
    </row>
    <row r="290" spans="1:7" x14ac:dyDescent="0.25">
      <c r="A290" t="s">
        <v>48</v>
      </c>
      <c r="B290" t="s">
        <v>43</v>
      </c>
      <c r="C290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90" t="s">
        <v>45</v>
      </c>
      <c r="E290" t="s">
        <v>63</v>
      </c>
      <c r="F290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90">
        <f>ScenarioStat5[[#This Row],[team-1-win]]+ScenarioStat5[[#This Row],[team-2-win]]</f>
        <v>1</v>
      </c>
    </row>
    <row r="291" spans="1:7" x14ac:dyDescent="0.25">
      <c r="A291" t="s">
        <v>48</v>
      </c>
      <c r="B291" t="s">
        <v>43</v>
      </c>
      <c r="C29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91" t="s">
        <v>45</v>
      </c>
      <c r="E291" t="s">
        <v>38</v>
      </c>
      <c r="F29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91">
        <f>ScenarioStat5[[#This Row],[team-1-win]]+ScenarioStat5[[#This Row],[team-2-win]]</f>
        <v>1</v>
      </c>
    </row>
    <row r="292" spans="1:7" x14ac:dyDescent="0.25">
      <c r="A292" t="s">
        <v>48</v>
      </c>
      <c r="B292" t="s">
        <v>43</v>
      </c>
      <c r="C292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292" t="s">
        <v>45</v>
      </c>
      <c r="E292" t="s">
        <v>227</v>
      </c>
      <c r="F292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292">
        <f>ScenarioStat5[[#This Row],[team-1-win]]+ScenarioStat5[[#This Row],[team-2-win]]</f>
        <v>1</v>
      </c>
    </row>
    <row r="293" spans="1:7" x14ac:dyDescent="0.25">
      <c r="A293" t="s">
        <v>48</v>
      </c>
      <c r="B293" t="s">
        <v>43</v>
      </c>
      <c r="C29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93" t="s">
        <v>63</v>
      </c>
      <c r="E293" t="s">
        <v>38</v>
      </c>
      <c r="F29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93">
        <f>ScenarioStat5[[#This Row],[team-1-win]]+ScenarioStat5[[#This Row],[team-2-win]]</f>
        <v>1</v>
      </c>
    </row>
    <row r="294" spans="1:7" x14ac:dyDescent="0.25">
      <c r="A294" t="s">
        <v>48</v>
      </c>
      <c r="B294" t="s">
        <v>43</v>
      </c>
      <c r="C29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94" t="s">
        <v>63</v>
      </c>
      <c r="E294" t="s">
        <v>227</v>
      </c>
      <c r="F29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94">
        <f>ScenarioStat5[[#This Row],[team-1-win]]+ScenarioStat5[[#This Row],[team-2-win]]</f>
        <v>1</v>
      </c>
    </row>
    <row r="295" spans="1:7" x14ac:dyDescent="0.25">
      <c r="A295" t="s">
        <v>48</v>
      </c>
      <c r="B295" t="s">
        <v>43</v>
      </c>
      <c r="C295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95" t="s">
        <v>38</v>
      </c>
      <c r="E295" t="s">
        <v>227</v>
      </c>
      <c r="F295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95">
        <f>ScenarioStat5[[#This Row],[team-1-win]]+ScenarioStat5[[#This Row],[team-2-win]]</f>
        <v>1</v>
      </c>
    </row>
    <row r="296" spans="1:7" x14ac:dyDescent="0.25">
      <c r="A296" t="s">
        <v>48</v>
      </c>
      <c r="B296" t="s">
        <v>45</v>
      </c>
      <c r="C296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96" t="s">
        <v>33</v>
      </c>
      <c r="E296" t="s">
        <v>43</v>
      </c>
      <c r="F296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96">
        <f>ScenarioStat5[[#This Row],[team-1-win]]+ScenarioStat5[[#This Row],[team-2-win]]</f>
        <v>1</v>
      </c>
    </row>
    <row r="297" spans="1:7" x14ac:dyDescent="0.25">
      <c r="A297" t="s">
        <v>48</v>
      </c>
      <c r="B297" t="s">
        <v>45</v>
      </c>
      <c r="C297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97" t="s">
        <v>33</v>
      </c>
      <c r="E297" t="s">
        <v>63</v>
      </c>
      <c r="F297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97">
        <f>ScenarioStat5[[#This Row],[team-1-win]]+ScenarioStat5[[#This Row],[team-2-win]]</f>
        <v>1</v>
      </c>
    </row>
    <row r="298" spans="1:7" x14ac:dyDescent="0.25">
      <c r="A298" t="s">
        <v>48</v>
      </c>
      <c r="B298" t="s">
        <v>45</v>
      </c>
      <c r="C298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98" t="s">
        <v>33</v>
      </c>
      <c r="E298" t="s">
        <v>38</v>
      </c>
      <c r="F298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98">
        <f>ScenarioStat5[[#This Row],[team-1-win]]+ScenarioStat5[[#This Row],[team-2-win]]</f>
        <v>1</v>
      </c>
    </row>
    <row r="299" spans="1:7" x14ac:dyDescent="0.25">
      <c r="A299" t="s">
        <v>48</v>
      </c>
      <c r="B299" t="s">
        <v>45</v>
      </c>
      <c r="C29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299" t="s">
        <v>33</v>
      </c>
      <c r="E299" t="s">
        <v>227</v>
      </c>
      <c r="F29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299">
        <f>ScenarioStat5[[#This Row],[team-1-win]]+ScenarioStat5[[#This Row],[team-2-win]]</f>
        <v>1</v>
      </c>
    </row>
    <row r="300" spans="1:7" x14ac:dyDescent="0.25">
      <c r="A300" t="s">
        <v>48</v>
      </c>
      <c r="B300" t="s">
        <v>45</v>
      </c>
      <c r="C300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00" t="s">
        <v>43</v>
      </c>
      <c r="E300" t="s">
        <v>63</v>
      </c>
      <c r="F300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00">
        <f>ScenarioStat5[[#This Row],[team-1-win]]+ScenarioStat5[[#This Row],[team-2-win]]</f>
        <v>1</v>
      </c>
    </row>
    <row r="301" spans="1:7" x14ac:dyDescent="0.25">
      <c r="A301" t="s">
        <v>48</v>
      </c>
      <c r="B301" t="s">
        <v>45</v>
      </c>
      <c r="C30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01" t="s">
        <v>43</v>
      </c>
      <c r="E301" t="s">
        <v>38</v>
      </c>
      <c r="F30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01">
        <f>ScenarioStat5[[#This Row],[team-1-win]]+ScenarioStat5[[#This Row],[team-2-win]]</f>
        <v>1</v>
      </c>
    </row>
    <row r="302" spans="1:7" x14ac:dyDescent="0.25">
      <c r="A302" t="s">
        <v>48</v>
      </c>
      <c r="B302" t="s">
        <v>45</v>
      </c>
      <c r="C302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02" t="s">
        <v>43</v>
      </c>
      <c r="E302" t="s">
        <v>227</v>
      </c>
      <c r="F302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02">
        <f>ScenarioStat5[[#This Row],[team-1-win]]+ScenarioStat5[[#This Row],[team-2-win]]</f>
        <v>1</v>
      </c>
    </row>
    <row r="303" spans="1:7" x14ac:dyDescent="0.25">
      <c r="A303" t="s">
        <v>48</v>
      </c>
      <c r="B303" t="s">
        <v>45</v>
      </c>
      <c r="C30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03" t="s">
        <v>63</v>
      </c>
      <c r="E303" t="s">
        <v>38</v>
      </c>
      <c r="F30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03">
        <f>ScenarioStat5[[#This Row],[team-1-win]]+ScenarioStat5[[#This Row],[team-2-win]]</f>
        <v>1</v>
      </c>
    </row>
    <row r="304" spans="1:7" x14ac:dyDescent="0.25">
      <c r="A304" t="s">
        <v>48</v>
      </c>
      <c r="B304" t="s">
        <v>45</v>
      </c>
      <c r="C304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04" t="s">
        <v>63</v>
      </c>
      <c r="E304" t="s">
        <v>227</v>
      </c>
      <c r="F304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04">
        <f>ScenarioStat5[[#This Row],[team-1-win]]+ScenarioStat5[[#This Row],[team-2-win]]</f>
        <v>1</v>
      </c>
    </row>
    <row r="305" spans="1:7" x14ac:dyDescent="0.25">
      <c r="A305" t="s">
        <v>48</v>
      </c>
      <c r="B305" t="s">
        <v>45</v>
      </c>
      <c r="C305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05" t="s">
        <v>38</v>
      </c>
      <c r="E305" t="s">
        <v>227</v>
      </c>
      <c r="F305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05">
        <f>ScenarioStat5[[#This Row],[team-1-win]]+ScenarioStat5[[#This Row],[team-2-win]]</f>
        <v>1</v>
      </c>
    </row>
    <row r="306" spans="1:7" x14ac:dyDescent="0.25">
      <c r="A306" t="s">
        <v>48</v>
      </c>
      <c r="B306" t="s">
        <v>63</v>
      </c>
      <c r="C306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06" t="s">
        <v>33</v>
      </c>
      <c r="E306" t="s">
        <v>43</v>
      </c>
      <c r="F306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06">
        <f>ScenarioStat5[[#This Row],[team-1-win]]+ScenarioStat5[[#This Row],[team-2-win]]</f>
        <v>1</v>
      </c>
    </row>
    <row r="307" spans="1:7" x14ac:dyDescent="0.25">
      <c r="A307" t="s">
        <v>48</v>
      </c>
      <c r="B307" t="s">
        <v>63</v>
      </c>
      <c r="C307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07" t="s">
        <v>33</v>
      </c>
      <c r="E307" t="s">
        <v>45</v>
      </c>
      <c r="F307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07">
        <f>ScenarioStat5[[#This Row],[team-1-win]]+ScenarioStat5[[#This Row],[team-2-win]]</f>
        <v>1</v>
      </c>
    </row>
    <row r="308" spans="1:7" x14ac:dyDescent="0.25">
      <c r="A308" t="s">
        <v>48</v>
      </c>
      <c r="B308" t="s">
        <v>63</v>
      </c>
      <c r="C308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08" t="s">
        <v>33</v>
      </c>
      <c r="E308" t="s">
        <v>38</v>
      </c>
      <c r="F308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08">
        <f>ScenarioStat5[[#This Row],[team-1-win]]+ScenarioStat5[[#This Row],[team-2-win]]</f>
        <v>1</v>
      </c>
    </row>
    <row r="309" spans="1:7" x14ac:dyDescent="0.25">
      <c r="A309" t="s">
        <v>48</v>
      </c>
      <c r="B309" t="s">
        <v>63</v>
      </c>
      <c r="C30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09" t="s">
        <v>33</v>
      </c>
      <c r="E309" t="s">
        <v>227</v>
      </c>
      <c r="F30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09">
        <f>ScenarioStat5[[#This Row],[team-1-win]]+ScenarioStat5[[#This Row],[team-2-win]]</f>
        <v>1</v>
      </c>
    </row>
    <row r="310" spans="1:7" x14ac:dyDescent="0.25">
      <c r="A310" t="s">
        <v>48</v>
      </c>
      <c r="B310" t="s">
        <v>63</v>
      </c>
      <c r="C310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10" t="s">
        <v>43</v>
      </c>
      <c r="E310" t="s">
        <v>45</v>
      </c>
      <c r="F310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10">
        <f>ScenarioStat5[[#This Row],[team-1-win]]+ScenarioStat5[[#This Row],[team-2-win]]</f>
        <v>1</v>
      </c>
    </row>
    <row r="311" spans="1:7" x14ac:dyDescent="0.25">
      <c r="A311" t="s">
        <v>48</v>
      </c>
      <c r="B311" t="s">
        <v>63</v>
      </c>
      <c r="C31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11" t="s">
        <v>43</v>
      </c>
      <c r="E311" t="s">
        <v>38</v>
      </c>
      <c r="F31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11">
        <f>ScenarioStat5[[#This Row],[team-1-win]]+ScenarioStat5[[#This Row],[team-2-win]]</f>
        <v>1</v>
      </c>
    </row>
    <row r="312" spans="1:7" x14ac:dyDescent="0.25">
      <c r="A312" t="s">
        <v>48</v>
      </c>
      <c r="B312" t="s">
        <v>63</v>
      </c>
      <c r="C312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12" t="s">
        <v>43</v>
      </c>
      <c r="E312" t="s">
        <v>227</v>
      </c>
      <c r="F312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12">
        <f>ScenarioStat5[[#This Row],[team-1-win]]+ScenarioStat5[[#This Row],[team-2-win]]</f>
        <v>1</v>
      </c>
    </row>
    <row r="313" spans="1:7" x14ac:dyDescent="0.25">
      <c r="A313" t="s">
        <v>48</v>
      </c>
      <c r="B313" t="s">
        <v>63</v>
      </c>
      <c r="C31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13" t="s">
        <v>45</v>
      </c>
      <c r="E313" t="s">
        <v>38</v>
      </c>
      <c r="F31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13">
        <f>ScenarioStat5[[#This Row],[team-1-win]]+ScenarioStat5[[#This Row],[team-2-win]]</f>
        <v>1</v>
      </c>
    </row>
    <row r="314" spans="1:7" x14ac:dyDescent="0.25">
      <c r="A314" t="s">
        <v>48</v>
      </c>
      <c r="B314" t="s">
        <v>63</v>
      </c>
      <c r="C314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14" t="s">
        <v>45</v>
      </c>
      <c r="E314" t="s">
        <v>227</v>
      </c>
      <c r="F314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14">
        <f>ScenarioStat5[[#This Row],[team-1-win]]+ScenarioStat5[[#This Row],[team-2-win]]</f>
        <v>1</v>
      </c>
    </row>
    <row r="315" spans="1:7" x14ac:dyDescent="0.25">
      <c r="A315" t="s">
        <v>48</v>
      </c>
      <c r="B315" t="s">
        <v>63</v>
      </c>
      <c r="C315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15" t="s">
        <v>38</v>
      </c>
      <c r="E315" t="s">
        <v>227</v>
      </c>
      <c r="F315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15">
        <f>ScenarioStat5[[#This Row],[team-1-win]]+ScenarioStat5[[#This Row],[team-2-win]]</f>
        <v>1</v>
      </c>
    </row>
    <row r="316" spans="1:7" x14ac:dyDescent="0.25">
      <c r="A316" t="s">
        <v>48</v>
      </c>
      <c r="B316" t="s">
        <v>38</v>
      </c>
      <c r="C316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16" t="s">
        <v>33</v>
      </c>
      <c r="E316" t="s">
        <v>43</v>
      </c>
      <c r="F316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16">
        <f>ScenarioStat5[[#This Row],[team-1-win]]+ScenarioStat5[[#This Row],[team-2-win]]</f>
        <v>1</v>
      </c>
    </row>
    <row r="317" spans="1:7" x14ac:dyDescent="0.25">
      <c r="A317" t="s">
        <v>48</v>
      </c>
      <c r="B317" t="s">
        <v>38</v>
      </c>
      <c r="C317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17" t="s">
        <v>33</v>
      </c>
      <c r="E317" t="s">
        <v>45</v>
      </c>
      <c r="F317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17">
        <f>ScenarioStat5[[#This Row],[team-1-win]]+ScenarioStat5[[#This Row],[team-2-win]]</f>
        <v>1</v>
      </c>
    </row>
    <row r="318" spans="1:7" x14ac:dyDescent="0.25">
      <c r="A318" t="s">
        <v>48</v>
      </c>
      <c r="B318" t="s">
        <v>38</v>
      </c>
      <c r="C318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18" t="s">
        <v>33</v>
      </c>
      <c r="E318" t="s">
        <v>63</v>
      </c>
      <c r="F318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18">
        <f>ScenarioStat5[[#This Row],[team-1-win]]+ScenarioStat5[[#This Row],[team-2-win]]</f>
        <v>1</v>
      </c>
    </row>
    <row r="319" spans="1:7" x14ac:dyDescent="0.25">
      <c r="A319" t="s">
        <v>48</v>
      </c>
      <c r="B319" t="s">
        <v>38</v>
      </c>
      <c r="C31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19" t="s">
        <v>33</v>
      </c>
      <c r="E319" t="s">
        <v>227</v>
      </c>
      <c r="F31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19">
        <f>ScenarioStat5[[#This Row],[team-1-win]]+ScenarioStat5[[#This Row],[team-2-win]]</f>
        <v>1</v>
      </c>
    </row>
    <row r="320" spans="1:7" x14ac:dyDescent="0.25">
      <c r="A320" t="s">
        <v>48</v>
      </c>
      <c r="B320" t="s">
        <v>38</v>
      </c>
      <c r="C320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20" t="s">
        <v>43</v>
      </c>
      <c r="E320" t="s">
        <v>45</v>
      </c>
      <c r="F320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20">
        <f>ScenarioStat5[[#This Row],[team-1-win]]+ScenarioStat5[[#This Row],[team-2-win]]</f>
        <v>1</v>
      </c>
    </row>
    <row r="321" spans="1:7" x14ac:dyDescent="0.25">
      <c r="A321" t="s">
        <v>48</v>
      </c>
      <c r="B321" t="s">
        <v>38</v>
      </c>
      <c r="C321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21" t="s">
        <v>43</v>
      </c>
      <c r="E321" t="s">
        <v>63</v>
      </c>
      <c r="F321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21">
        <f>ScenarioStat5[[#This Row],[team-1-win]]+ScenarioStat5[[#This Row],[team-2-win]]</f>
        <v>1</v>
      </c>
    </row>
    <row r="322" spans="1:7" x14ac:dyDescent="0.25">
      <c r="A322" t="s">
        <v>48</v>
      </c>
      <c r="B322" t="s">
        <v>38</v>
      </c>
      <c r="C322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22" t="s">
        <v>43</v>
      </c>
      <c r="E322" t="s">
        <v>227</v>
      </c>
      <c r="F322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22">
        <f>ScenarioStat5[[#This Row],[team-1-win]]+ScenarioStat5[[#This Row],[team-2-win]]</f>
        <v>1</v>
      </c>
    </row>
    <row r="323" spans="1:7" x14ac:dyDescent="0.25">
      <c r="A323" t="s">
        <v>48</v>
      </c>
      <c r="B323" t="s">
        <v>38</v>
      </c>
      <c r="C32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23" t="s">
        <v>45</v>
      </c>
      <c r="E323" t="s">
        <v>63</v>
      </c>
      <c r="F32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23">
        <f>ScenarioStat5[[#This Row],[team-1-win]]+ScenarioStat5[[#This Row],[team-2-win]]</f>
        <v>1</v>
      </c>
    </row>
    <row r="324" spans="1:7" x14ac:dyDescent="0.25">
      <c r="A324" t="s">
        <v>48</v>
      </c>
      <c r="B324" t="s">
        <v>38</v>
      </c>
      <c r="C32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24" t="s">
        <v>45</v>
      </c>
      <c r="E324" t="s">
        <v>227</v>
      </c>
      <c r="F32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24">
        <f>ScenarioStat5[[#This Row],[team-1-win]]+ScenarioStat5[[#This Row],[team-2-win]]</f>
        <v>1</v>
      </c>
    </row>
    <row r="325" spans="1:7" x14ac:dyDescent="0.25">
      <c r="A325" t="s">
        <v>48</v>
      </c>
      <c r="B325" t="s">
        <v>38</v>
      </c>
      <c r="C325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25" t="s">
        <v>63</v>
      </c>
      <c r="E325" t="s">
        <v>227</v>
      </c>
      <c r="F325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25">
        <f>ScenarioStat5[[#This Row],[team-1-win]]+ScenarioStat5[[#This Row],[team-2-win]]</f>
        <v>1</v>
      </c>
    </row>
    <row r="326" spans="1:7" x14ac:dyDescent="0.25">
      <c r="A326" t="s">
        <v>48</v>
      </c>
      <c r="B326" t="s">
        <v>227</v>
      </c>
      <c r="C326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26" t="s">
        <v>33</v>
      </c>
      <c r="E326" t="s">
        <v>43</v>
      </c>
      <c r="F326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26">
        <f>ScenarioStat5[[#This Row],[team-1-win]]+ScenarioStat5[[#This Row],[team-2-win]]</f>
        <v>1</v>
      </c>
    </row>
    <row r="327" spans="1:7" x14ac:dyDescent="0.25">
      <c r="A327" t="s">
        <v>48</v>
      </c>
      <c r="B327" t="s">
        <v>227</v>
      </c>
      <c r="C327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27" t="s">
        <v>33</v>
      </c>
      <c r="E327" t="s">
        <v>45</v>
      </c>
      <c r="F327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27">
        <f>ScenarioStat5[[#This Row],[team-1-win]]+ScenarioStat5[[#This Row],[team-2-win]]</f>
        <v>1</v>
      </c>
    </row>
    <row r="328" spans="1:7" x14ac:dyDescent="0.25">
      <c r="A328" t="s">
        <v>48</v>
      </c>
      <c r="B328" t="s">
        <v>227</v>
      </c>
      <c r="C328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28" t="s">
        <v>33</v>
      </c>
      <c r="E328" t="s">
        <v>63</v>
      </c>
      <c r="F328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28">
        <f>ScenarioStat5[[#This Row],[team-1-win]]+ScenarioStat5[[#This Row],[team-2-win]]</f>
        <v>1</v>
      </c>
    </row>
    <row r="329" spans="1:7" x14ac:dyDescent="0.25">
      <c r="A329" t="s">
        <v>48</v>
      </c>
      <c r="B329" t="s">
        <v>227</v>
      </c>
      <c r="C32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29" t="s">
        <v>33</v>
      </c>
      <c r="E329" t="s">
        <v>38</v>
      </c>
      <c r="F32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29">
        <f>ScenarioStat5[[#This Row],[team-1-win]]+ScenarioStat5[[#This Row],[team-2-win]]</f>
        <v>1</v>
      </c>
    </row>
    <row r="330" spans="1:7" x14ac:dyDescent="0.25">
      <c r="A330" t="s">
        <v>48</v>
      </c>
      <c r="B330" t="s">
        <v>227</v>
      </c>
      <c r="C330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30" t="s">
        <v>43</v>
      </c>
      <c r="E330" t="s">
        <v>45</v>
      </c>
      <c r="F330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30">
        <f>ScenarioStat5[[#This Row],[team-1-win]]+ScenarioStat5[[#This Row],[team-2-win]]</f>
        <v>1</v>
      </c>
    </row>
    <row r="331" spans="1:7" x14ac:dyDescent="0.25">
      <c r="A331" t="s">
        <v>48</v>
      </c>
      <c r="B331" t="s">
        <v>227</v>
      </c>
      <c r="C331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31" t="s">
        <v>43</v>
      </c>
      <c r="E331" t="s">
        <v>63</v>
      </c>
      <c r="F331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31">
        <f>ScenarioStat5[[#This Row],[team-1-win]]+ScenarioStat5[[#This Row],[team-2-win]]</f>
        <v>1</v>
      </c>
    </row>
    <row r="332" spans="1:7" x14ac:dyDescent="0.25">
      <c r="A332" t="s">
        <v>48</v>
      </c>
      <c r="B332" t="s">
        <v>227</v>
      </c>
      <c r="C332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32" t="s">
        <v>43</v>
      </c>
      <c r="E332" t="s">
        <v>38</v>
      </c>
      <c r="F332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32">
        <f>ScenarioStat5[[#This Row],[team-1-win]]+ScenarioStat5[[#This Row],[team-2-win]]</f>
        <v>1</v>
      </c>
    </row>
    <row r="333" spans="1:7" x14ac:dyDescent="0.25">
      <c r="A333" t="s">
        <v>48</v>
      </c>
      <c r="B333" t="s">
        <v>227</v>
      </c>
      <c r="C333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33" t="s">
        <v>45</v>
      </c>
      <c r="E333" t="s">
        <v>63</v>
      </c>
      <c r="F333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33">
        <f>ScenarioStat5[[#This Row],[team-1-win]]+ScenarioStat5[[#This Row],[team-2-win]]</f>
        <v>1</v>
      </c>
    </row>
    <row r="334" spans="1:7" x14ac:dyDescent="0.25">
      <c r="A334" t="s">
        <v>48</v>
      </c>
      <c r="B334" t="s">
        <v>227</v>
      </c>
      <c r="C33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34" t="s">
        <v>45</v>
      </c>
      <c r="E334" t="s">
        <v>38</v>
      </c>
      <c r="F33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34">
        <f>ScenarioStat5[[#This Row],[team-1-win]]+ScenarioStat5[[#This Row],[team-2-win]]</f>
        <v>1</v>
      </c>
    </row>
    <row r="335" spans="1:7" x14ac:dyDescent="0.25">
      <c r="A335" t="s">
        <v>48</v>
      </c>
      <c r="B335" t="s">
        <v>227</v>
      </c>
      <c r="C335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35" t="s">
        <v>63</v>
      </c>
      <c r="E335" t="s">
        <v>38</v>
      </c>
      <c r="F335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35">
        <f>ScenarioStat5[[#This Row],[team-1-win]]+ScenarioStat5[[#This Row],[team-2-win]]</f>
        <v>1</v>
      </c>
    </row>
    <row r="336" spans="1:7" x14ac:dyDescent="0.25">
      <c r="A336" t="s">
        <v>33</v>
      </c>
      <c r="B336" t="s">
        <v>43</v>
      </c>
      <c r="C336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36" t="s">
        <v>45</v>
      </c>
      <c r="E336" t="s">
        <v>63</v>
      </c>
      <c r="F336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36">
        <f>ScenarioStat5[[#This Row],[team-1-win]]+ScenarioStat5[[#This Row],[team-2-win]]</f>
        <v>1</v>
      </c>
    </row>
    <row r="337" spans="1:7" x14ac:dyDescent="0.25">
      <c r="A337" t="s">
        <v>33</v>
      </c>
      <c r="B337" t="s">
        <v>43</v>
      </c>
      <c r="C337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37" t="s">
        <v>45</v>
      </c>
      <c r="E337" t="s">
        <v>38</v>
      </c>
      <c r="F337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37">
        <f>ScenarioStat5[[#This Row],[team-1-win]]+ScenarioStat5[[#This Row],[team-2-win]]</f>
        <v>1</v>
      </c>
    </row>
    <row r="338" spans="1:7" x14ac:dyDescent="0.25">
      <c r="A338" t="s">
        <v>33</v>
      </c>
      <c r="B338" t="s">
        <v>43</v>
      </c>
      <c r="C338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38" t="s">
        <v>45</v>
      </c>
      <c r="E338" t="s">
        <v>227</v>
      </c>
      <c r="F338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38">
        <f>ScenarioStat5[[#This Row],[team-1-win]]+ScenarioStat5[[#This Row],[team-2-win]]</f>
        <v>1</v>
      </c>
    </row>
    <row r="339" spans="1:7" x14ac:dyDescent="0.25">
      <c r="A339" t="s">
        <v>33</v>
      </c>
      <c r="B339" t="s">
        <v>43</v>
      </c>
      <c r="C339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39" t="s">
        <v>63</v>
      </c>
      <c r="E339" t="s">
        <v>38</v>
      </c>
      <c r="F339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39">
        <f>ScenarioStat5[[#This Row],[team-1-win]]+ScenarioStat5[[#This Row],[team-2-win]]</f>
        <v>1</v>
      </c>
    </row>
    <row r="340" spans="1:7" x14ac:dyDescent="0.25">
      <c r="A340" t="s">
        <v>33</v>
      </c>
      <c r="B340" t="s">
        <v>43</v>
      </c>
      <c r="C340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40" t="s">
        <v>63</v>
      </c>
      <c r="E340" t="s">
        <v>227</v>
      </c>
      <c r="F340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40">
        <f>ScenarioStat5[[#This Row],[team-1-win]]+ScenarioStat5[[#This Row],[team-2-win]]</f>
        <v>1</v>
      </c>
    </row>
    <row r="341" spans="1:7" x14ac:dyDescent="0.25">
      <c r="A341" t="s">
        <v>33</v>
      </c>
      <c r="B341" t="s">
        <v>43</v>
      </c>
      <c r="C34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41" t="s">
        <v>38</v>
      </c>
      <c r="E341" t="s">
        <v>227</v>
      </c>
      <c r="F34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41">
        <f>ScenarioStat5[[#This Row],[team-1-win]]+ScenarioStat5[[#This Row],[team-2-win]]</f>
        <v>1</v>
      </c>
    </row>
    <row r="342" spans="1:7" x14ac:dyDescent="0.25">
      <c r="A342" t="s">
        <v>33</v>
      </c>
      <c r="B342" t="s">
        <v>45</v>
      </c>
      <c r="C342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42" t="s">
        <v>43</v>
      </c>
      <c r="E342" t="s">
        <v>63</v>
      </c>
      <c r="F342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42">
        <f>ScenarioStat5[[#This Row],[team-1-win]]+ScenarioStat5[[#This Row],[team-2-win]]</f>
        <v>1</v>
      </c>
    </row>
    <row r="343" spans="1:7" x14ac:dyDescent="0.25">
      <c r="A343" t="s">
        <v>33</v>
      </c>
      <c r="B343" t="s">
        <v>45</v>
      </c>
      <c r="C343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43" t="s">
        <v>43</v>
      </c>
      <c r="E343" t="s">
        <v>38</v>
      </c>
      <c r="F343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43">
        <f>ScenarioStat5[[#This Row],[team-1-win]]+ScenarioStat5[[#This Row],[team-2-win]]</f>
        <v>1</v>
      </c>
    </row>
    <row r="344" spans="1:7" x14ac:dyDescent="0.25">
      <c r="A344" t="s">
        <v>33</v>
      </c>
      <c r="B344" t="s">
        <v>45</v>
      </c>
      <c r="C34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44" t="s">
        <v>43</v>
      </c>
      <c r="E344" t="s">
        <v>227</v>
      </c>
      <c r="F34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44">
        <f>ScenarioStat5[[#This Row],[team-1-win]]+ScenarioStat5[[#This Row],[team-2-win]]</f>
        <v>1</v>
      </c>
    </row>
    <row r="345" spans="1:7" x14ac:dyDescent="0.25">
      <c r="A345" t="s">
        <v>33</v>
      </c>
      <c r="B345" t="s">
        <v>45</v>
      </c>
      <c r="C345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45" t="s">
        <v>63</v>
      </c>
      <c r="E345" t="s">
        <v>38</v>
      </c>
      <c r="F345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45">
        <f>ScenarioStat5[[#This Row],[team-1-win]]+ScenarioStat5[[#This Row],[team-2-win]]</f>
        <v>1</v>
      </c>
    </row>
    <row r="346" spans="1:7" x14ac:dyDescent="0.25">
      <c r="A346" t="s">
        <v>33</v>
      </c>
      <c r="B346" t="s">
        <v>45</v>
      </c>
      <c r="C346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46" t="s">
        <v>63</v>
      </c>
      <c r="E346" t="s">
        <v>227</v>
      </c>
      <c r="F346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46">
        <f>ScenarioStat5[[#This Row],[team-1-win]]+ScenarioStat5[[#This Row],[team-2-win]]</f>
        <v>1</v>
      </c>
    </row>
    <row r="347" spans="1:7" x14ac:dyDescent="0.25">
      <c r="A347" t="s">
        <v>33</v>
      </c>
      <c r="B347" t="s">
        <v>45</v>
      </c>
      <c r="C347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47" t="s">
        <v>38</v>
      </c>
      <c r="E347" t="s">
        <v>227</v>
      </c>
      <c r="F347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47">
        <f>ScenarioStat5[[#This Row],[team-1-win]]+ScenarioStat5[[#This Row],[team-2-win]]</f>
        <v>1</v>
      </c>
    </row>
    <row r="348" spans="1:7" x14ac:dyDescent="0.25">
      <c r="A348" t="s">
        <v>33</v>
      </c>
      <c r="B348" t="s">
        <v>63</v>
      </c>
      <c r="C348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48" t="s">
        <v>43</v>
      </c>
      <c r="E348" t="s">
        <v>45</v>
      </c>
      <c r="F348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48">
        <f>ScenarioStat5[[#This Row],[team-1-win]]+ScenarioStat5[[#This Row],[team-2-win]]</f>
        <v>1</v>
      </c>
    </row>
    <row r="349" spans="1:7" x14ac:dyDescent="0.25">
      <c r="A349" t="s">
        <v>33</v>
      </c>
      <c r="B349" t="s">
        <v>63</v>
      </c>
      <c r="C349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49" t="s">
        <v>43</v>
      </c>
      <c r="E349" t="s">
        <v>38</v>
      </c>
      <c r="F349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49">
        <f>ScenarioStat5[[#This Row],[team-1-win]]+ScenarioStat5[[#This Row],[team-2-win]]</f>
        <v>1</v>
      </c>
    </row>
    <row r="350" spans="1:7" x14ac:dyDescent="0.25">
      <c r="A350" t="s">
        <v>33</v>
      </c>
      <c r="B350" t="s">
        <v>63</v>
      </c>
      <c r="C350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50" t="s">
        <v>43</v>
      </c>
      <c r="E350" t="s">
        <v>227</v>
      </c>
      <c r="F350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50">
        <f>ScenarioStat5[[#This Row],[team-1-win]]+ScenarioStat5[[#This Row],[team-2-win]]</f>
        <v>1</v>
      </c>
    </row>
    <row r="351" spans="1:7" x14ac:dyDescent="0.25">
      <c r="A351" t="s">
        <v>33</v>
      </c>
      <c r="B351" t="s">
        <v>63</v>
      </c>
      <c r="C351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51" t="s">
        <v>45</v>
      </c>
      <c r="E351" t="s">
        <v>38</v>
      </c>
      <c r="F351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51">
        <f>ScenarioStat5[[#This Row],[team-1-win]]+ScenarioStat5[[#This Row],[team-2-win]]</f>
        <v>1</v>
      </c>
    </row>
    <row r="352" spans="1:7" x14ac:dyDescent="0.25">
      <c r="A352" t="s">
        <v>33</v>
      </c>
      <c r="B352" t="s">
        <v>63</v>
      </c>
      <c r="C352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52" t="s">
        <v>45</v>
      </c>
      <c r="E352" t="s">
        <v>227</v>
      </c>
      <c r="F352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52">
        <f>ScenarioStat5[[#This Row],[team-1-win]]+ScenarioStat5[[#This Row],[team-2-win]]</f>
        <v>1</v>
      </c>
    </row>
    <row r="353" spans="1:7" x14ac:dyDescent="0.25">
      <c r="A353" t="s">
        <v>33</v>
      </c>
      <c r="B353" t="s">
        <v>63</v>
      </c>
      <c r="C35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53" t="s">
        <v>38</v>
      </c>
      <c r="E353" t="s">
        <v>227</v>
      </c>
      <c r="F35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53">
        <f>ScenarioStat5[[#This Row],[team-1-win]]+ScenarioStat5[[#This Row],[team-2-win]]</f>
        <v>1</v>
      </c>
    </row>
    <row r="354" spans="1:7" x14ac:dyDescent="0.25">
      <c r="A354" t="s">
        <v>33</v>
      </c>
      <c r="B354" t="s">
        <v>38</v>
      </c>
      <c r="C354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54" t="s">
        <v>43</v>
      </c>
      <c r="E354" t="s">
        <v>45</v>
      </c>
      <c r="F354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54">
        <f>ScenarioStat5[[#This Row],[team-1-win]]+ScenarioStat5[[#This Row],[team-2-win]]</f>
        <v>1</v>
      </c>
    </row>
    <row r="355" spans="1:7" x14ac:dyDescent="0.25">
      <c r="A355" t="s">
        <v>33</v>
      </c>
      <c r="B355" t="s">
        <v>38</v>
      </c>
      <c r="C355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55" t="s">
        <v>43</v>
      </c>
      <c r="E355" t="s">
        <v>63</v>
      </c>
      <c r="F355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55">
        <f>ScenarioStat5[[#This Row],[team-1-win]]+ScenarioStat5[[#This Row],[team-2-win]]</f>
        <v>1</v>
      </c>
    </row>
    <row r="356" spans="1:7" x14ac:dyDescent="0.25">
      <c r="A356" t="s">
        <v>33</v>
      </c>
      <c r="B356" t="s">
        <v>38</v>
      </c>
      <c r="C356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56" t="s">
        <v>43</v>
      </c>
      <c r="E356" t="s">
        <v>227</v>
      </c>
      <c r="F356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56">
        <f>ScenarioStat5[[#This Row],[team-1-win]]+ScenarioStat5[[#This Row],[team-2-win]]</f>
        <v>1</v>
      </c>
    </row>
    <row r="357" spans="1:7" x14ac:dyDescent="0.25">
      <c r="A357" t="s">
        <v>33</v>
      </c>
      <c r="B357" t="s">
        <v>38</v>
      </c>
      <c r="C357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57" t="s">
        <v>45</v>
      </c>
      <c r="E357" t="s">
        <v>63</v>
      </c>
      <c r="F357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57">
        <f>ScenarioStat5[[#This Row],[team-1-win]]+ScenarioStat5[[#This Row],[team-2-win]]</f>
        <v>1</v>
      </c>
    </row>
    <row r="358" spans="1:7" x14ac:dyDescent="0.25">
      <c r="A358" t="s">
        <v>33</v>
      </c>
      <c r="B358" t="s">
        <v>38</v>
      </c>
      <c r="C358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58" t="s">
        <v>45</v>
      </c>
      <c r="E358" t="s">
        <v>227</v>
      </c>
      <c r="F358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58">
        <f>ScenarioStat5[[#This Row],[team-1-win]]+ScenarioStat5[[#This Row],[team-2-win]]</f>
        <v>1</v>
      </c>
    </row>
    <row r="359" spans="1:7" x14ac:dyDescent="0.25">
      <c r="A359" t="s">
        <v>33</v>
      </c>
      <c r="B359" t="s">
        <v>38</v>
      </c>
      <c r="C35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59" t="s">
        <v>63</v>
      </c>
      <c r="E359" t="s">
        <v>227</v>
      </c>
      <c r="F35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59">
        <f>ScenarioStat5[[#This Row],[team-1-win]]+ScenarioStat5[[#This Row],[team-2-win]]</f>
        <v>1</v>
      </c>
    </row>
    <row r="360" spans="1:7" x14ac:dyDescent="0.25">
      <c r="A360" t="s">
        <v>33</v>
      </c>
      <c r="B360" t="s">
        <v>227</v>
      </c>
      <c r="C360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60" t="s">
        <v>43</v>
      </c>
      <c r="E360" t="s">
        <v>45</v>
      </c>
      <c r="F360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60">
        <f>ScenarioStat5[[#This Row],[team-1-win]]+ScenarioStat5[[#This Row],[team-2-win]]</f>
        <v>1</v>
      </c>
    </row>
    <row r="361" spans="1:7" x14ac:dyDescent="0.25">
      <c r="A361" t="s">
        <v>33</v>
      </c>
      <c r="B361" t="s">
        <v>227</v>
      </c>
      <c r="C361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61" t="s">
        <v>43</v>
      </c>
      <c r="E361" t="s">
        <v>63</v>
      </c>
      <c r="F361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61">
        <f>ScenarioStat5[[#This Row],[team-1-win]]+ScenarioStat5[[#This Row],[team-2-win]]</f>
        <v>1</v>
      </c>
    </row>
    <row r="362" spans="1:7" x14ac:dyDescent="0.25">
      <c r="A362" t="s">
        <v>33</v>
      </c>
      <c r="B362" t="s">
        <v>227</v>
      </c>
      <c r="C362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62" t="s">
        <v>43</v>
      </c>
      <c r="E362" t="s">
        <v>38</v>
      </c>
      <c r="F362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62">
        <f>ScenarioStat5[[#This Row],[team-1-win]]+ScenarioStat5[[#This Row],[team-2-win]]</f>
        <v>1</v>
      </c>
    </row>
    <row r="363" spans="1:7" x14ac:dyDescent="0.25">
      <c r="A363" t="s">
        <v>33</v>
      </c>
      <c r="B363" t="s">
        <v>227</v>
      </c>
      <c r="C363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63" t="s">
        <v>45</v>
      </c>
      <c r="E363" t="s">
        <v>63</v>
      </c>
      <c r="F363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63">
        <f>ScenarioStat5[[#This Row],[team-1-win]]+ScenarioStat5[[#This Row],[team-2-win]]</f>
        <v>1</v>
      </c>
    </row>
    <row r="364" spans="1:7" x14ac:dyDescent="0.25">
      <c r="A364" t="s">
        <v>33</v>
      </c>
      <c r="B364" t="s">
        <v>227</v>
      </c>
      <c r="C364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64" t="s">
        <v>45</v>
      </c>
      <c r="E364" t="s">
        <v>38</v>
      </c>
      <c r="F364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64">
        <f>ScenarioStat5[[#This Row],[team-1-win]]+ScenarioStat5[[#This Row],[team-2-win]]</f>
        <v>1</v>
      </c>
    </row>
    <row r="365" spans="1:7" x14ac:dyDescent="0.25">
      <c r="A365" t="s">
        <v>33</v>
      </c>
      <c r="B365" t="s">
        <v>227</v>
      </c>
      <c r="C365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65" t="s">
        <v>63</v>
      </c>
      <c r="E365" t="s">
        <v>38</v>
      </c>
      <c r="F365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65">
        <f>ScenarioStat5[[#This Row],[team-1-win]]+ScenarioStat5[[#This Row],[team-2-win]]</f>
        <v>1</v>
      </c>
    </row>
    <row r="366" spans="1:7" x14ac:dyDescent="0.25">
      <c r="A366" t="s">
        <v>43</v>
      </c>
      <c r="B366" t="s">
        <v>45</v>
      </c>
      <c r="C366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66" t="s">
        <v>63</v>
      </c>
      <c r="E366" t="s">
        <v>38</v>
      </c>
      <c r="F366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66">
        <f>ScenarioStat5[[#This Row],[team-1-win]]+ScenarioStat5[[#This Row],[team-2-win]]</f>
        <v>1</v>
      </c>
    </row>
    <row r="367" spans="1:7" x14ac:dyDescent="0.25">
      <c r="A367" t="s">
        <v>43</v>
      </c>
      <c r="B367" t="s">
        <v>45</v>
      </c>
      <c r="C367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67" t="s">
        <v>63</v>
      </c>
      <c r="E367" t="s">
        <v>227</v>
      </c>
      <c r="F367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67">
        <f>ScenarioStat5[[#This Row],[team-1-win]]+ScenarioStat5[[#This Row],[team-2-win]]</f>
        <v>1</v>
      </c>
    </row>
    <row r="368" spans="1:7" x14ac:dyDescent="0.25">
      <c r="A368" t="s">
        <v>43</v>
      </c>
      <c r="B368" t="s">
        <v>45</v>
      </c>
      <c r="C368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68" t="s">
        <v>38</v>
      </c>
      <c r="E368" t="s">
        <v>227</v>
      </c>
      <c r="F368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68">
        <f>ScenarioStat5[[#This Row],[team-1-win]]+ScenarioStat5[[#This Row],[team-2-win]]</f>
        <v>1</v>
      </c>
    </row>
    <row r="369" spans="1:7" x14ac:dyDescent="0.25">
      <c r="A369" t="s">
        <v>43</v>
      </c>
      <c r="B369" t="s">
        <v>63</v>
      </c>
      <c r="C36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69" t="s">
        <v>45</v>
      </c>
      <c r="E369" t="s">
        <v>38</v>
      </c>
      <c r="F36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69">
        <f>ScenarioStat5[[#This Row],[team-1-win]]+ScenarioStat5[[#This Row],[team-2-win]]</f>
        <v>1</v>
      </c>
    </row>
    <row r="370" spans="1:7" x14ac:dyDescent="0.25">
      <c r="A370" t="s">
        <v>43</v>
      </c>
      <c r="B370" t="s">
        <v>63</v>
      </c>
      <c r="C370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70" t="s">
        <v>45</v>
      </c>
      <c r="E370" t="s">
        <v>227</v>
      </c>
      <c r="F370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70">
        <f>ScenarioStat5[[#This Row],[team-1-win]]+ScenarioStat5[[#This Row],[team-2-win]]</f>
        <v>1</v>
      </c>
    </row>
    <row r="371" spans="1:7" x14ac:dyDescent="0.25">
      <c r="A371" t="s">
        <v>43</v>
      </c>
      <c r="B371" t="s">
        <v>63</v>
      </c>
      <c r="C371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71" t="s">
        <v>38</v>
      </c>
      <c r="E371" t="s">
        <v>227</v>
      </c>
      <c r="F371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71">
        <f>ScenarioStat5[[#This Row],[team-1-win]]+ScenarioStat5[[#This Row],[team-2-win]]</f>
        <v>1</v>
      </c>
    </row>
    <row r="372" spans="1:7" x14ac:dyDescent="0.25">
      <c r="A372" t="s">
        <v>43</v>
      </c>
      <c r="B372" t="s">
        <v>38</v>
      </c>
      <c r="C372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72" t="s">
        <v>45</v>
      </c>
      <c r="E372" t="s">
        <v>63</v>
      </c>
      <c r="F372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72">
        <f>ScenarioStat5[[#This Row],[team-1-win]]+ScenarioStat5[[#This Row],[team-2-win]]</f>
        <v>1</v>
      </c>
    </row>
    <row r="373" spans="1:7" x14ac:dyDescent="0.25">
      <c r="A373" t="s">
        <v>43</v>
      </c>
      <c r="B373" t="s">
        <v>38</v>
      </c>
      <c r="C373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73" t="s">
        <v>45</v>
      </c>
      <c r="E373" t="s">
        <v>227</v>
      </c>
      <c r="F373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73">
        <f>ScenarioStat5[[#This Row],[team-1-win]]+ScenarioStat5[[#This Row],[team-2-win]]</f>
        <v>1</v>
      </c>
    </row>
    <row r="374" spans="1:7" x14ac:dyDescent="0.25">
      <c r="A374" t="s">
        <v>43</v>
      </c>
      <c r="B374" t="s">
        <v>38</v>
      </c>
      <c r="C374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74" t="s">
        <v>63</v>
      </c>
      <c r="E374" t="s">
        <v>227</v>
      </c>
      <c r="F374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74">
        <f>ScenarioStat5[[#This Row],[team-1-win]]+ScenarioStat5[[#This Row],[team-2-win]]</f>
        <v>1</v>
      </c>
    </row>
    <row r="375" spans="1:7" x14ac:dyDescent="0.25">
      <c r="A375" t="s">
        <v>43</v>
      </c>
      <c r="B375" t="s">
        <v>227</v>
      </c>
      <c r="C375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75" t="s">
        <v>45</v>
      </c>
      <c r="E375" t="s">
        <v>63</v>
      </c>
      <c r="F375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75">
        <f>ScenarioStat5[[#This Row],[team-1-win]]+ScenarioStat5[[#This Row],[team-2-win]]</f>
        <v>1</v>
      </c>
    </row>
    <row r="376" spans="1:7" x14ac:dyDescent="0.25">
      <c r="A376" t="s">
        <v>43</v>
      </c>
      <c r="B376" t="s">
        <v>227</v>
      </c>
      <c r="C376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76" t="s">
        <v>45</v>
      </c>
      <c r="E376" t="s">
        <v>38</v>
      </c>
      <c r="F376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76">
        <f>ScenarioStat5[[#This Row],[team-1-win]]+ScenarioStat5[[#This Row],[team-2-win]]</f>
        <v>1</v>
      </c>
    </row>
    <row r="377" spans="1:7" x14ac:dyDescent="0.25">
      <c r="A377" t="s">
        <v>43</v>
      </c>
      <c r="B377" t="s">
        <v>227</v>
      </c>
      <c r="C377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77" t="s">
        <v>63</v>
      </c>
      <c r="E377" t="s">
        <v>38</v>
      </c>
      <c r="F377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77">
        <f>ScenarioStat5[[#This Row],[team-1-win]]+ScenarioStat5[[#This Row],[team-2-win]]</f>
        <v>1</v>
      </c>
    </row>
    <row r="378" spans="1:7" x14ac:dyDescent="0.25">
      <c r="A378" t="s">
        <v>45</v>
      </c>
      <c r="B378" t="s">
        <v>63</v>
      </c>
      <c r="C378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78" t="s">
        <v>38</v>
      </c>
      <c r="E378" t="s">
        <v>227</v>
      </c>
      <c r="F378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78">
        <f>ScenarioStat5[[#This Row],[team-1-win]]+ScenarioStat5[[#This Row],[team-2-win]]</f>
        <v>1</v>
      </c>
    </row>
    <row r="379" spans="1:7" x14ac:dyDescent="0.25">
      <c r="A379" t="s">
        <v>45</v>
      </c>
      <c r="B379" t="s">
        <v>38</v>
      </c>
      <c r="C379">
        <f>COUNTIFS(Scenario5[winner1],ScenarioStat5[[#This Row],[hero-1]],Scenario5[winner2],ScenarioStat5[[#This Row],[hero-2]],Scenario5[loser1],ScenarioStat5[[#This Row],[hero-3]],Scenario5[loser2],ScenarioStat5[[#This Row],[hero-4]])</f>
        <v>1</v>
      </c>
      <c r="D379" t="s">
        <v>63</v>
      </c>
      <c r="E379" t="s">
        <v>227</v>
      </c>
      <c r="F379">
        <f>COUNTIFS(Scenario5[winner1],ScenarioStat5[[#This Row],[hero-3]],Scenario5[winner2],ScenarioStat5[[#This Row],[hero-4]],Scenario5[loser1],ScenarioStat5[[#This Row],[hero-1]],Scenario5[loser2],ScenarioStat5[[#This Row],[hero-2]])</f>
        <v>0</v>
      </c>
      <c r="G379">
        <f>ScenarioStat5[[#This Row],[team-1-win]]+ScenarioStat5[[#This Row],[team-2-win]]</f>
        <v>1</v>
      </c>
    </row>
    <row r="380" spans="1:7" x14ac:dyDescent="0.25">
      <c r="A380" t="s">
        <v>45</v>
      </c>
      <c r="B380" t="s">
        <v>227</v>
      </c>
      <c r="C380">
        <f>COUNTIFS(Scenario5[winner1],ScenarioStat5[[#This Row],[hero-1]],Scenario5[winner2],ScenarioStat5[[#This Row],[hero-2]],Scenario5[loser1],ScenarioStat5[[#This Row],[hero-3]],Scenario5[loser2],ScenarioStat5[[#This Row],[hero-4]])</f>
        <v>0</v>
      </c>
      <c r="D380" t="s">
        <v>63</v>
      </c>
      <c r="E380" t="s">
        <v>38</v>
      </c>
      <c r="F380">
        <f>COUNTIFS(Scenario5[winner1],ScenarioStat5[[#This Row],[hero-3]],Scenario5[winner2],ScenarioStat5[[#This Row],[hero-4]],Scenario5[loser1],ScenarioStat5[[#This Row],[hero-1]],Scenario5[loser2],ScenarioStat5[[#This Row],[hero-2]])</f>
        <v>1</v>
      </c>
      <c r="G380">
        <f>ScenarioStat5[[#This Row],[team-1-win]]+ScenarioStat5[[#This Row],[team-2-win]]</f>
        <v>1</v>
      </c>
    </row>
  </sheetData>
  <mergeCells count="2">
    <mergeCell ref="A1:G1"/>
    <mergeCell ref="I1:M1"/>
  </mergeCells>
  <conditionalFormatting sqref="M3:M3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885E-AA77-4085-866A-0C5D013A86CB}">
  <dimension ref="A1:M18"/>
  <sheetViews>
    <sheetView tabSelected="1" workbookViewId="0">
      <selection activeCell="N15" sqref="N15"/>
    </sheetView>
  </sheetViews>
  <sheetFormatPr defaultRowHeight="15" x14ac:dyDescent="0.25"/>
  <cols>
    <col min="1" max="1" width="11.42578125" bestFit="1" customWidth="1"/>
    <col min="2" max="2" width="9.42578125" bestFit="1" customWidth="1"/>
    <col min="3" max="8" width="9.140625" bestFit="1" customWidth="1"/>
    <col min="9" max="9" width="7.42578125" bestFit="1" customWidth="1"/>
    <col min="10" max="10" width="10.85546875" style="3" bestFit="1" customWidth="1"/>
    <col min="11" max="11" width="8.7109375" customWidth="1"/>
    <col min="12" max="12" width="7.85546875" bestFit="1" customWidth="1"/>
    <col min="13" max="13" width="7.7109375" style="3" bestFit="1" customWidth="1"/>
    <col min="14" max="14" width="7.42578125" bestFit="1" customWidth="1"/>
  </cols>
  <sheetData>
    <row r="1" spans="1:13" x14ac:dyDescent="0.25">
      <c r="A1" t="s">
        <v>106</v>
      </c>
      <c r="B1" t="s">
        <v>58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79</v>
      </c>
      <c r="J1" s="3" t="s">
        <v>80</v>
      </c>
    </row>
    <row r="2" spans="1:13" x14ac:dyDescent="0.25">
      <c r="A2" t="s">
        <v>53</v>
      </c>
      <c r="B2">
        <f>COUNTIF(Scenario0[winner1],HeroStatistics[[#This Row],[hero]])+COUNTIF(Scenario0[winner2],HeroStatistics[[#This Row],[hero]])+COUNTIF(Scenario0[loser1],HeroStatistics[[#This Row],[hero]])+COUNTIF(Scenario0[loser2],HeroStatistics[[#This Row],[hero]])+COUNTIF(Scenario1[winner1],HeroStatistics[[#This Row],[hero]])+COUNTIF(Scenario1[winner2],HeroStatistics[[#This Row],[hero]])+COUNTIF(Scenario1[loser1],HeroStatistics[[#This Row],[hero]])+COUNTIF(Scenario1[loser2],HeroStatistics[[#This Row],[hero]])+COUNTIF(Scenario2[winner1],HeroStatistics[[#This Row],[hero]])+COUNTIF(Scenario2[loser1],HeroStatistics[[#This Row],[hero]])+COUNTIF(Scenario3[winner1],HeroStatistics[[#This Row],[hero]])+COUNTIF(Scenario3[loser1],HeroStatistics[[#This Row],[hero]])+COUNTIF(Scenario3[loser2],HeroStatistics[[#This Row],[hero]])+COUNTIF(Scenario4[winner1],HeroStatistics[[#This Row],[hero]])+COUNTIF(Scenario4[loser1],HeroStatistics[[#This Row],[hero]])+COUNTIF(Scenario4[loser2],HeroStatistics[[#This Row],[hero]])+COUNTIF(Scenario4[loser3],HeroStatistics[[#This Row],[hero]])+COUNTIF(Scenario5[winner1],HeroStatistics[[#This Row],[hero]])+COUNTIF(Scenario5[winner2],HeroStatistics[[#This Row],[hero]])+COUNTIF(Scenario5[loser1],HeroStatistics[[#This Row],[hero]])+COUNTIF(Scenario5[loser2],HeroStatistics[[#This Row],[hero]])</f>
        <v>604</v>
      </c>
      <c r="C2">
        <f>COUNTIF(Scenario0[winner1],HeroStatistics[[#This Row],[hero]])+COUNTIF(Scenario0[winner2],HeroStatistics[[#This Row],[hero]])</f>
        <v>73</v>
      </c>
      <c r="D2">
        <f>COUNTIF(Scenario1[winner1],HeroStatistics[[#This Row],[hero]])+COUNTIF(Scenario1[winner2],HeroStatistics[[#This Row],[hero]])</f>
        <v>73</v>
      </c>
      <c r="E2">
        <f>COUNTIF(Scenario2[winner1],HeroStatistics[[#This Row],[hero]])</f>
        <v>12</v>
      </c>
      <c r="F2">
        <f>COUNTIF(Scenario3[winner1],HeroStatistics[[#This Row],[hero]])</f>
        <v>14</v>
      </c>
      <c r="G2">
        <f>COUNTIF(Scenario4[winner1],HeroStatistics[[#This Row],[hero]])</f>
        <v>13</v>
      </c>
      <c r="H2">
        <f>COUNTIF(Scenario5[winner1],HeroStatistics[[#This Row],[hero]])+COUNTIF(Scenario5[winner2],HeroStatistics[[#This Row],[hero]])</f>
        <v>110</v>
      </c>
      <c r="I2">
        <f>SUM(HeroStatistics[[#This Row],[0-wins]:[5-wins]])</f>
        <v>295</v>
      </c>
      <c r="J2" s="35">
        <f>HeroStatistics[[#This Row],[wins]]/HeroStatistics[[#This Row],[battles]]</f>
        <v>0.48841059602649006</v>
      </c>
      <c r="M2"/>
    </row>
    <row r="3" spans="1:13" x14ac:dyDescent="0.25">
      <c r="A3" t="s">
        <v>56</v>
      </c>
      <c r="B3">
        <f>COUNTIF(Scenario0[winner1],HeroStatistics[[#This Row],[hero]])+COUNTIF(Scenario0[winner2],HeroStatistics[[#This Row],[hero]])+COUNTIF(Scenario0[loser1],HeroStatistics[[#This Row],[hero]])+COUNTIF(Scenario0[loser2],HeroStatistics[[#This Row],[hero]])+COUNTIF(Scenario1[winner1],HeroStatistics[[#This Row],[hero]])+COUNTIF(Scenario1[winner2],HeroStatistics[[#This Row],[hero]])+COUNTIF(Scenario1[loser1],HeroStatistics[[#This Row],[hero]])+COUNTIF(Scenario1[loser2],HeroStatistics[[#This Row],[hero]])+COUNTIF(Scenario2[winner1],HeroStatistics[[#This Row],[hero]])+COUNTIF(Scenario2[loser1],HeroStatistics[[#This Row],[hero]])+COUNTIF(Scenario3[winner1],HeroStatistics[[#This Row],[hero]])+COUNTIF(Scenario3[loser1],HeroStatistics[[#This Row],[hero]])+COUNTIF(Scenario3[loser2],HeroStatistics[[#This Row],[hero]])+COUNTIF(Scenario4[winner1],HeroStatistics[[#This Row],[hero]])+COUNTIF(Scenario4[loser1],HeroStatistics[[#This Row],[hero]])+COUNTIF(Scenario4[loser2],HeroStatistics[[#This Row],[hero]])+COUNTIF(Scenario4[loser3],HeroStatistics[[#This Row],[hero]])+COUNTIF(Scenario5[winner1],HeroStatistics[[#This Row],[hero]])+COUNTIF(Scenario5[winner2],HeroStatistics[[#This Row],[hero]])+COUNTIF(Scenario5[loser1],HeroStatistics[[#This Row],[hero]])+COUNTIF(Scenario5[loser2],HeroStatistics[[#This Row],[hero]])</f>
        <v>604</v>
      </c>
      <c r="C3">
        <f>COUNTIF(Scenario0[winner1],HeroStatistics[[#This Row],[hero]])+COUNTIF(Scenario0[winner2],HeroStatistics[[#This Row],[hero]])</f>
        <v>73</v>
      </c>
      <c r="D3">
        <f>COUNTIF(Scenario1[winner1],HeroStatistics[[#This Row],[hero]])+COUNTIF(Scenario1[winner2],HeroStatistics[[#This Row],[hero]])</f>
        <v>69</v>
      </c>
      <c r="E3">
        <f>COUNTIF(Scenario2[winner1],HeroStatistics[[#This Row],[hero]])</f>
        <v>11</v>
      </c>
      <c r="F3">
        <f>COUNTIF(Scenario3[winner1],HeroStatistics[[#This Row],[hero]])</f>
        <v>14</v>
      </c>
      <c r="G3">
        <f>COUNTIF(Scenario4[winner1],HeroStatistics[[#This Row],[hero]])</f>
        <v>13</v>
      </c>
      <c r="H3">
        <f>COUNTIF(Scenario5[winner1],HeroStatistics[[#This Row],[hero]])+COUNTIF(Scenario5[winner2],HeroStatistics[[#This Row],[hero]])</f>
        <v>90</v>
      </c>
      <c r="I3">
        <f>SUM(HeroStatistics[[#This Row],[0-wins]:[5-wins]])</f>
        <v>270</v>
      </c>
      <c r="J3" s="35">
        <f>HeroStatistics[[#This Row],[wins]]/HeroStatistics[[#This Row],[battles]]</f>
        <v>0.44701986754966888</v>
      </c>
      <c r="M3"/>
    </row>
    <row r="4" spans="1:13" x14ac:dyDescent="0.25">
      <c r="A4" t="s">
        <v>48</v>
      </c>
      <c r="B4">
        <f>COUNTIF(Scenario0[winner1],HeroStatistics[[#This Row],[hero]])+COUNTIF(Scenario0[winner2],HeroStatistics[[#This Row],[hero]])+COUNTIF(Scenario0[loser1],HeroStatistics[[#This Row],[hero]])+COUNTIF(Scenario0[loser2],HeroStatistics[[#This Row],[hero]])+COUNTIF(Scenario1[winner1],HeroStatistics[[#This Row],[hero]])+COUNTIF(Scenario1[winner2],HeroStatistics[[#This Row],[hero]])+COUNTIF(Scenario1[loser1],HeroStatistics[[#This Row],[hero]])+COUNTIF(Scenario1[loser2],HeroStatistics[[#This Row],[hero]])+COUNTIF(Scenario2[winner1],HeroStatistics[[#This Row],[hero]])+COUNTIF(Scenario2[loser1],HeroStatistics[[#This Row],[hero]])+COUNTIF(Scenario3[winner1],HeroStatistics[[#This Row],[hero]])+COUNTIF(Scenario3[loser1],HeroStatistics[[#This Row],[hero]])+COUNTIF(Scenario3[loser2],HeroStatistics[[#This Row],[hero]])+COUNTIF(Scenario4[winner1],HeroStatistics[[#This Row],[hero]])+COUNTIF(Scenario4[loser1],HeroStatistics[[#This Row],[hero]])+COUNTIF(Scenario4[loser2],HeroStatistics[[#This Row],[hero]])+COUNTIF(Scenario4[loser3],HeroStatistics[[#This Row],[hero]])+COUNTIF(Scenario5[winner1],HeroStatistics[[#This Row],[hero]])+COUNTIF(Scenario5[winner2],HeroStatistics[[#This Row],[hero]])+COUNTIF(Scenario5[loser1],HeroStatistics[[#This Row],[hero]])+COUNTIF(Scenario5[loser2],HeroStatistics[[#This Row],[hero]])</f>
        <v>604</v>
      </c>
      <c r="C4">
        <f>COUNTIF(Scenario0[winner1],HeroStatistics[[#This Row],[hero]])+COUNTIF(Scenario0[winner2],HeroStatistics[[#This Row],[hero]])</f>
        <v>91</v>
      </c>
      <c r="D4">
        <f>COUNTIF(Scenario1[winner1],HeroStatistics[[#This Row],[hero]])+COUNTIF(Scenario1[winner2],HeroStatistics[[#This Row],[hero]])</f>
        <v>96</v>
      </c>
      <c r="E4">
        <f>COUNTIF(Scenario2[winner1],HeroStatistics[[#This Row],[hero]])</f>
        <v>12</v>
      </c>
      <c r="F4">
        <f>COUNTIF(Scenario3[winner1],HeroStatistics[[#This Row],[hero]])</f>
        <v>10</v>
      </c>
      <c r="G4">
        <f>COUNTIF(Scenario4[winner1],HeroStatistics[[#This Row],[hero]])</f>
        <v>13</v>
      </c>
      <c r="H4">
        <f>COUNTIF(Scenario5[winner1],HeroStatistics[[#This Row],[hero]])+COUNTIF(Scenario5[winner2],HeroStatistics[[#This Row],[hero]])</f>
        <v>88</v>
      </c>
      <c r="I4">
        <f>SUM(HeroStatistics[[#This Row],[0-wins]:[5-wins]])</f>
        <v>310</v>
      </c>
      <c r="J4" s="35">
        <f>HeroStatistics[[#This Row],[wins]]/HeroStatistics[[#This Row],[battles]]</f>
        <v>0.51324503311258274</v>
      </c>
      <c r="M4"/>
    </row>
    <row r="5" spans="1:13" x14ac:dyDescent="0.25">
      <c r="A5" t="s">
        <v>33</v>
      </c>
      <c r="B5">
        <f>COUNTIF(Scenario0[winner1],HeroStatistics[[#This Row],[hero]])+COUNTIF(Scenario0[winner2],HeroStatistics[[#This Row],[hero]])+COUNTIF(Scenario0[loser1],HeroStatistics[[#This Row],[hero]])+COUNTIF(Scenario0[loser2],HeroStatistics[[#This Row],[hero]])+COUNTIF(Scenario1[winner1],HeroStatistics[[#This Row],[hero]])+COUNTIF(Scenario1[winner2],HeroStatistics[[#This Row],[hero]])+COUNTIF(Scenario1[loser1],HeroStatistics[[#This Row],[hero]])+COUNTIF(Scenario1[loser2],HeroStatistics[[#This Row],[hero]])+COUNTIF(Scenario2[winner1],HeroStatistics[[#This Row],[hero]])+COUNTIF(Scenario2[loser1],HeroStatistics[[#This Row],[hero]])+COUNTIF(Scenario3[winner1],HeroStatistics[[#This Row],[hero]])+COUNTIF(Scenario3[loser1],HeroStatistics[[#This Row],[hero]])+COUNTIF(Scenario3[loser2],HeroStatistics[[#This Row],[hero]])+COUNTIF(Scenario4[winner1],HeroStatistics[[#This Row],[hero]])+COUNTIF(Scenario4[loser1],HeroStatistics[[#This Row],[hero]])+COUNTIF(Scenario4[loser2],HeroStatistics[[#This Row],[hero]])+COUNTIF(Scenario4[loser3],HeroStatistics[[#This Row],[hero]])+COUNTIF(Scenario5[winner1],HeroStatistics[[#This Row],[hero]])+COUNTIF(Scenario5[winner2],HeroStatistics[[#This Row],[hero]])+COUNTIF(Scenario5[loser1],HeroStatistics[[#This Row],[hero]])+COUNTIF(Scenario5[loser2],HeroStatistics[[#This Row],[hero]])</f>
        <v>604</v>
      </c>
      <c r="C5">
        <f>COUNTIF(Scenario0[winner1],HeroStatistics[[#This Row],[hero]])+COUNTIF(Scenario0[winner2],HeroStatistics[[#This Row],[hero]])</f>
        <v>109</v>
      </c>
      <c r="D5">
        <f>COUNTIF(Scenario1[winner1],HeroStatistics[[#This Row],[hero]])+COUNTIF(Scenario1[winner2],HeroStatistics[[#This Row],[hero]])</f>
        <v>89</v>
      </c>
      <c r="E5">
        <f>COUNTIF(Scenario2[winner1],HeroStatistics[[#This Row],[hero]])</f>
        <v>5</v>
      </c>
      <c r="F5">
        <f>COUNTIF(Scenario3[winner1],HeroStatistics[[#This Row],[hero]])</f>
        <v>11</v>
      </c>
      <c r="G5">
        <f>COUNTIF(Scenario4[winner1],HeroStatistics[[#This Row],[hero]])</f>
        <v>22</v>
      </c>
      <c r="H5">
        <f>COUNTIF(Scenario5[winner1],HeroStatistics[[#This Row],[hero]])+COUNTIF(Scenario5[winner2],HeroStatistics[[#This Row],[hero]])</f>
        <v>61</v>
      </c>
      <c r="I5">
        <f>SUM(HeroStatistics[[#This Row],[0-wins]:[5-wins]])</f>
        <v>297</v>
      </c>
      <c r="J5" s="35">
        <f>HeroStatistics[[#This Row],[wins]]/HeroStatistics[[#This Row],[battles]]</f>
        <v>0.49172185430463577</v>
      </c>
      <c r="M5"/>
    </row>
    <row r="6" spans="1:13" x14ac:dyDescent="0.25">
      <c r="A6" t="s">
        <v>43</v>
      </c>
      <c r="B6">
        <f>COUNTIF(Scenario0[winner1],HeroStatistics[[#This Row],[hero]])+COUNTIF(Scenario0[winner2],HeroStatistics[[#This Row],[hero]])+COUNTIF(Scenario0[loser1],HeroStatistics[[#This Row],[hero]])+COUNTIF(Scenario0[loser2],HeroStatistics[[#This Row],[hero]])+COUNTIF(Scenario1[winner1],HeroStatistics[[#This Row],[hero]])+COUNTIF(Scenario1[winner2],HeroStatistics[[#This Row],[hero]])+COUNTIF(Scenario1[loser1],HeroStatistics[[#This Row],[hero]])+COUNTIF(Scenario1[loser2],HeroStatistics[[#This Row],[hero]])+COUNTIF(Scenario2[winner1],HeroStatistics[[#This Row],[hero]])+COUNTIF(Scenario2[loser1],HeroStatistics[[#This Row],[hero]])+COUNTIF(Scenario3[winner1],HeroStatistics[[#This Row],[hero]])+COUNTIF(Scenario3[loser1],HeroStatistics[[#This Row],[hero]])+COUNTIF(Scenario3[loser2],HeroStatistics[[#This Row],[hero]])+COUNTIF(Scenario4[winner1],HeroStatistics[[#This Row],[hero]])+COUNTIF(Scenario4[loser1],HeroStatistics[[#This Row],[hero]])+COUNTIF(Scenario4[loser2],HeroStatistics[[#This Row],[hero]])+COUNTIF(Scenario4[loser3],HeroStatistics[[#This Row],[hero]])+COUNTIF(Scenario5[winner1],HeroStatistics[[#This Row],[hero]])+COUNTIF(Scenario5[winner2],HeroStatistics[[#This Row],[hero]])+COUNTIF(Scenario5[loser1],HeroStatistics[[#This Row],[hero]])+COUNTIF(Scenario5[loser2],HeroStatistics[[#This Row],[hero]])</f>
        <v>604</v>
      </c>
      <c r="C6">
        <f>COUNTIF(Scenario0[winner1],HeroStatistics[[#This Row],[hero]])+COUNTIF(Scenario0[winner2],HeroStatistics[[#This Row],[hero]])</f>
        <v>94</v>
      </c>
      <c r="D6">
        <f>COUNTIF(Scenario1[winner1],HeroStatistics[[#This Row],[hero]])+COUNTIF(Scenario1[winner2],HeroStatistics[[#This Row],[hero]])</f>
        <v>93</v>
      </c>
      <c r="E6">
        <f>COUNTIF(Scenario2[winner1],HeroStatistics[[#This Row],[hero]])</f>
        <v>8</v>
      </c>
      <c r="F6">
        <f>COUNTIF(Scenario3[winner1],HeroStatistics[[#This Row],[hero]])</f>
        <v>4</v>
      </c>
      <c r="G6">
        <f>COUNTIF(Scenario4[winner1],HeroStatistics[[#This Row],[hero]])</f>
        <v>12</v>
      </c>
      <c r="H6">
        <f>COUNTIF(Scenario5[winner1],HeroStatistics[[#This Row],[hero]])+COUNTIF(Scenario5[winner2],HeroStatistics[[#This Row],[hero]])</f>
        <v>81</v>
      </c>
      <c r="I6">
        <f>SUM(HeroStatistics[[#This Row],[0-wins]:[5-wins]])</f>
        <v>292</v>
      </c>
      <c r="J6" s="35">
        <f>HeroStatistics[[#This Row],[wins]]/HeroStatistics[[#This Row],[battles]]</f>
        <v>0.48344370860927155</v>
      </c>
      <c r="M6"/>
    </row>
    <row r="7" spans="1:13" x14ac:dyDescent="0.25">
      <c r="A7" t="s">
        <v>45</v>
      </c>
      <c r="B7">
        <f>COUNTIF(Scenario0[winner1],HeroStatistics[[#This Row],[hero]])+COUNTIF(Scenario0[winner2],HeroStatistics[[#This Row],[hero]])+COUNTIF(Scenario0[loser1],HeroStatistics[[#This Row],[hero]])+COUNTIF(Scenario0[loser2],HeroStatistics[[#This Row],[hero]])+COUNTIF(Scenario1[winner1],HeroStatistics[[#This Row],[hero]])+COUNTIF(Scenario1[winner2],HeroStatistics[[#This Row],[hero]])+COUNTIF(Scenario1[loser1],HeroStatistics[[#This Row],[hero]])+COUNTIF(Scenario1[loser2],HeroStatistics[[#This Row],[hero]])+COUNTIF(Scenario2[winner1],HeroStatistics[[#This Row],[hero]])+COUNTIF(Scenario2[loser1],HeroStatistics[[#This Row],[hero]])+COUNTIF(Scenario3[winner1],HeroStatistics[[#This Row],[hero]])+COUNTIF(Scenario3[loser1],HeroStatistics[[#This Row],[hero]])+COUNTIF(Scenario3[loser2],HeroStatistics[[#This Row],[hero]])+COUNTIF(Scenario4[winner1],HeroStatistics[[#This Row],[hero]])+COUNTIF(Scenario4[loser1],HeroStatistics[[#This Row],[hero]])+COUNTIF(Scenario4[loser2],HeroStatistics[[#This Row],[hero]])+COUNTIF(Scenario4[loser3],HeroStatistics[[#This Row],[hero]])+COUNTIF(Scenario5[winner1],HeroStatistics[[#This Row],[hero]])+COUNTIF(Scenario5[winner2],HeroStatistics[[#This Row],[hero]])+COUNTIF(Scenario5[loser1],HeroStatistics[[#This Row],[hero]])+COUNTIF(Scenario5[loser2],HeroStatistics[[#This Row],[hero]])</f>
        <v>604</v>
      </c>
      <c r="C7">
        <f>COUNTIF(Scenario0[winner1],HeroStatistics[[#This Row],[hero]])+COUNTIF(Scenario0[winner2],HeroStatistics[[#This Row],[hero]])</f>
        <v>81</v>
      </c>
      <c r="D7">
        <f>COUNTIF(Scenario1[winner1],HeroStatistics[[#This Row],[hero]])+COUNTIF(Scenario1[winner2],HeroStatistics[[#This Row],[hero]])</f>
        <v>85</v>
      </c>
      <c r="E7">
        <f>COUNTIF(Scenario2[winner1],HeroStatistics[[#This Row],[hero]])</f>
        <v>6</v>
      </c>
      <c r="F7">
        <f>COUNTIF(Scenario3[winner1],HeroStatistics[[#This Row],[hero]])</f>
        <v>7</v>
      </c>
      <c r="G7">
        <f>COUNTIF(Scenario4[winner1],HeroStatistics[[#This Row],[hero]])</f>
        <v>15</v>
      </c>
      <c r="H7">
        <f>COUNTIF(Scenario5[winner1],HeroStatistics[[#This Row],[hero]])+COUNTIF(Scenario5[winner2],HeroStatistics[[#This Row],[hero]])</f>
        <v>83</v>
      </c>
      <c r="I7">
        <f>SUM(HeroStatistics[[#This Row],[0-wins]:[5-wins]])</f>
        <v>277</v>
      </c>
      <c r="J7" s="35">
        <f>HeroStatistics[[#This Row],[wins]]/HeroStatistics[[#This Row],[battles]]</f>
        <v>0.45860927152317882</v>
      </c>
      <c r="M7"/>
    </row>
    <row r="8" spans="1:13" x14ac:dyDescent="0.25">
      <c r="A8" t="s">
        <v>63</v>
      </c>
      <c r="B8">
        <f>COUNTIF(Scenario0[winner1],HeroStatistics[[#This Row],[hero]])+COUNTIF(Scenario0[winner2],HeroStatistics[[#This Row],[hero]])+COUNTIF(Scenario0[loser1],HeroStatistics[[#This Row],[hero]])+COUNTIF(Scenario0[loser2],HeroStatistics[[#This Row],[hero]])+COUNTIF(Scenario1[winner1],HeroStatistics[[#This Row],[hero]])+COUNTIF(Scenario1[winner2],HeroStatistics[[#This Row],[hero]])+COUNTIF(Scenario1[loser1],HeroStatistics[[#This Row],[hero]])+COUNTIF(Scenario1[loser2],HeroStatistics[[#This Row],[hero]])+COUNTIF(Scenario2[winner1],HeroStatistics[[#This Row],[hero]])+COUNTIF(Scenario2[loser1],HeroStatistics[[#This Row],[hero]])+COUNTIF(Scenario3[winner1],HeroStatistics[[#This Row],[hero]])+COUNTIF(Scenario3[loser1],HeroStatistics[[#This Row],[hero]])+COUNTIF(Scenario3[loser2],HeroStatistics[[#This Row],[hero]])+COUNTIF(Scenario4[winner1],HeroStatistics[[#This Row],[hero]])+COUNTIF(Scenario4[loser1],HeroStatistics[[#This Row],[hero]])+COUNTIF(Scenario4[loser2],HeroStatistics[[#This Row],[hero]])+COUNTIF(Scenario4[loser3],HeroStatistics[[#This Row],[hero]])+COUNTIF(Scenario5[winner1],HeroStatistics[[#This Row],[hero]])+COUNTIF(Scenario5[winner2],HeroStatistics[[#This Row],[hero]])+COUNTIF(Scenario5[loser1],HeroStatistics[[#This Row],[hero]])+COUNTIF(Scenario5[loser2],HeroStatistics[[#This Row],[hero]])</f>
        <v>604</v>
      </c>
      <c r="C8">
        <f>COUNTIF(Scenario0[winner1],HeroStatistics[[#This Row],[hero]])+COUNTIF(Scenario0[winner2],HeroStatistics[[#This Row],[hero]])</f>
        <v>70</v>
      </c>
      <c r="D8">
        <f>COUNTIF(Scenario1[winner1],HeroStatistics[[#This Row],[hero]])+COUNTIF(Scenario1[winner2],HeroStatistics[[#This Row],[hero]])</f>
        <v>62</v>
      </c>
      <c r="E8">
        <f>COUNTIF(Scenario2[winner1],HeroStatistics[[#This Row],[hero]])</f>
        <v>4</v>
      </c>
      <c r="F8">
        <f>COUNTIF(Scenario3[winner1],HeroStatistics[[#This Row],[hero]])</f>
        <v>7</v>
      </c>
      <c r="G8">
        <f>COUNTIF(Scenario4[winner1],HeroStatistics[[#This Row],[hero]])</f>
        <v>13</v>
      </c>
      <c r="H8">
        <f>COUNTIF(Scenario5[winner1],HeroStatistics[[#This Row],[hero]])+COUNTIF(Scenario5[winner2],HeroStatistics[[#This Row],[hero]])</f>
        <v>94</v>
      </c>
      <c r="I8">
        <f>SUM(HeroStatistics[[#This Row],[0-wins]:[5-wins]])</f>
        <v>250</v>
      </c>
      <c r="J8" s="35">
        <f>HeroStatistics[[#This Row],[wins]]/HeroStatistics[[#This Row],[battles]]</f>
        <v>0.41390728476821192</v>
      </c>
      <c r="M8"/>
    </row>
    <row r="9" spans="1:13" x14ac:dyDescent="0.25">
      <c r="A9" t="s">
        <v>38</v>
      </c>
      <c r="B9">
        <f>COUNTIF(Scenario0[winner1],HeroStatistics[[#This Row],[hero]])+COUNTIF(Scenario0[winner2],HeroStatistics[[#This Row],[hero]])+COUNTIF(Scenario0[loser1],HeroStatistics[[#This Row],[hero]])+COUNTIF(Scenario0[loser2],HeroStatistics[[#This Row],[hero]])+COUNTIF(Scenario1[winner1],HeroStatistics[[#This Row],[hero]])+COUNTIF(Scenario1[winner2],HeroStatistics[[#This Row],[hero]])+COUNTIF(Scenario1[loser1],HeroStatistics[[#This Row],[hero]])+COUNTIF(Scenario1[loser2],HeroStatistics[[#This Row],[hero]])+COUNTIF(Scenario2[winner1],HeroStatistics[[#This Row],[hero]])+COUNTIF(Scenario2[loser1],HeroStatistics[[#This Row],[hero]])+COUNTIF(Scenario3[winner1],HeroStatistics[[#This Row],[hero]])+COUNTIF(Scenario3[loser1],HeroStatistics[[#This Row],[hero]])+COUNTIF(Scenario3[loser2],HeroStatistics[[#This Row],[hero]])+COUNTIF(Scenario4[winner1],HeroStatistics[[#This Row],[hero]])+COUNTIF(Scenario4[loser1],HeroStatistics[[#This Row],[hero]])+COUNTIF(Scenario4[loser2],HeroStatistics[[#This Row],[hero]])+COUNTIF(Scenario4[loser3],HeroStatistics[[#This Row],[hero]])+COUNTIF(Scenario5[winner1],HeroStatistics[[#This Row],[hero]])+COUNTIF(Scenario5[winner2],HeroStatistics[[#This Row],[hero]])+COUNTIF(Scenario5[loser1],HeroStatistics[[#This Row],[hero]])+COUNTIF(Scenario5[loser2],HeroStatistics[[#This Row],[hero]])</f>
        <v>604</v>
      </c>
      <c r="C9">
        <f>COUNTIF(Scenario0[winner1],HeroStatistics[[#This Row],[hero]])+COUNTIF(Scenario0[winner2],HeroStatistics[[#This Row],[hero]])</f>
        <v>99</v>
      </c>
      <c r="D9">
        <f>COUNTIF(Scenario1[winner1],HeroStatistics[[#This Row],[hero]])+COUNTIF(Scenario1[winner2],HeroStatistics[[#This Row],[hero]])</f>
        <v>130</v>
      </c>
      <c r="E9">
        <f>COUNTIF(Scenario2[winner1],HeroStatistics[[#This Row],[hero]])</f>
        <v>8</v>
      </c>
      <c r="F9">
        <f>COUNTIF(Scenario3[winner1],HeroStatistics[[#This Row],[hero]])</f>
        <v>8</v>
      </c>
      <c r="G9">
        <f>COUNTIF(Scenario4[winner1],HeroStatistics[[#This Row],[hero]])</f>
        <v>8</v>
      </c>
      <c r="H9">
        <f>COUNTIF(Scenario5[winner1],HeroStatistics[[#This Row],[hero]])+COUNTIF(Scenario5[winner2],HeroStatistics[[#This Row],[hero]])</f>
        <v>70</v>
      </c>
      <c r="I9">
        <f>SUM(HeroStatistics[[#This Row],[0-wins]:[5-wins]])</f>
        <v>323</v>
      </c>
      <c r="J9" s="35">
        <f>HeroStatistics[[#This Row],[wins]]/HeroStatistics[[#This Row],[battles]]</f>
        <v>0.53476821192052981</v>
      </c>
      <c r="M9"/>
    </row>
    <row r="10" spans="1:13" x14ac:dyDescent="0.25">
      <c r="A10" t="s">
        <v>227</v>
      </c>
      <c r="B10">
        <f>COUNTIF(Scenario0[winner1],HeroStatistics[[#This Row],[hero]])+COUNTIF(Scenario0[winner2],HeroStatistics[[#This Row],[hero]])+COUNTIF(Scenario0[loser1],HeroStatistics[[#This Row],[hero]])+COUNTIF(Scenario0[loser2],HeroStatistics[[#This Row],[hero]])+COUNTIF(Scenario1[winner1],HeroStatistics[[#This Row],[hero]])+COUNTIF(Scenario1[winner2],HeroStatistics[[#This Row],[hero]])+COUNTIF(Scenario1[loser1],HeroStatistics[[#This Row],[hero]])+COUNTIF(Scenario1[loser2],HeroStatistics[[#This Row],[hero]])+COUNTIF(Scenario2[winner1],HeroStatistics[[#This Row],[hero]])+COUNTIF(Scenario2[loser1],HeroStatistics[[#This Row],[hero]])+COUNTIF(Scenario3[winner1],HeroStatistics[[#This Row],[hero]])+COUNTIF(Scenario3[loser1],HeroStatistics[[#This Row],[hero]])+COUNTIF(Scenario3[loser2],HeroStatistics[[#This Row],[hero]])+COUNTIF(Scenario4[winner1],HeroStatistics[[#This Row],[hero]])+COUNTIF(Scenario4[loser1],HeroStatistics[[#This Row],[hero]])+COUNTIF(Scenario4[loser2],HeroStatistics[[#This Row],[hero]])+COUNTIF(Scenario4[loser3],HeroStatistics[[#This Row],[hero]])+COUNTIF(Scenario5[winner1],HeroStatistics[[#This Row],[hero]])+COUNTIF(Scenario5[winner2],HeroStatistics[[#This Row],[hero]])+COUNTIF(Scenario5[loser1],HeroStatistics[[#This Row],[hero]])+COUNTIF(Scenario5[loser2],HeroStatistics[[#This Row],[hero]])</f>
        <v>604</v>
      </c>
      <c r="C10">
        <f>COUNTIF(Scenario0[winner1],HeroStatistics[[#This Row],[hero]])+COUNTIF(Scenario0[winner2],HeroStatistics[[#This Row],[hero]])</f>
        <v>66</v>
      </c>
      <c r="D10">
        <f>COUNTIF(Scenario1[winner1],HeroStatistics[[#This Row],[hero]])+COUNTIF(Scenario1[winner2],HeroStatistics[[#This Row],[hero]])</f>
        <v>59</v>
      </c>
      <c r="E10">
        <f>COUNTIF(Scenario2[winner1],HeroStatistics[[#This Row],[hero]])</f>
        <v>6</v>
      </c>
      <c r="F10">
        <f>COUNTIF(Scenario3[winner1],HeroStatistics[[#This Row],[hero]])</f>
        <v>9</v>
      </c>
      <c r="G10">
        <f>COUNTIF(Scenario4[winner1],HeroStatistics[[#This Row],[hero]])</f>
        <v>17</v>
      </c>
      <c r="H10">
        <f>COUNTIF(Scenario5[winner1],HeroStatistics[[#This Row],[hero]])+COUNTIF(Scenario5[winner2],HeroStatistics[[#This Row],[hero]])</f>
        <v>79</v>
      </c>
      <c r="I10">
        <f>SUM(HeroStatistics[[#This Row],[0-wins]:[5-wins]])</f>
        <v>236</v>
      </c>
      <c r="J10" s="35">
        <f>HeroStatistics[[#This Row],[wins]]/HeroStatistics[[#This Row],[battles]]</f>
        <v>0.39072847682119205</v>
      </c>
      <c r="M10"/>
    </row>
    <row r="11" spans="1:13" x14ac:dyDescent="0.25">
      <c r="M11"/>
    </row>
    <row r="12" spans="1:13" x14ac:dyDescent="0.25">
      <c r="M12"/>
    </row>
    <row r="13" spans="1:13" x14ac:dyDescent="0.25">
      <c r="M13"/>
    </row>
    <row r="14" spans="1:13" x14ac:dyDescent="0.25">
      <c r="M14"/>
    </row>
    <row r="15" spans="1:13" x14ac:dyDescent="0.25">
      <c r="M15"/>
    </row>
    <row r="16" spans="1:13" x14ac:dyDescent="0.25">
      <c r="M16"/>
    </row>
    <row r="17" spans="13:13" x14ac:dyDescent="0.25">
      <c r="M17"/>
    </row>
    <row r="18" spans="13:13" x14ac:dyDescent="0.25">
      <c r="M18"/>
    </row>
  </sheetData>
  <phoneticPr fontId="3" type="noConversion"/>
  <conditionalFormatting sqref="J2:J10">
    <cfRule type="colorScale" priority="9">
      <colorScale>
        <cfvo type="min"/>
        <cfvo type="max"/>
        <color rgb="FFFFEF9C"/>
        <color rgb="FF63BE7B"/>
      </colorScale>
    </cfRule>
  </conditionalFormatting>
  <conditionalFormatting sqref="I2:I10">
    <cfRule type="colorScale" priority="8">
      <colorScale>
        <cfvo type="min"/>
        <cfvo type="max"/>
        <color rgb="FFFFEF9C"/>
        <color rgb="FF63BE7B"/>
      </colorScale>
    </cfRule>
  </conditionalFormatting>
  <conditionalFormatting sqref="H2:H10">
    <cfRule type="colorScale" priority="7">
      <colorScale>
        <cfvo type="min"/>
        <cfvo type="max"/>
        <color rgb="FFFFEF9C"/>
        <color rgb="FF63BE7B"/>
      </colorScale>
    </cfRule>
  </conditionalFormatting>
  <conditionalFormatting sqref="G2:G10">
    <cfRule type="colorScale" priority="6">
      <colorScale>
        <cfvo type="min"/>
        <cfvo type="max"/>
        <color rgb="FFFFEF9C"/>
        <color rgb="FF63BE7B"/>
      </colorScale>
    </cfRule>
  </conditionalFormatting>
  <conditionalFormatting sqref="F2:F10">
    <cfRule type="colorScale" priority="5">
      <colorScale>
        <cfvo type="min"/>
        <cfvo type="max"/>
        <color rgb="FFFFEF9C"/>
        <color rgb="FF63BE7B"/>
      </colorScale>
    </cfRule>
  </conditionalFormatting>
  <conditionalFormatting sqref="E2:E10">
    <cfRule type="colorScale" priority="4">
      <colorScale>
        <cfvo type="min"/>
        <cfvo type="max"/>
        <color rgb="FFFFEF9C"/>
        <color rgb="FF63BE7B"/>
      </colorScale>
    </cfRule>
  </conditionalFormatting>
  <conditionalFormatting sqref="D2:D10">
    <cfRule type="colorScale" priority="3">
      <colorScale>
        <cfvo type="min"/>
        <cfvo type="max"/>
        <color rgb="FFFFEF9C"/>
        <color rgb="FF63BE7B"/>
      </colorScale>
    </cfRule>
  </conditionalFormatting>
  <conditionalFormatting sqref="C2:C10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0B43-A2BB-4CF9-9C6C-55527BC15CFA}">
  <dimension ref="A1:X125"/>
  <sheetViews>
    <sheetView workbookViewId="0">
      <selection activeCell="E27" sqref="E27"/>
    </sheetView>
  </sheetViews>
  <sheetFormatPr defaultRowHeight="15" x14ac:dyDescent="0.25"/>
  <cols>
    <col min="1" max="1" width="23.140625" bestFit="1" customWidth="1"/>
    <col min="2" max="2" width="8" bestFit="1" customWidth="1"/>
    <col min="3" max="3" width="7.42578125" bestFit="1" customWidth="1"/>
    <col min="4" max="4" width="18.42578125" style="3" bestFit="1" customWidth="1"/>
    <col min="5" max="5" width="15.5703125" style="3" bestFit="1" customWidth="1"/>
    <col min="6" max="6" width="3.5703125" customWidth="1"/>
    <col min="7" max="7" width="7.7109375" bestFit="1" customWidth="1"/>
    <col min="8" max="8" width="8.140625" bestFit="1" customWidth="1"/>
    <col min="9" max="9" width="8.7109375" bestFit="1" customWidth="1"/>
    <col min="10" max="10" width="12.85546875" bestFit="1" customWidth="1"/>
    <col min="11" max="11" width="3.85546875" customWidth="1"/>
    <col min="12" max="12" width="23.140625" bestFit="1" customWidth="1"/>
    <col min="13" max="13" width="8" bestFit="1" customWidth="1"/>
    <col min="14" max="14" width="7.42578125" bestFit="1" customWidth="1"/>
    <col min="15" max="15" width="18.42578125" bestFit="1" customWidth="1"/>
    <col min="16" max="16" width="15.5703125" bestFit="1" customWidth="1"/>
    <col min="17" max="17" width="4" customWidth="1"/>
    <col min="18" max="18" width="7.7109375" bestFit="1" customWidth="1"/>
    <col min="19" max="19" width="8.140625" bestFit="1" customWidth="1"/>
    <col min="20" max="20" width="8.7109375" bestFit="1" customWidth="1"/>
    <col min="21" max="21" width="12.85546875" bestFit="1" customWidth="1"/>
    <col min="23" max="23" width="16.85546875" bestFit="1" customWidth="1"/>
    <col min="24" max="24" width="7.140625" bestFit="1" customWidth="1"/>
  </cols>
  <sheetData>
    <row r="1" spans="1:24" ht="15.75" thickBot="1" x14ac:dyDescent="0.3">
      <c r="A1" s="36" t="s">
        <v>181</v>
      </c>
      <c r="B1" s="37"/>
      <c r="C1" s="37"/>
      <c r="D1" s="37"/>
      <c r="E1" s="37"/>
      <c r="F1" s="37"/>
      <c r="G1" s="37"/>
      <c r="H1" s="37"/>
      <c r="I1" s="37"/>
      <c r="J1" s="38"/>
      <c r="L1" s="36" t="s">
        <v>182</v>
      </c>
      <c r="M1" s="37"/>
      <c r="N1" s="37"/>
      <c r="O1" s="37"/>
      <c r="P1" s="37"/>
      <c r="Q1" s="37"/>
      <c r="R1" s="37"/>
      <c r="S1" s="37"/>
      <c r="T1" s="37"/>
      <c r="U1" s="38"/>
      <c r="W1" t="s">
        <v>174</v>
      </c>
      <c r="X1" s="3" t="s">
        <v>175</v>
      </c>
    </row>
    <row r="2" spans="1:24" x14ac:dyDescent="0.25">
      <c r="A2" s="17" t="s">
        <v>109</v>
      </c>
      <c r="B2" t="s">
        <v>110</v>
      </c>
      <c r="C2" t="s">
        <v>79</v>
      </c>
      <c r="D2" s="3" t="s">
        <v>117</v>
      </c>
      <c r="E2" s="3" t="s">
        <v>118</v>
      </c>
      <c r="G2" t="s">
        <v>161</v>
      </c>
      <c r="H2" t="s">
        <v>162</v>
      </c>
      <c r="I2" t="s">
        <v>163</v>
      </c>
      <c r="J2" s="18" t="s">
        <v>164</v>
      </c>
      <c r="L2" s="17" t="s">
        <v>109</v>
      </c>
      <c r="M2" t="s">
        <v>110</v>
      </c>
      <c r="N2" t="s">
        <v>79</v>
      </c>
      <c r="O2" s="3" t="s">
        <v>117</v>
      </c>
      <c r="P2" s="3" t="s">
        <v>118</v>
      </c>
      <c r="R2" t="s">
        <v>161</v>
      </c>
      <c r="S2" t="s">
        <v>162</v>
      </c>
      <c r="T2" t="s">
        <v>163</v>
      </c>
      <c r="U2" s="18" t="s">
        <v>164</v>
      </c>
      <c r="W2" t="s">
        <v>188</v>
      </c>
      <c r="X2" s="3">
        <f>H4/SUM(ParagonEquip[spear])</f>
        <v>0.27980132450331124</v>
      </c>
    </row>
    <row r="3" spans="1:24" x14ac:dyDescent="0.25">
      <c r="A3" s="17" t="s">
        <v>54</v>
      </c>
      <c r="B3">
        <f>M3+M24+M45+M66+M87+M108</f>
        <v>98</v>
      </c>
      <c r="C3">
        <f>N3+N24+N45+N66+N87+N108</f>
        <v>48</v>
      </c>
      <c r="D3" s="3">
        <f>IF(SUM(ParagonAbilities1[[#This Row],[takes]]) &gt; 0,ParagonAbilities1[[#This Row],[takes]]/SUM(ParagonAbilities1[takes]),0)</f>
        <v>0.16225165562913907</v>
      </c>
      <c r="E3" s="3">
        <f>IF(ParagonAbilities1[[#This Row],[takes]]&gt;0,ParagonAbilities1[[#This Row],[wins]]/ParagonAbilities1[[#This Row],[takes]],0)</f>
        <v>0.48979591836734693</v>
      </c>
      <c r="G3">
        <v>1</v>
      </c>
      <c r="H3">
        <f>S3+S24+S45+S66+S87+S108</f>
        <v>197</v>
      </c>
      <c r="I3">
        <f>T3+T24+T45+T66+T87+T108</f>
        <v>326</v>
      </c>
      <c r="J3" s="18">
        <f>U3+U24+U45+U66+U87+U108</f>
        <v>294</v>
      </c>
      <c r="L3" s="17" t="s">
        <v>54</v>
      </c>
      <c r="M3">
        <f>COUNTIF(Scenario0[winner1-ability1],ParagonAbilities1Scenario0[[#This Row],[ability]])+COUNTIF(Scenario0[winner2-ability1],ParagonAbilities1Scenario0[[#This Row],[ability]])+COUNTIF(Scenario0[loser1-ability1],ParagonAbilities1Scenario0[[#This Row],[ability]])+COUNTIF(Scenario0[loser2-ability1],ParagonAbilities1Scenario0[[#This Row],[ability]])</f>
        <v>69</v>
      </c>
      <c r="N3">
        <f>COUNTIF(Scenario0[winner1-ability1],ParagonAbilities1Scenario0[[#This Row],[ability]])+COUNTIF(Scenario0[winner2-ability1],ParagonAbilities1Scenario0[[#This Row],[ability]])</f>
        <v>32</v>
      </c>
      <c r="O3" s="3">
        <f>IF(SUM(ParagonAbilities1Scenario0[[#This Row],[takes]]) &gt; 0,ParagonAbilities1Scenario0[[#This Row],[takes]]/SUM(ParagonAbilities1Scenario0[takes]),0)</f>
        <v>0.4107142857142857</v>
      </c>
      <c r="P3" s="3">
        <f>IF(ParagonAbilities1Scenario0[[#This Row],[takes]]&gt;0,ParagonAbilities1Scenario0[[#This Row],[wins]]/ParagonAbilities1Scenario0[[#This Row],[takes]],0)</f>
        <v>0.46376811594202899</v>
      </c>
      <c r="R3">
        <v>1</v>
      </c>
      <c r="S3">
        <f>COUNTIFS(Scenario0[winner1],"paragon",Scenario0[winner1-pw],ParagonEquipScenario0[[#This Row],[level]])+COUNTIFS(Scenario0[winner2],"paragon",Scenario0[winner2-pw],ParagonEquipScenario0[[#This Row],[level]])+COUNTIFS(Scenario0[loser1],"paragon",Scenario0[loser1-pw],ParagonEquipScenario0[[#This Row],[level]])+COUNTIFS(Scenario0[loser2],"paragon",Scenario0[loser2-pw],ParagonEquipScenario0[[#This Row],[level]])</f>
        <v>83</v>
      </c>
      <c r="T3">
        <f>COUNTIFS(Scenario0[winner1],"paragon",Scenario0[winner1-sw],ParagonEquipScenario0[[#This Row],[level]])+COUNTIFS(Scenario0[winner2],"paragon",Scenario0[winner2-sw],ParagonEquipScenario0[[#This Row],[level]])+COUNTIFS(Scenario0[loser1],"paragon",Scenario0[loser1-sw],ParagonEquipScenario0[[#This Row],[level]])+COUNTIFS(Scenario0[loser2],"paragon",Scenario0[loser2-sw],ParagonEquipScenario0[[#This Row],[level]])</f>
        <v>147</v>
      </c>
      <c r="U3" s="18">
        <f>COUNTIFS(Scenario0[winner1],"paragon",Scenario0[winner1-cp],ParagonEquipScenario0[[#This Row],[level]])+COUNTIFS(Scenario0[winner2],"paragon",Scenario0[winner2-cp],ParagonEquipScenario0[[#This Row],[level]])+COUNTIFS(Scenario0[loser1],"paragon",Scenario0[loser1-cp],ParagonEquipScenario0[[#This Row],[level]])+COUNTIFS(Scenario0[loser2],"paragon",Scenario0[loser2-cp],ParagonEquipScenario0[[#This Row],[level]])</f>
        <v>133</v>
      </c>
      <c r="W3" t="s">
        <v>189</v>
      </c>
      <c r="X3" s="16">
        <f>H5/SUM(ParagonEquip[spear])</f>
        <v>0.39403973509933776</v>
      </c>
    </row>
    <row r="4" spans="1:24" x14ac:dyDescent="0.25">
      <c r="A4" s="17" t="s">
        <v>111</v>
      </c>
      <c r="B4">
        <f t="shared" ref="B4:B5" si="0">M4+M25+M46+M67+M88+M109</f>
        <v>275</v>
      </c>
      <c r="C4">
        <f t="shared" ref="C4:C5" si="1">N4+N25+N46+N67+N88+N109</f>
        <v>125</v>
      </c>
      <c r="D4" s="3">
        <f>IF(SUM(ParagonAbilities1[[#This Row],[takes]]) &gt; 0,ParagonAbilities1[[#This Row],[takes]]/SUM(ParagonAbilities1[takes]),0)</f>
        <v>0.45529801324503311</v>
      </c>
      <c r="E4" s="3">
        <f>IF(ParagonAbilities1[[#This Row],[takes]]&gt;0,ParagonAbilities1[[#This Row],[wins]]/ParagonAbilities1[[#This Row],[takes]],0)</f>
        <v>0.45454545454545453</v>
      </c>
      <c r="G4">
        <v>2</v>
      </c>
      <c r="H4">
        <f t="shared" ref="H4:H5" si="2">S4+S25+S46+S67+S88+S109</f>
        <v>169</v>
      </c>
      <c r="I4">
        <f t="shared" ref="I4:I5" si="3">T4+T25+T46+T67+T88+T109</f>
        <v>47</v>
      </c>
      <c r="J4" s="18">
        <f t="shared" ref="J4:J5" si="4">U4+U25+U46+U67+U88+U109</f>
        <v>114</v>
      </c>
      <c r="L4" s="17" t="s">
        <v>111</v>
      </c>
      <c r="M4">
        <f>COUNTIF(Scenario0[winner1-ability1],ParagonAbilities1Scenario0[[#This Row],[ability]])+COUNTIF(Scenario0[winner2-ability1],ParagonAbilities1Scenario0[[#This Row],[ability]])+COUNTIF(Scenario0[loser1-ability1],ParagonAbilities1Scenario0[[#This Row],[ability]])+COUNTIF(Scenario0[loser2-ability1],ParagonAbilities1Scenario0[[#This Row],[ability]])</f>
        <v>99</v>
      </c>
      <c r="N4">
        <f>COUNTIF(Scenario0[winner1-ability1],ParagonAbilities1Scenario0[[#This Row],[ability]])+COUNTIF(Scenario0[winner2-ability1],ParagonAbilities1Scenario0[[#This Row],[ability]])</f>
        <v>41</v>
      </c>
      <c r="O4" s="3">
        <f>IF(SUM(ParagonAbilities1Scenario0[[#This Row],[takes]]) &gt; 0,ParagonAbilities1Scenario0[[#This Row],[takes]]/SUM(ParagonAbilities1Scenario0[takes]),0)</f>
        <v>0.5892857142857143</v>
      </c>
      <c r="P4" s="3">
        <f>IF(ParagonAbilities1Scenario0[[#This Row],[takes]]&gt;0,ParagonAbilities1Scenario0[[#This Row],[wins]]/ParagonAbilities1Scenario0[[#This Row],[takes]],0)</f>
        <v>0.41414141414141414</v>
      </c>
      <c r="R4">
        <v>2</v>
      </c>
      <c r="S4">
        <f>COUNTIFS(Scenario0[winner1],"paragon",Scenario0[winner1-pw],ParagonEquipScenario0[[#This Row],[level]])+COUNTIFS(Scenario0[winner2],"paragon",Scenario0[winner2-pw],ParagonEquipScenario0[[#This Row],[level]])+COUNTIFS(Scenario0[loser1],"paragon",Scenario0[loser1-pw],ParagonEquipScenario0[[#This Row],[level]])+COUNTIFS(Scenario0[loser2],"paragon",Scenario0[loser2-pw],ParagonEquipScenario0[[#This Row],[level]])</f>
        <v>61</v>
      </c>
      <c r="T4">
        <f>COUNTIFS(Scenario0[winner1],"paragon",Scenario0[winner1-sw],ParagonEquipScenario0[[#This Row],[level]])+COUNTIFS(Scenario0[winner2],"paragon",Scenario0[winner2-sw],ParagonEquipScenario0[[#This Row],[level]])+COUNTIFS(Scenario0[loser1],"paragon",Scenario0[loser1-sw],ParagonEquipScenario0[[#This Row],[level]])+COUNTIFS(Scenario0[loser2],"paragon",Scenario0[loser2-sw],ParagonEquipScenario0[[#This Row],[level]])</f>
        <v>14</v>
      </c>
      <c r="U4" s="18">
        <f>COUNTIFS(Scenario0[winner1],"paragon",Scenario0[winner1-cp],ParagonEquipScenario0[[#This Row],[level]])+COUNTIFS(Scenario0[winner2],"paragon",Scenario0[winner2-cp],ParagonEquipScenario0[[#This Row],[level]])+COUNTIFS(Scenario0[loser1],"paragon",Scenario0[loser1-cp],ParagonEquipScenario0[[#This Row],[level]])+COUNTIFS(Scenario0[loser2],"paragon",Scenario0[loser2-cp],ParagonEquipScenario0[[#This Row],[level]])</f>
        <v>30</v>
      </c>
      <c r="W4" t="s">
        <v>190</v>
      </c>
      <c r="X4" s="3">
        <f>ParagonEquip[[#This Row],[shield]]/SUM(ParagonEquip[shield])</f>
        <v>7.7814569536423836E-2</v>
      </c>
    </row>
    <row r="5" spans="1:24" x14ac:dyDescent="0.25">
      <c r="A5" s="17" t="s">
        <v>112</v>
      </c>
      <c r="B5">
        <f t="shared" si="0"/>
        <v>231</v>
      </c>
      <c r="C5">
        <f t="shared" si="1"/>
        <v>122</v>
      </c>
      <c r="D5" s="3">
        <f>IF(SUM(ParagonAbilities1[[#This Row],[takes]]) &gt; 0,ParagonAbilities1[[#This Row],[takes]]/SUM(ParagonAbilities1[takes]),0)</f>
        <v>0.38245033112582782</v>
      </c>
      <c r="E5" s="3">
        <f>IF(ParagonAbilities1[[#This Row],[takes]]&gt;0,ParagonAbilities1[[#This Row],[wins]]/ParagonAbilities1[[#This Row],[takes]],0)</f>
        <v>0.52813852813852813</v>
      </c>
      <c r="G5">
        <v>3</v>
      </c>
      <c r="H5">
        <f t="shared" si="2"/>
        <v>238</v>
      </c>
      <c r="I5">
        <f t="shared" si="3"/>
        <v>231</v>
      </c>
      <c r="J5" s="18">
        <f t="shared" si="4"/>
        <v>196</v>
      </c>
      <c r="L5" s="17" t="s">
        <v>112</v>
      </c>
      <c r="M5">
        <f>COUNTIF(Scenario0[winner1-ability1],ParagonAbilities1Scenario0[[#This Row],[ability]])+COUNTIF(Scenario0[winner2-ability1],ParagonAbilities1Scenario0[[#This Row],[ability]])+COUNTIF(Scenario0[loser1-ability1],ParagonAbilities1Scenario0[[#This Row],[ability]])+COUNTIF(Scenario0[loser2-ability1],ParagonAbilities1Scenario0[[#This Row],[ability]])</f>
        <v>0</v>
      </c>
      <c r="N5">
        <f>COUNTIF(Scenario0[winner1-ability1],ParagonAbilities1Scenario0[[#This Row],[ability]])+COUNTIF(Scenario0[winner2-ability1],ParagonAbilities1Scenario0[[#This Row],[ability]])</f>
        <v>0</v>
      </c>
      <c r="O5" s="3">
        <f>IF(SUM(ParagonAbilities1Scenario0[[#This Row],[takes]]) &gt; 0,ParagonAbilities1Scenario0[[#This Row],[takes]]/SUM(ParagonAbilities1Scenario0[takes]),0)</f>
        <v>0</v>
      </c>
      <c r="P5" s="3">
        <f>IF(ParagonAbilities1Scenario0[[#This Row],[takes]]&gt;0,ParagonAbilities1Scenario0[[#This Row],[wins]]/ParagonAbilities1Scenario0[[#This Row],[takes]],0)</f>
        <v>0</v>
      </c>
      <c r="R5">
        <v>3</v>
      </c>
      <c r="S5">
        <f>COUNTIFS(Scenario0[winner1],"paragon",Scenario0[winner1-pw],ParagonEquipScenario0[[#This Row],[level]])+COUNTIFS(Scenario0[winner2],"paragon",Scenario0[winner2-pw],ParagonEquipScenario0[[#This Row],[level]])+COUNTIFS(Scenario0[loser1],"paragon",Scenario0[loser1-pw],ParagonEquipScenario0[[#This Row],[level]])+COUNTIFS(Scenario0[loser2],"paragon",Scenario0[loser2-pw],ParagonEquipScenario0[[#This Row],[level]])</f>
        <v>24</v>
      </c>
      <c r="T5">
        <f>COUNTIFS(Scenario0[winner1],"paragon",Scenario0[winner1-sw],ParagonEquipScenario0[[#This Row],[level]])+COUNTIFS(Scenario0[winner2],"paragon",Scenario0[winner2-sw],ParagonEquipScenario0[[#This Row],[level]])+COUNTIFS(Scenario0[loser1],"paragon",Scenario0[loser1-sw],ParagonEquipScenario0[[#This Row],[level]])+COUNTIFS(Scenario0[loser2],"paragon",Scenario0[loser2-sw],ParagonEquipScenario0[[#This Row],[level]])</f>
        <v>7</v>
      </c>
      <c r="U5" s="18">
        <f>COUNTIFS(Scenario0[winner1],"paragon",Scenario0[winner1-cp],ParagonEquipScenario0[[#This Row],[level]])+COUNTIFS(Scenario0[winner2],"paragon",Scenario0[winner2-cp],ParagonEquipScenario0[[#This Row],[level]])+COUNTIFS(Scenario0[loser1],"paragon",Scenario0[loser1-cp],ParagonEquipScenario0[[#This Row],[level]])+COUNTIFS(Scenario0[loser2],"paragon",Scenario0[loser2-cp],ParagonEquipScenario0[[#This Row],[level]])</f>
        <v>5</v>
      </c>
      <c r="W5" t="s">
        <v>191</v>
      </c>
      <c r="X5" s="16">
        <f>ParagonEquip[[#This Row],[shield]]/SUM(ParagonEquip[shield])</f>
        <v>0.38245033112582782</v>
      </c>
    </row>
    <row r="6" spans="1:24" x14ac:dyDescent="0.25">
      <c r="A6" s="17"/>
      <c r="J6" s="18"/>
      <c r="L6" s="17"/>
      <c r="O6" s="3"/>
      <c r="P6" s="3"/>
      <c r="U6" s="18"/>
      <c r="W6" t="s">
        <v>179</v>
      </c>
      <c r="X6" s="3">
        <f>J4/SUM(ParagonEquip[chestpiece])</f>
        <v>0.18874172185430463</v>
      </c>
    </row>
    <row r="7" spans="1:24" x14ac:dyDescent="0.25">
      <c r="A7" s="19" t="s">
        <v>109</v>
      </c>
      <c r="B7" s="8" t="s">
        <v>110</v>
      </c>
      <c r="C7" s="8" t="s">
        <v>79</v>
      </c>
      <c r="D7" s="9" t="s">
        <v>117</v>
      </c>
      <c r="E7" s="9" t="s">
        <v>118</v>
      </c>
      <c r="J7" s="18"/>
      <c r="L7" s="19" t="s">
        <v>109</v>
      </c>
      <c r="M7" s="8" t="s">
        <v>110</v>
      </c>
      <c r="N7" s="8" t="s">
        <v>79</v>
      </c>
      <c r="O7" s="9" t="s">
        <v>117</v>
      </c>
      <c r="P7" s="9" t="s">
        <v>118</v>
      </c>
      <c r="U7" s="18"/>
      <c r="W7" t="s">
        <v>180</v>
      </c>
      <c r="X7" s="16">
        <f>J5/SUM(ParagonEquip[chestpiece])</f>
        <v>0.32450331125827814</v>
      </c>
    </row>
    <row r="8" spans="1:24" x14ac:dyDescent="0.25">
      <c r="A8" s="20" t="s">
        <v>55</v>
      </c>
      <c r="B8" s="2">
        <f>M8+M29+M50+M71+M92+M113</f>
        <v>101</v>
      </c>
      <c r="C8" s="2">
        <f>N8+N29+N50+N71+N92+N113</f>
        <v>55</v>
      </c>
      <c r="D8" s="12">
        <f>IF(SUM(ParagonAbilities2[[#This Row],[takes]]) &gt; 0,ParagonAbilities2[[#This Row],[takes]]/SUM(ParagonAbilities2[takes]),0)</f>
        <v>0.23379629629629631</v>
      </c>
      <c r="E8" s="12">
        <f>IF(ParagonAbilities2[[#This Row],[takes]]&gt;0,ParagonAbilities2[[#This Row],[wins]]/ParagonAbilities2[[#This Row],[takes]],0)</f>
        <v>0.54455445544554459</v>
      </c>
      <c r="J8" s="18"/>
      <c r="L8" s="20" t="s">
        <v>55</v>
      </c>
      <c r="M8" s="2">
        <f>COUNTIF(Scenario0[winner1-ability2],ParagonAbilities2Scenario0[[#This Row],[ability]])+COUNTIF(Scenario0[winner2-ability2],ParagonAbilities2Scenario0[[#This Row],[ability]])+COUNTIF(Scenario0[loser1-ability2],ParagonAbilities2Scenario0[[#This Row],[ability]])+COUNTIF(Scenario0[loser2-ability2],ParagonAbilities2Scenario0[[#This Row],[ability]])</f>
        <v>35</v>
      </c>
      <c r="N8" s="2">
        <f>COUNTIF(Scenario0[winner1-ability2],ParagonAbilities2Scenario0[[#This Row],[ability]])+COUNTIF(Scenario0[winner2-ability2],ParagonAbilities2Scenario0[[#This Row],[ability]])</f>
        <v>14</v>
      </c>
      <c r="O8" s="12">
        <f>IF(SUM(ParagonAbilities2Scenario0[[#This Row],[takes]]) &gt; 0,ParagonAbilities2Scenario0[[#This Row],[takes]]/SUM(ParagonAbilities2Scenario0[takes]),0)</f>
        <v>0.4375</v>
      </c>
      <c r="P8" s="12">
        <f>IF(ParagonAbilities2Scenario0[[#This Row],[takes]]&gt;0,ParagonAbilities2Scenario0[[#This Row],[wins]]/ParagonAbilities2Scenario0[[#This Row],[takes]],0)</f>
        <v>0.4</v>
      </c>
      <c r="U8" s="18"/>
      <c r="W8" t="s">
        <v>176</v>
      </c>
      <c r="X8" s="3">
        <f>SUM(ParagonAbilities2[takes])/SUM(ParagonAbilities1[takes])</f>
        <v>0.71523178807947019</v>
      </c>
    </row>
    <row r="9" spans="1:24" x14ac:dyDescent="0.25">
      <c r="A9" s="17" t="s">
        <v>83</v>
      </c>
      <c r="B9" s="2">
        <f t="shared" ref="B9:B10" si="5">M9+M30+M51+M72+M93+M114</f>
        <v>260</v>
      </c>
      <c r="C9" s="2">
        <f t="shared" ref="C9:C10" si="6">N9+N30+N51+N72+N93+N114</f>
        <v>114</v>
      </c>
      <c r="D9" s="3">
        <f>IF(SUM(ParagonAbilities2[[#This Row],[takes]]) &gt; 0,ParagonAbilities2[[#This Row],[takes]]/SUM(ParagonAbilities2[takes]),0)</f>
        <v>0.60185185185185186</v>
      </c>
      <c r="E9" s="3">
        <f>IF(ParagonAbilities2[[#This Row],[takes]]&gt;0,ParagonAbilities2[[#This Row],[wins]]/ParagonAbilities2[[#This Row],[takes]],0)</f>
        <v>0.43846153846153846</v>
      </c>
      <c r="J9" s="18"/>
      <c r="L9" s="17" t="s">
        <v>83</v>
      </c>
      <c r="M9" s="2">
        <f>COUNTIF(Scenario0[winner1-ability2],ParagonAbilities2Scenario0[[#This Row],[ability]])+COUNTIF(Scenario0[winner2-ability2],ParagonAbilities2Scenario0[[#This Row],[ability]])+COUNTIF(Scenario0[loser1-ability2],ParagonAbilities2Scenario0[[#This Row],[ability]])+COUNTIF(Scenario0[loser2-ability2],ParagonAbilities2Scenario0[[#This Row],[ability]])</f>
        <v>33</v>
      </c>
      <c r="N9" s="2">
        <f>COUNTIF(Scenario0[winner1-ability2],ParagonAbilities2Scenario0[[#This Row],[ability]])+COUNTIF(Scenario0[winner2-ability2],ParagonAbilities2Scenario0[[#This Row],[ability]])</f>
        <v>7</v>
      </c>
      <c r="O9" s="3">
        <f>IF(SUM(ParagonAbilities2Scenario0[[#This Row],[takes]]) &gt; 0,ParagonAbilities2Scenario0[[#This Row],[takes]]/SUM(ParagonAbilities2Scenario0[takes]),0)</f>
        <v>0.41249999999999998</v>
      </c>
      <c r="P9" s="3">
        <f>IF(ParagonAbilities2Scenario0[[#This Row],[takes]]&gt;0,ParagonAbilities2Scenario0[[#This Row],[wins]]/ParagonAbilities2Scenario0[[#This Row],[takes]],0)</f>
        <v>0.21212121212121213</v>
      </c>
      <c r="U9" s="18"/>
      <c r="W9" t="s">
        <v>177</v>
      </c>
      <c r="X9" s="3">
        <f>SUM(ParagonAbilities3[takes])/SUM(ParagonAbilities1[takes])</f>
        <v>0.48509933774834435</v>
      </c>
    </row>
    <row r="10" spans="1:24" x14ac:dyDescent="0.25">
      <c r="A10" s="21" t="s">
        <v>113</v>
      </c>
      <c r="B10" s="2">
        <f t="shared" si="5"/>
        <v>71</v>
      </c>
      <c r="C10" s="2">
        <f t="shared" si="6"/>
        <v>57</v>
      </c>
      <c r="D10" s="13">
        <f>IF(SUM(ParagonAbilities2[[#This Row],[takes]]) &gt; 0,ParagonAbilities2[[#This Row],[takes]]/SUM(ParagonAbilities2[takes]),0)</f>
        <v>0.16435185185185186</v>
      </c>
      <c r="E10" s="13">
        <f>IF(ParagonAbilities2[[#This Row],[takes]]&gt;0,ParagonAbilities2[[#This Row],[wins]]/ParagonAbilities2[[#This Row],[takes]],0)</f>
        <v>0.80281690140845074</v>
      </c>
      <c r="J10" s="18"/>
      <c r="L10" s="21" t="s">
        <v>113</v>
      </c>
      <c r="M10" s="2">
        <f>COUNTIF(Scenario0[winner1-ability2],ParagonAbilities2Scenario0[[#This Row],[ability]])+COUNTIF(Scenario0[winner2-ability2],ParagonAbilities2Scenario0[[#This Row],[ability]])+COUNTIF(Scenario0[loser1-ability2],ParagonAbilities2Scenario0[[#This Row],[ability]])+COUNTIF(Scenario0[loser2-ability2],ParagonAbilities2Scenario0[[#This Row],[ability]])</f>
        <v>12</v>
      </c>
      <c r="N10" s="2">
        <f>COUNTIF(Scenario0[winner1-ability2],ParagonAbilities2Scenario0[[#This Row],[ability]])+COUNTIF(Scenario0[winner2-ability2],ParagonAbilities2Scenario0[[#This Row],[ability]])</f>
        <v>9</v>
      </c>
      <c r="O10" s="13">
        <f>IF(SUM(ParagonAbilities2Scenario0[[#This Row],[takes]]) &gt; 0,ParagonAbilities2Scenario0[[#This Row],[takes]]/SUM(ParagonAbilities2Scenario0[takes]),0)</f>
        <v>0.15</v>
      </c>
      <c r="P10" s="13">
        <f>IF(ParagonAbilities2Scenario0[[#This Row],[takes]]&gt;0,ParagonAbilities2Scenario0[[#This Row],[wins]]/ParagonAbilities2Scenario0[[#This Row],[takes]],0)</f>
        <v>0.75</v>
      </c>
      <c r="U10" s="18"/>
      <c r="W10" t="s">
        <v>178</v>
      </c>
      <c r="X10" s="16">
        <f>SUM(ParagonAbilities4[takes])/SUM(ParagonAbilities1[takes])</f>
        <v>0.32947019867549671</v>
      </c>
    </row>
    <row r="11" spans="1:24" x14ac:dyDescent="0.25">
      <c r="A11" s="17"/>
      <c r="J11" s="18"/>
      <c r="L11" s="17"/>
      <c r="O11" s="3"/>
      <c r="P11" s="3"/>
      <c r="U11" s="18"/>
      <c r="W11" t="s">
        <v>194</v>
      </c>
      <c r="X11" s="33">
        <f>(SUM(ParagonAbilities2[takes])+SUM(ParagonAbilities3[takes])+SUM(ParagonAbilities4[takes])+SUM(H4:H5)+SUM(I4:I5)+SUM(J4:J5))/SUM(ParagonAbilities1[takes])</f>
        <v>3.1771523178807946</v>
      </c>
    </row>
    <row r="12" spans="1:24" x14ac:dyDescent="0.25">
      <c r="A12" s="19" t="s">
        <v>109</v>
      </c>
      <c r="B12" s="8" t="s">
        <v>110</v>
      </c>
      <c r="C12" s="8" t="s">
        <v>79</v>
      </c>
      <c r="D12" s="9" t="s">
        <v>117</v>
      </c>
      <c r="E12" s="9" t="s">
        <v>118</v>
      </c>
      <c r="J12" s="18"/>
      <c r="L12" s="19" t="s">
        <v>109</v>
      </c>
      <c r="M12" s="8" t="s">
        <v>110</v>
      </c>
      <c r="N12" s="8" t="s">
        <v>79</v>
      </c>
      <c r="O12" s="9" t="s">
        <v>117</v>
      </c>
      <c r="P12" s="9" t="s">
        <v>118</v>
      </c>
      <c r="U12" s="18"/>
    </row>
    <row r="13" spans="1:24" x14ac:dyDescent="0.25">
      <c r="A13" s="22" t="s">
        <v>114</v>
      </c>
      <c r="B13" s="1">
        <f>M13+M34+M55+M76+M97+M118</f>
        <v>58</v>
      </c>
      <c r="C13" s="1">
        <f>N13+N34+N55+N76+N97+N118</f>
        <v>47</v>
      </c>
      <c r="D13" s="14">
        <f>IF(SUM(ParagonAbilities3[[#This Row],[takes]]) &gt; 0,ParagonAbilities3[[#This Row],[takes]]/SUM(ParagonAbilities3[takes]),0)</f>
        <v>0.19795221843003413</v>
      </c>
      <c r="E13" s="14">
        <f>IF(ParagonAbilities3[[#This Row],[takes]]&gt;0,ParagonAbilities3[[#This Row],[wins]]/ParagonAbilities3[[#This Row],[takes]],0)</f>
        <v>0.81034482758620685</v>
      </c>
      <c r="J13" s="18"/>
      <c r="L13" s="22" t="s">
        <v>114</v>
      </c>
      <c r="M13" s="1">
        <f>COUNTIF(Scenario0[winner1-ability3],ParagonAbilities3Scenario0[[#This Row],[ability]])+COUNTIF(Scenario0[winner2-ability3],ParagonAbilities3Scenario0[[#This Row],[ability]])+COUNTIF(Scenario0[loser1-ability3],ParagonAbilities3Scenario0[[#This Row],[ability]])+COUNTIF(Scenario0[loser2-ability3],ParagonAbilities3Scenario0[[#This Row],[ability]])</f>
        <v>13</v>
      </c>
      <c r="N13" s="1">
        <f>COUNTIF(Scenario0[winner1-ability3],ParagonAbilities3Scenario0[[#This Row],[ability]])+COUNTIF(Scenario0[winner2-ability3],ParagonAbilities3Scenario0[[#This Row],[ability]])</f>
        <v>8</v>
      </c>
      <c r="O13" s="14">
        <f>IF(SUM(ParagonAbilities3Scenario0[[#This Row],[takes]]) &gt; 0,ParagonAbilities3Scenario0[[#This Row],[takes]]/SUM(ParagonAbilities3Scenario0[takes]),0)</f>
        <v>0.52</v>
      </c>
      <c r="P13" s="14">
        <f>IF(ParagonAbilities3Scenario0[[#This Row],[takes]]&gt;0,ParagonAbilities3Scenario0[[#This Row],[wins]]/ParagonAbilities3Scenario0[[#This Row],[takes]],0)</f>
        <v>0.61538461538461542</v>
      </c>
      <c r="U13" s="18"/>
    </row>
    <row r="14" spans="1:24" x14ac:dyDescent="0.25">
      <c r="A14" s="20" t="s">
        <v>105</v>
      </c>
      <c r="B14" s="2">
        <f t="shared" ref="B14:B15" si="7">M14+M35+M56+M77+M98+M119</f>
        <v>49</v>
      </c>
      <c r="C14" s="2">
        <f t="shared" ref="C14:C15" si="8">N14+N35+N56+N77+N98+N119</f>
        <v>22</v>
      </c>
      <c r="D14" s="12">
        <f>IF(SUM(ParagonAbilities3[[#This Row],[takes]]) &gt; 0,ParagonAbilities3[[#This Row],[takes]]/SUM(ParagonAbilities3[takes]),0)</f>
        <v>0.16723549488054607</v>
      </c>
      <c r="E14" s="12">
        <f>IF(ParagonAbilities3[[#This Row],[takes]]&gt;0,ParagonAbilities3[[#This Row],[wins]]/ParagonAbilities3[[#This Row],[takes]],0)</f>
        <v>0.44897959183673469</v>
      </c>
      <c r="J14" s="18"/>
      <c r="L14" s="20" t="s">
        <v>105</v>
      </c>
      <c r="M14" s="2">
        <f>COUNTIF(Scenario0[winner1-ability3],ParagonAbilities3Scenario0[[#This Row],[ability]])+COUNTIF(Scenario0[winner2-ability3],ParagonAbilities3Scenario0[[#This Row],[ability]])+COUNTIF(Scenario0[loser1-ability3],ParagonAbilities3Scenario0[[#This Row],[ability]])+COUNTIF(Scenario0[loser2-ability3],ParagonAbilities3Scenario0[[#This Row],[ability]])</f>
        <v>4</v>
      </c>
      <c r="N14" s="2">
        <f>COUNTIF(Scenario0[winner1-ability3],ParagonAbilities3Scenario0[[#This Row],[ability]])+COUNTIF(Scenario0[winner2-ability3],ParagonAbilities3Scenario0[[#This Row],[ability]])</f>
        <v>1</v>
      </c>
      <c r="O14" s="12">
        <f>IF(SUM(ParagonAbilities3Scenario0[[#This Row],[takes]]) &gt; 0,ParagonAbilities3Scenario0[[#This Row],[takes]]/SUM(ParagonAbilities3Scenario0[takes]),0)</f>
        <v>0.16</v>
      </c>
      <c r="P14" s="12">
        <f>IF(ParagonAbilities3Scenario0[[#This Row],[takes]]&gt;0,ParagonAbilities3Scenario0[[#This Row],[wins]]/ParagonAbilities3Scenario0[[#This Row],[takes]],0)</f>
        <v>0.25</v>
      </c>
      <c r="U14" s="18"/>
    </row>
    <row r="15" spans="1:24" x14ac:dyDescent="0.25">
      <c r="A15" s="23" t="s">
        <v>97</v>
      </c>
      <c r="B15" s="1">
        <f t="shared" si="7"/>
        <v>186</v>
      </c>
      <c r="C15" s="1">
        <f t="shared" si="8"/>
        <v>94</v>
      </c>
      <c r="D15" s="15">
        <f>IF(SUM(ParagonAbilities3[[#This Row],[takes]]) &gt; 0,ParagonAbilities3[[#This Row],[takes]]/SUM(ParagonAbilities3[takes]),0)</f>
        <v>0.6348122866894198</v>
      </c>
      <c r="E15" s="15">
        <f>IF(ParagonAbilities3[[#This Row],[takes]]&gt;0,ParagonAbilities3[[#This Row],[wins]]/ParagonAbilities3[[#This Row],[takes]],0)</f>
        <v>0.5053763440860215</v>
      </c>
      <c r="J15" s="18"/>
      <c r="L15" s="23" t="s">
        <v>97</v>
      </c>
      <c r="M15" s="1">
        <f>COUNTIF(Scenario0[winner1-ability3],ParagonAbilities3Scenario0[[#This Row],[ability]])+COUNTIF(Scenario0[winner2-ability3],ParagonAbilities3Scenario0[[#This Row],[ability]])+COUNTIF(Scenario0[loser1-ability3],ParagonAbilities3Scenario0[[#This Row],[ability]])+COUNTIF(Scenario0[loser2-ability3],ParagonAbilities3Scenario0[[#This Row],[ability]])</f>
        <v>8</v>
      </c>
      <c r="N15" s="1">
        <f>COUNTIF(Scenario0[winner1-ability3],ParagonAbilities3Scenario0[[#This Row],[ability]])+COUNTIF(Scenario0[winner2-ability3],ParagonAbilities3Scenario0[[#This Row],[ability]])</f>
        <v>2</v>
      </c>
      <c r="O15" s="15">
        <f>IF(SUM(ParagonAbilities3Scenario0[[#This Row],[takes]]) &gt; 0,ParagonAbilities3Scenario0[[#This Row],[takes]]/SUM(ParagonAbilities3Scenario0[takes]),0)</f>
        <v>0.32</v>
      </c>
      <c r="P15" s="15">
        <f>IF(ParagonAbilities3Scenario0[[#This Row],[takes]]&gt;0,ParagonAbilities3Scenario0[[#This Row],[wins]]/ParagonAbilities3Scenario0[[#This Row],[takes]],0)</f>
        <v>0.25</v>
      </c>
      <c r="U15" s="18"/>
    </row>
    <row r="16" spans="1:24" x14ac:dyDescent="0.25">
      <c r="A16" s="17"/>
      <c r="J16" s="18"/>
      <c r="L16" s="17"/>
      <c r="O16" s="3"/>
      <c r="P16" s="3"/>
      <c r="U16" s="18"/>
    </row>
    <row r="17" spans="1:21" x14ac:dyDescent="0.25">
      <c r="A17" s="19" t="s">
        <v>109</v>
      </c>
      <c r="B17" s="8" t="s">
        <v>110</v>
      </c>
      <c r="C17" s="8" t="s">
        <v>79</v>
      </c>
      <c r="D17" s="9" t="s">
        <v>117</v>
      </c>
      <c r="E17" s="9" t="s">
        <v>118</v>
      </c>
      <c r="J17" s="18"/>
      <c r="L17" s="19" t="s">
        <v>109</v>
      </c>
      <c r="M17" s="8" t="s">
        <v>110</v>
      </c>
      <c r="N17" s="8" t="s">
        <v>79</v>
      </c>
      <c r="O17" s="9" t="s">
        <v>117</v>
      </c>
      <c r="P17" s="9" t="s">
        <v>118</v>
      </c>
      <c r="U17" s="18"/>
    </row>
    <row r="18" spans="1:21" x14ac:dyDescent="0.25">
      <c r="A18" s="20" t="s">
        <v>98</v>
      </c>
      <c r="B18" s="2">
        <f>M18+M39+M60+M81+M102+M123</f>
        <v>71</v>
      </c>
      <c r="C18" s="2">
        <f>N18+N39+N60+N81+N102+N123</f>
        <v>43</v>
      </c>
      <c r="D18" s="12">
        <f>IF(SUM(ParagonAbilities4[[#This Row],[takes]]) &gt; 0,ParagonAbilities4[[#This Row],[takes]]/SUM(ParagonAbilities4[takes]),0)</f>
        <v>0.35678391959798994</v>
      </c>
      <c r="E18" s="12">
        <f>IF(ParagonAbilities4[[#This Row],[takes]]&gt;0,ParagonAbilities4[[#This Row],[wins]]/ParagonAbilities4[[#This Row],[takes]],0)</f>
        <v>0.60563380281690138</v>
      </c>
      <c r="J18" s="18"/>
      <c r="L18" s="20" t="s">
        <v>98</v>
      </c>
      <c r="M18" s="2">
        <f>COUNTIF(Scenario0[winner1-ability4],ParagonAbilities4Scenario0[[#This Row],[ability]])+COUNTIF(Scenario0[winner2-ability4],ParagonAbilities4Scenario0[[#This Row],[ability]])+COUNTIF(Scenario0[loser1-ability4],ParagonAbilities4Scenario0[[#This Row],[ability]])+COUNTIF(Scenario0[loser2-ability4],ParagonAbilities4Scenario0[[#This Row],[ability]])</f>
        <v>4</v>
      </c>
      <c r="N18" s="2">
        <f>COUNTIF(Scenario0[winner1-ability4],ParagonAbilities4Scenario0[[#This Row],[ability]])+COUNTIF(Scenario0[winner2-ability4],ParagonAbilities4Scenario0[[#This Row],[ability]])</f>
        <v>2</v>
      </c>
      <c r="O18" s="12">
        <f>IF(SUM(ParagonAbilities4Scenario0[[#This Row],[takes]]) &gt; 0,ParagonAbilities4Scenario0[[#This Row],[takes]]/SUM(ParagonAbilities4Scenario0[takes]),0)</f>
        <v>0.8</v>
      </c>
      <c r="P18" s="12">
        <f>IF(ParagonAbilities4Scenario0[[#This Row],[takes]]&gt;0,ParagonAbilities4Scenario0[[#This Row],[wins]]/ParagonAbilities4Scenario0[[#This Row],[takes]],0)</f>
        <v>0.5</v>
      </c>
      <c r="U18" s="18"/>
    </row>
    <row r="19" spans="1:21" x14ac:dyDescent="0.25">
      <c r="A19" s="20" t="s">
        <v>115</v>
      </c>
      <c r="B19" s="2">
        <f t="shared" ref="B19:B20" si="9">M19+M40+M61+M82+M103+M124</f>
        <v>86</v>
      </c>
      <c r="C19" s="2">
        <f t="shared" ref="C19:C20" si="10">N19+N40+N61+N82+N103+N124</f>
        <v>47</v>
      </c>
      <c r="D19" s="12">
        <f>IF(SUM(ParagonAbilities4[[#This Row],[takes]]) &gt; 0,ParagonAbilities4[[#This Row],[takes]]/SUM(ParagonAbilities4[takes]),0)</f>
        <v>0.43216080402010049</v>
      </c>
      <c r="E19" s="12">
        <f>IF(ParagonAbilities4[[#This Row],[takes]]&gt;0,ParagonAbilities4[[#This Row],[wins]]/ParagonAbilities4[[#This Row],[takes]],0)</f>
        <v>0.54651162790697672</v>
      </c>
      <c r="J19" s="18"/>
      <c r="L19" s="20" t="s">
        <v>115</v>
      </c>
      <c r="M19" s="2">
        <f>COUNTIF(Scenario0[winner1-ability4],ParagonAbilities4Scenario0[[#This Row],[ability]])+COUNTIF(Scenario0[winner2-ability4],ParagonAbilities4Scenario0[[#This Row],[ability]])+COUNTIF(Scenario0[loser1-ability4],ParagonAbilities4Scenario0[[#This Row],[ability]])+COUNTIF(Scenario0[loser2-ability4],ParagonAbilities4Scenario0[[#This Row],[ability]])</f>
        <v>1</v>
      </c>
      <c r="N19" s="2">
        <f>COUNTIF(Scenario0[winner1-ability4],ParagonAbilities4Scenario0[[#This Row],[ability]])+COUNTIF(Scenario0[winner2-ability4],ParagonAbilities4Scenario0[[#This Row],[ability]])</f>
        <v>0</v>
      </c>
      <c r="O19" s="12">
        <f>IF(SUM(ParagonAbilities4Scenario0[[#This Row],[takes]]) &gt; 0,ParagonAbilities4Scenario0[[#This Row],[takes]]/SUM(ParagonAbilities4Scenario0[takes]),0)</f>
        <v>0.2</v>
      </c>
      <c r="P19" s="12">
        <f>IF(ParagonAbilities4Scenario0[[#This Row],[takes]]&gt;0,ParagonAbilities4Scenario0[[#This Row],[wins]]/ParagonAbilities4Scenario0[[#This Row],[takes]],0)</f>
        <v>0</v>
      </c>
      <c r="U19" s="18"/>
    </row>
    <row r="20" spans="1:21" ht="15.75" thickBot="1" x14ac:dyDescent="0.3">
      <c r="A20" s="24" t="s">
        <v>116</v>
      </c>
      <c r="B20" s="2">
        <f t="shared" si="9"/>
        <v>42</v>
      </c>
      <c r="C20" s="2">
        <f t="shared" si="10"/>
        <v>39</v>
      </c>
      <c r="D20" s="26">
        <f>IF(SUM(ParagonAbilities4[[#This Row],[takes]]) &gt; 0,ParagonAbilities4[[#This Row],[takes]]/SUM(ParagonAbilities4[takes]),0)</f>
        <v>0.21105527638190955</v>
      </c>
      <c r="E20" s="26">
        <f>IF(ParagonAbilities4[[#This Row],[takes]]&gt;0,ParagonAbilities4[[#This Row],[wins]]/ParagonAbilities4[[#This Row],[takes]],0)</f>
        <v>0.9285714285714286</v>
      </c>
      <c r="F20" s="27"/>
      <c r="G20" s="27"/>
      <c r="H20" s="27"/>
      <c r="I20" s="27"/>
      <c r="J20" s="28"/>
      <c r="L20" s="24" t="s">
        <v>116</v>
      </c>
      <c r="M20" s="25">
        <f>COUNTIF(Scenario0[winner1-ability4],ParagonAbilities4Scenario0[[#This Row],[ability]])+COUNTIF(Scenario0[winner2-ability4],ParagonAbilities4Scenario0[[#This Row],[ability]])+COUNTIF(Scenario0[loser1-ability4],ParagonAbilities4Scenario0[[#This Row],[ability]])+COUNTIF(Scenario0[loser2-ability4],ParagonAbilities4Scenario0[[#This Row],[ability]])</f>
        <v>0</v>
      </c>
      <c r="N20" s="25">
        <f>COUNTIF(Scenario0[winner1-ability4],ParagonAbilities4Scenario0[[#This Row],[ability]])+COUNTIF(Scenario0[winner2-ability4],ParagonAbilities4Scenario0[[#This Row],[ability]])</f>
        <v>0</v>
      </c>
      <c r="O20" s="26">
        <f>IF(SUM(ParagonAbilities4Scenario0[[#This Row],[takes]]) &gt; 0,ParagonAbilities4Scenario0[[#This Row],[takes]]/SUM(ParagonAbilities4Scenario0[takes]),0)</f>
        <v>0</v>
      </c>
      <c r="P20" s="26">
        <f>IF(ParagonAbilities4Scenario0[[#This Row],[takes]]&gt;0,ParagonAbilities4Scenario0[[#This Row],[wins]]/ParagonAbilities4Scenario0[[#This Row],[takes]],0)</f>
        <v>0</v>
      </c>
      <c r="Q20" s="27"/>
      <c r="R20" s="27"/>
      <c r="S20" s="27"/>
      <c r="T20" s="27"/>
      <c r="U20" s="28"/>
    </row>
    <row r="21" spans="1:21" ht="15.75" thickBot="1" x14ac:dyDescent="0.3"/>
    <row r="22" spans="1:21" ht="15.75" thickBot="1" x14ac:dyDescent="0.3">
      <c r="L22" s="36" t="s">
        <v>183</v>
      </c>
      <c r="M22" s="37"/>
      <c r="N22" s="37"/>
      <c r="O22" s="37"/>
      <c r="P22" s="37"/>
      <c r="Q22" s="37"/>
      <c r="R22" s="37"/>
      <c r="S22" s="37"/>
      <c r="T22" s="37"/>
      <c r="U22" s="38"/>
    </row>
    <row r="23" spans="1:21" x14ac:dyDescent="0.25">
      <c r="L23" s="17" t="s">
        <v>109</v>
      </c>
      <c r="M23" t="s">
        <v>110</v>
      </c>
      <c r="N23" t="s">
        <v>79</v>
      </c>
      <c r="O23" s="3" t="s">
        <v>117</v>
      </c>
      <c r="P23" s="3" t="s">
        <v>118</v>
      </c>
      <c r="R23" t="s">
        <v>161</v>
      </c>
      <c r="S23" t="s">
        <v>162</v>
      </c>
      <c r="T23" t="s">
        <v>163</v>
      </c>
      <c r="U23" s="18" t="s">
        <v>164</v>
      </c>
    </row>
    <row r="24" spans="1:21" x14ac:dyDescent="0.25">
      <c r="L24" s="17" t="s">
        <v>54</v>
      </c>
      <c r="M24">
        <f>COUNTIF(Scenario1[winner1-ability1],ParagonAbilities1Scenario1[[#This Row],[ability]])+COUNTIF(Scenario1[winner2-ability1],ParagonAbilities1Scenario1[[#This Row],[ability]])+COUNTIF(Scenario1[loser1-ability1],ParagonAbilities1Scenario1[[#This Row],[ability]])+COUNTIF(Scenario1[loser2-ability1],ParagonAbilities1Scenario1[[#This Row],[ability]])</f>
        <v>28</v>
      </c>
      <c r="N24">
        <f>COUNTIF(Scenario1[winner1-ability1],ParagonAbilities1Scenario1[[#This Row],[ability]])+COUNTIF(Scenario1[winner2-ability1],ParagonAbilities1Scenario1[[#This Row],[ability]])</f>
        <v>15</v>
      </c>
      <c r="O24" s="3">
        <f>IF(SUM(ParagonAbilities1Scenario1[[#This Row],[takes]]) &gt; 0,ParagonAbilities1Scenario1[[#This Row],[takes]]/SUM(ParagonAbilities1Scenario1[takes]),0)</f>
        <v>0.16666666666666666</v>
      </c>
      <c r="P24" s="3">
        <f>IF(ParagonAbilities1Scenario1[[#This Row],[takes]]&gt;0,ParagonAbilities1Scenario1[[#This Row],[wins]]/ParagonAbilities1Scenario1[[#This Row],[takes]],0)</f>
        <v>0.5357142857142857</v>
      </c>
      <c r="R24">
        <v>1</v>
      </c>
      <c r="S24">
        <f>COUNTIFS(Scenario1[winner1],"paragon",Scenario1[winner1-pw],ParagonEquipScenario1[[#This Row],[level]])+COUNTIFS(Scenario1[winner2],"paragon",Scenario1[winner2-pw],ParagonEquipScenario1[[#This Row],[level]])+COUNTIFS(Scenario1[loser1],"paragon",Scenario1[loser1-pw],ParagonEquipScenario1[[#This Row],[level]])+COUNTIFS(Scenario1[loser2],"paragon",Scenario1[loser2-pw],ParagonEquipScenario1[[#This Row],[level]])</f>
        <v>43</v>
      </c>
      <c r="T24">
        <f>COUNTIFS(Scenario1[winner1],"paragon",Scenario1[winner1-sw],ParagonEquipScenario1[[#This Row],[level]])+COUNTIFS(Scenario1[winner2],"paragon",Scenario1[winner2-sw],ParagonEquipScenario1[[#This Row],[level]])+COUNTIFS(Scenario1[loser1],"paragon",Scenario1[loser1-sw],ParagonEquipScenario1[[#This Row],[level]])+COUNTIFS(Scenario1[loser2],"paragon",Scenario1[loser2-sw],ParagonEquipScenario1[[#This Row],[level]])</f>
        <v>125</v>
      </c>
      <c r="U24" s="18">
        <f>COUNTIFS(Scenario1[winner1],"paragon",Scenario1[winner1-cp],ParagonEquipScenario1[[#This Row],[level]])+COUNTIFS(Scenario1[winner2],"paragon",Scenario1[winner2-cp],ParagonEquipScenario1[[#This Row],[level]])+COUNTIFS(Scenario1[loser1],"paragon",Scenario1[loser1-cp],ParagonEquipScenario1[[#This Row],[level]])+COUNTIFS(Scenario1[loser2],"paragon",Scenario1[loser2-cp],ParagonEquipScenario1[[#This Row],[level]])</f>
        <v>130</v>
      </c>
    </row>
    <row r="25" spans="1:21" x14ac:dyDescent="0.25">
      <c r="L25" s="17" t="s">
        <v>111</v>
      </c>
      <c r="M25">
        <f>COUNTIF(Scenario1[winner1-ability1],ParagonAbilities1Scenario1[[#This Row],[ability]])+COUNTIF(Scenario1[winner2-ability1],ParagonAbilities1Scenario1[[#This Row],[ability]])+COUNTIF(Scenario1[loser1-ability1],ParagonAbilities1Scenario1[[#This Row],[ability]])+COUNTIF(Scenario1[loser2-ability1],ParagonAbilities1Scenario1[[#This Row],[ability]])</f>
        <v>139</v>
      </c>
      <c r="N25">
        <f>COUNTIF(Scenario1[winner1-ability1],ParagonAbilities1Scenario1[[#This Row],[ability]])+COUNTIF(Scenario1[winner2-ability1],ParagonAbilities1Scenario1[[#This Row],[ability]])</f>
        <v>57</v>
      </c>
      <c r="O25" s="3">
        <f>IF(SUM(ParagonAbilities1Scenario1[[#This Row],[takes]]) &gt; 0,ParagonAbilities1Scenario1[[#This Row],[takes]]/SUM(ParagonAbilities1Scenario1[takes]),0)</f>
        <v>0.82738095238095233</v>
      </c>
      <c r="P25" s="3">
        <f>IF(ParagonAbilities1Scenario1[[#This Row],[takes]]&gt;0,ParagonAbilities1Scenario1[[#This Row],[wins]]/ParagonAbilities1Scenario1[[#This Row],[takes]],0)</f>
        <v>0.41007194244604317</v>
      </c>
      <c r="R25">
        <v>2</v>
      </c>
      <c r="S25">
        <f>COUNTIFS(Scenario1[winner1],"paragon",Scenario1[winner1-pw],ParagonEquipScenario1[[#This Row],[level]])+COUNTIFS(Scenario1[winner2],"paragon",Scenario1[winner2-pw],ParagonEquipScenario1[[#This Row],[level]])+COUNTIFS(Scenario1[loser1],"paragon",Scenario1[loser1-pw],ParagonEquipScenario1[[#This Row],[level]])+COUNTIFS(Scenario1[loser2],"paragon",Scenario1[loser2-pw],ParagonEquipScenario1[[#This Row],[level]])</f>
        <v>69</v>
      </c>
      <c r="T25">
        <f>COUNTIFS(Scenario1[winner1],"paragon",Scenario1[winner1-sw],ParagonEquipScenario1[[#This Row],[level]])+COUNTIFS(Scenario1[winner2],"paragon",Scenario1[winner2-sw],ParagonEquipScenario1[[#This Row],[level]])+COUNTIFS(Scenario1[loser1],"paragon",Scenario1[loser1-sw],ParagonEquipScenario1[[#This Row],[level]])+COUNTIFS(Scenario1[loser2],"paragon",Scenario1[loser2-sw],ParagonEquipScenario1[[#This Row],[level]])</f>
        <v>11</v>
      </c>
      <c r="U25" s="18">
        <f>COUNTIFS(Scenario1[winner1],"paragon",Scenario1[winner1-cp],ParagonEquipScenario1[[#This Row],[level]])+COUNTIFS(Scenario1[winner2],"paragon",Scenario1[winner2-cp],ParagonEquipScenario1[[#This Row],[level]])+COUNTIFS(Scenario1[loser1],"paragon",Scenario1[loser1-cp],ParagonEquipScenario1[[#This Row],[level]])+COUNTIFS(Scenario1[loser2],"paragon",Scenario1[loser2-cp],ParagonEquipScenario1[[#This Row],[level]])</f>
        <v>32</v>
      </c>
    </row>
    <row r="26" spans="1:21" x14ac:dyDescent="0.25">
      <c r="L26" s="17" t="s">
        <v>112</v>
      </c>
      <c r="M26">
        <f>COUNTIF(Scenario1[winner1-ability1],ParagonAbilities1Scenario1[[#This Row],[ability]])+COUNTIF(Scenario1[winner2-ability1],ParagonAbilities1Scenario1[[#This Row],[ability]])+COUNTIF(Scenario1[loser1-ability1],ParagonAbilities1Scenario1[[#This Row],[ability]])+COUNTIF(Scenario1[loser2-ability1],ParagonAbilities1Scenario1[[#This Row],[ability]])</f>
        <v>1</v>
      </c>
      <c r="N26">
        <f>COUNTIF(Scenario1[winner1-ability1],ParagonAbilities1Scenario1[[#This Row],[ability]])+COUNTIF(Scenario1[winner2-ability1],ParagonAbilities1Scenario1[[#This Row],[ability]])</f>
        <v>1</v>
      </c>
      <c r="O26" s="3">
        <f>IF(SUM(ParagonAbilities1Scenario1[[#This Row],[takes]]) &gt; 0,ParagonAbilities1Scenario1[[#This Row],[takes]]/SUM(ParagonAbilities1Scenario1[takes]),0)</f>
        <v>5.9523809523809521E-3</v>
      </c>
      <c r="P26" s="3">
        <f>IF(ParagonAbilities1Scenario1[[#This Row],[takes]]&gt;0,ParagonAbilities1Scenario1[[#This Row],[wins]]/ParagonAbilities1Scenario1[[#This Row],[takes]],0)</f>
        <v>1</v>
      </c>
      <c r="R26">
        <v>3</v>
      </c>
      <c r="S26">
        <f>COUNTIFS(Scenario1[winner1],"paragon",Scenario1[winner1-pw],ParagonEquipScenario1[[#This Row],[level]])+COUNTIFS(Scenario1[winner2],"paragon",Scenario1[winner2-pw],ParagonEquipScenario1[[#This Row],[level]])+COUNTIFS(Scenario1[loser1],"paragon",Scenario1[loser1-pw],ParagonEquipScenario1[[#This Row],[level]])+COUNTIFS(Scenario1[loser2],"paragon",Scenario1[loser2-pw],ParagonEquipScenario1[[#This Row],[level]])</f>
        <v>56</v>
      </c>
      <c r="T26">
        <f>COUNTIFS(Scenario1[winner1],"paragon",Scenario1[winner1-sw],ParagonEquipScenario1[[#This Row],[level]])+COUNTIFS(Scenario1[winner2],"paragon",Scenario1[winner2-sw],ParagonEquipScenario1[[#This Row],[level]])+COUNTIFS(Scenario1[loser1],"paragon",Scenario1[loser1-sw],ParagonEquipScenario1[[#This Row],[level]])+COUNTIFS(Scenario1[loser2],"paragon",Scenario1[loser2-sw],ParagonEquipScenario1[[#This Row],[level]])</f>
        <v>32</v>
      </c>
      <c r="U26" s="18">
        <f>COUNTIFS(Scenario1[winner1],"paragon",Scenario1[winner1-cp],ParagonEquipScenario1[[#This Row],[level]])+COUNTIFS(Scenario1[winner2],"paragon",Scenario1[winner2-cp],ParagonEquipScenario1[[#This Row],[level]])+COUNTIFS(Scenario1[loser1],"paragon",Scenario1[loser1-cp],ParagonEquipScenario1[[#This Row],[level]])+COUNTIFS(Scenario1[loser2],"paragon",Scenario1[loser2-cp],ParagonEquipScenario1[[#This Row],[level]])</f>
        <v>6</v>
      </c>
    </row>
    <row r="27" spans="1:21" x14ac:dyDescent="0.25">
      <c r="L27" s="17"/>
      <c r="O27" s="3"/>
      <c r="P27" s="3"/>
      <c r="U27" s="18"/>
    </row>
    <row r="28" spans="1:21" x14ac:dyDescent="0.25">
      <c r="L28" s="19" t="s">
        <v>109</v>
      </c>
      <c r="M28" s="8" t="s">
        <v>110</v>
      </c>
      <c r="N28" s="8" t="s">
        <v>79</v>
      </c>
      <c r="O28" s="9" t="s">
        <v>117</v>
      </c>
      <c r="P28" s="9" t="s">
        <v>118</v>
      </c>
      <c r="U28" s="18"/>
    </row>
    <row r="29" spans="1:21" x14ac:dyDescent="0.25">
      <c r="L29" s="20" t="s">
        <v>55</v>
      </c>
      <c r="M29" s="2">
        <f>COUNTIF(Scenario1[winner1-ability2],ParagonAbilities2Scenario1[[#This Row],[ability]])+COUNTIF(Scenario1[winner2-ability2],ParagonAbilities2Scenario1[[#This Row],[ability]])+COUNTIF(Scenario1[loser1-ability2],ParagonAbilities2Scenario1[[#This Row],[ability]])+COUNTIF(Scenario1[loser2-ability2],ParagonAbilities2Scenario1[[#This Row],[ability]])</f>
        <v>16</v>
      </c>
      <c r="N29" s="2">
        <f>COUNTIF(Scenario1[winner1-ability2],ParagonAbilities2Scenario1[[#This Row],[ability]])+COUNTIF(Scenario1[winner2-ability2],ParagonAbilities2Scenario1[[#This Row],[ability]])</f>
        <v>10</v>
      </c>
      <c r="O29" s="12">
        <f>IF(SUM(ParagonAbilities2Scenario1[[#This Row],[takes]]) &gt; 0,ParagonAbilities2Scenario1[[#This Row],[takes]]/SUM(ParagonAbilities2Scenario1[takes]),0)</f>
        <v>0.14814814814814814</v>
      </c>
      <c r="P29" s="12">
        <f>IF(ParagonAbilities2Scenario1[[#This Row],[takes]]&gt;0,ParagonAbilities2Scenario1[[#This Row],[wins]]/ParagonAbilities2Scenario1[[#This Row],[takes]],0)</f>
        <v>0.625</v>
      </c>
      <c r="U29" s="18"/>
    </row>
    <row r="30" spans="1:21" x14ac:dyDescent="0.25">
      <c r="L30" s="17" t="s">
        <v>83</v>
      </c>
      <c r="M30" s="2">
        <f>COUNTIF(Scenario1[winner1-ability2],ParagonAbilities2Scenario1[[#This Row],[ability]])+COUNTIF(Scenario1[winner2-ability2],ParagonAbilities2Scenario1[[#This Row],[ability]])+COUNTIF(Scenario1[loser1-ability2],ParagonAbilities2Scenario1[[#This Row],[ability]])+COUNTIF(Scenario1[loser2-ability2],ParagonAbilities2Scenario1[[#This Row],[ability]])</f>
        <v>77</v>
      </c>
      <c r="N30" s="2">
        <f>COUNTIF(Scenario1[winner1-ability2],ParagonAbilities2Scenario1[[#This Row],[ability]])+COUNTIF(Scenario1[winner2-ability2],ParagonAbilities2Scenario1[[#This Row],[ability]])</f>
        <v>31</v>
      </c>
      <c r="O30" s="3">
        <f>IF(SUM(ParagonAbilities2Scenario1[[#This Row],[takes]]) &gt; 0,ParagonAbilities2Scenario1[[#This Row],[takes]]/SUM(ParagonAbilities2Scenario1[takes]),0)</f>
        <v>0.71296296296296291</v>
      </c>
      <c r="P30" s="3">
        <f>IF(ParagonAbilities2Scenario1[[#This Row],[takes]]&gt;0,ParagonAbilities2Scenario1[[#This Row],[wins]]/ParagonAbilities2Scenario1[[#This Row],[takes]],0)</f>
        <v>0.40259740259740262</v>
      </c>
      <c r="U30" s="18"/>
    </row>
    <row r="31" spans="1:21" x14ac:dyDescent="0.25">
      <c r="L31" s="21" t="s">
        <v>113</v>
      </c>
      <c r="M31" s="2">
        <f>COUNTIF(Scenario1[winner1-ability2],ParagonAbilities2Scenario1[[#This Row],[ability]])+COUNTIF(Scenario1[winner2-ability2],ParagonAbilities2Scenario1[[#This Row],[ability]])+COUNTIF(Scenario1[loser1-ability2],ParagonAbilities2Scenario1[[#This Row],[ability]])+COUNTIF(Scenario1[loser2-ability2],ParagonAbilities2Scenario1[[#This Row],[ability]])</f>
        <v>15</v>
      </c>
      <c r="N31" s="2">
        <f>COUNTIF(Scenario1[winner1-ability2],ParagonAbilities2Scenario1[[#This Row],[ability]])+COUNTIF(Scenario1[winner2-ability2],ParagonAbilities2Scenario1[[#This Row],[ability]])</f>
        <v>10</v>
      </c>
      <c r="O31" s="13">
        <f>IF(SUM(ParagonAbilities2Scenario1[[#This Row],[takes]]) &gt; 0,ParagonAbilities2Scenario1[[#This Row],[takes]]/SUM(ParagonAbilities2Scenario1[takes]),0)</f>
        <v>0.1388888888888889</v>
      </c>
      <c r="P31" s="13">
        <f>IF(ParagonAbilities2Scenario1[[#This Row],[takes]]&gt;0,ParagonAbilities2Scenario1[[#This Row],[wins]]/ParagonAbilities2Scenario1[[#This Row],[takes]],0)</f>
        <v>0.66666666666666663</v>
      </c>
      <c r="U31" s="18"/>
    </row>
    <row r="32" spans="1:21" x14ac:dyDescent="0.25">
      <c r="L32" s="17"/>
      <c r="O32" s="3"/>
      <c r="P32" s="3"/>
      <c r="U32" s="18"/>
    </row>
    <row r="33" spans="12:21" x14ac:dyDescent="0.25">
      <c r="L33" s="19" t="s">
        <v>109</v>
      </c>
      <c r="M33" s="8" t="s">
        <v>110</v>
      </c>
      <c r="N33" s="8" t="s">
        <v>79</v>
      </c>
      <c r="O33" s="9" t="s">
        <v>117</v>
      </c>
      <c r="P33" s="9" t="s">
        <v>118</v>
      </c>
      <c r="U33" s="18"/>
    </row>
    <row r="34" spans="12:21" x14ac:dyDescent="0.25">
      <c r="L34" s="22" t="s">
        <v>114</v>
      </c>
      <c r="M34" s="1">
        <f>COUNTIF(Scenario1[winner1-ability3],ParagonAbilities3Scenario1[[#This Row],[ability]])+COUNTIF(Scenario1[winner2-ability3],ParagonAbilities3Scenario1[[#This Row],[ability]])+COUNTIF(Scenario1[loser1-ability3],ParagonAbilities3Scenario1[[#This Row],[ability]])+COUNTIF(Scenario1[loser2-ability3],ParagonAbilities3Scenario1[[#This Row],[ability]])</f>
        <v>11</v>
      </c>
      <c r="N34" s="1">
        <f>COUNTIF(Scenario1[winner1-ability3],ParagonAbilities3Scenario1[[#This Row],[ability]])+COUNTIF(Scenario1[winner2-ability3],ParagonAbilities3Scenario1[[#This Row],[ability]])</f>
        <v>9</v>
      </c>
      <c r="O34" s="14">
        <f>IF(SUM(ParagonAbilities3Scenario1[[#This Row],[takes]]) &gt; 0,ParagonAbilities3Scenario1[[#This Row],[takes]]/SUM(ParagonAbilities3Scenario1[takes]),0)</f>
        <v>0.21153846153846154</v>
      </c>
      <c r="P34" s="14">
        <f>IF(ParagonAbilities3Scenario1[[#This Row],[takes]]&gt;0,ParagonAbilities3Scenario1[[#This Row],[wins]]/ParagonAbilities3Scenario1[[#This Row],[takes]],0)</f>
        <v>0.81818181818181823</v>
      </c>
      <c r="U34" s="18"/>
    </row>
    <row r="35" spans="12:21" x14ac:dyDescent="0.25">
      <c r="L35" s="20" t="s">
        <v>105</v>
      </c>
      <c r="M35" s="2">
        <f>COUNTIF(Scenario1[winner1-ability3],ParagonAbilities3Scenario1[[#This Row],[ability]])+COUNTIF(Scenario1[winner2-ability3],ParagonAbilities3Scenario1[[#This Row],[ability]])+COUNTIF(Scenario1[loser1-ability3],ParagonAbilities3Scenario1[[#This Row],[ability]])+COUNTIF(Scenario1[loser2-ability3],ParagonAbilities3Scenario1[[#This Row],[ability]])</f>
        <v>29</v>
      </c>
      <c r="N35" s="2">
        <f>COUNTIF(Scenario1[winner1-ability3],ParagonAbilities3Scenario1[[#This Row],[ability]])+COUNTIF(Scenario1[winner2-ability3],ParagonAbilities3Scenario1[[#This Row],[ability]])</f>
        <v>8</v>
      </c>
      <c r="O35" s="12">
        <f>IF(SUM(ParagonAbilities3Scenario1[[#This Row],[takes]]) &gt; 0,ParagonAbilities3Scenario1[[#This Row],[takes]]/SUM(ParagonAbilities3Scenario1[takes]),0)</f>
        <v>0.55769230769230771</v>
      </c>
      <c r="P35" s="12">
        <f>IF(ParagonAbilities3Scenario1[[#This Row],[takes]]&gt;0,ParagonAbilities3Scenario1[[#This Row],[wins]]/ParagonAbilities3Scenario1[[#This Row],[takes]],0)</f>
        <v>0.27586206896551724</v>
      </c>
      <c r="U35" s="18"/>
    </row>
    <row r="36" spans="12:21" x14ac:dyDescent="0.25">
      <c r="L36" s="23" t="s">
        <v>97</v>
      </c>
      <c r="M36" s="1">
        <f>COUNTIF(Scenario1[winner1-ability3],ParagonAbilities3Scenario1[[#This Row],[ability]])+COUNTIF(Scenario1[winner2-ability3],ParagonAbilities3Scenario1[[#This Row],[ability]])+COUNTIF(Scenario1[loser1-ability3],ParagonAbilities3Scenario1[[#This Row],[ability]])+COUNTIF(Scenario1[loser2-ability3],ParagonAbilities3Scenario1[[#This Row],[ability]])</f>
        <v>12</v>
      </c>
      <c r="N36" s="1">
        <f>COUNTIF(Scenario1[winner1-ability3],ParagonAbilities3Scenario1[[#This Row],[ability]])+COUNTIF(Scenario1[winner2-ability3],ParagonAbilities3Scenario1[[#This Row],[ability]])</f>
        <v>2</v>
      </c>
      <c r="O36" s="15">
        <f>IF(SUM(ParagonAbilities3Scenario1[[#This Row],[takes]]) &gt; 0,ParagonAbilities3Scenario1[[#This Row],[takes]]/SUM(ParagonAbilities3Scenario1[takes]),0)</f>
        <v>0.23076923076923078</v>
      </c>
      <c r="P36" s="15">
        <f>IF(ParagonAbilities3Scenario1[[#This Row],[takes]]&gt;0,ParagonAbilities3Scenario1[[#This Row],[wins]]/ParagonAbilities3Scenario1[[#This Row],[takes]],0)</f>
        <v>0.16666666666666666</v>
      </c>
      <c r="U36" s="18"/>
    </row>
    <row r="37" spans="12:21" x14ac:dyDescent="0.25">
      <c r="L37" s="17"/>
      <c r="O37" s="3"/>
      <c r="P37" s="3"/>
      <c r="U37" s="18"/>
    </row>
    <row r="38" spans="12:21" x14ac:dyDescent="0.25">
      <c r="L38" s="19" t="s">
        <v>109</v>
      </c>
      <c r="M38" s="8" t="s">
        <v>110</v>
      </c>
      <c r="N38" s="8" t="s">
        <v>79</v>
      </c>
      <c r="O38" s="9" t="s">
        <v>117</v>
      </c>
      <c r="P38" s="9" t="s">
        <v>118</v>
      </c>
      <c r="U38" s="18"/>
    </row>
    <row r="39" spans="12:21" x14ac:dyDescent="0.25">
      <c r="L39" s="20" t="s">
        <v>98</v>
      </c>
      <c r="M39" s="2">
        <f>COUNTIF(Scenario1[winner1-ability4],ParagonAbilities4Scenario1[[#This Row],[ability]])+COUNTIF(Scenario1[winner2-ability4],ParagonAbilities4Scenario1[[#This Row],[ability]])+COUNTIF(Scenario1[loser1-ability4],ParagonAbilities4Scenario1[[#This Row],[ability]])+COUNTIF(Scenario1[loser2-ability4],ParagonAbilities4Scenario1[[#This Row],[ability]])</f>
        <v>6</v>
      </c>
      <c r="N39" s="2">
        <f>COUNTIF(Scenario1[winner1-ability4],ParagonAbilities4Scenario1[[#This Row],[ability]])+COUNTIF(Scenario1[winner2-ability4],ParagonAbilities4Scenario1[[#This Row],[ability]])</f>
        <v>4</v>
      </c>
      <c r="O39" s="12">
        <f>IF(SUM(ParagonAbilities4Scenario1[[#This Row],[takes]]) &gt; 0,ParagonAbilities4Scenario1[[#This Row],[takes]]/SUM(ParagonAbilities4Scenario1[takes]),0)</f>
        <v>0.6</v>
      </c>
      <c r="P39" s="12">
        <f>IF(ParagonAbilities4Scenario1[[#This Row],[takes]]&gt;0,ParagonAbilities4Scenario1[[#This Row],[wins]]/ParagonAbilities4Scenario1[[#This Row],[takes]],0)</f>
        <v>0.66666666666666663</v>
      </c>
      <c r="U39" s="18"/>
    </row>
    <row r="40" spans="12:21" x14ac:dyDescent="0.25">
      <c r="L40" s="20" t="s">
        <v>115</v>
      </c>
      <c r="M40" s="2">
        <f>COUNTIF(Scenario1[winner1-ability4],ParagonAbilities4Scenario1[[#This Row],[ability]])+COUNTIF(Scenario1[winner2-ability4],ParagonAbilities4Scenario1[[#This Row],[ability]])+COUNTIF(Scenario1[loser1-ability4],ParagonAbilities4Scenario1[[#This Row],[ability]])+COUNTIF(Scenario1[loser2-ability4],ParagonAbilities4Scenario1[[#This Row],[ability]])</f>
        <v>3</v>
      </c>
      <c r="N40" s="2">
        <f>COUNTIF(Scenario1[winner1-ability4],ParagonAbilities4Scenario1[[#This Row],[ability]])+COUNTIF(Scenario1[winner2-ability4],ParagonAbilities4Scenario1[[#This Row],[ability]])</f>
        <v>1</v>
      </c>
      <c r="O40" s="12">
        <f>IF(SUM(ParagonAbilities4Scenario1[[#This Row],[takes]]) &gt; 0,ParagonAbilities4Scenario1[[#This Row],[takes]]/SUM(ParagonAbilities4Scenario1[takes]),0)</f>
        <v>0.3</v>
      </c>
      <c r="P40" s="12">
        <f>IF(ParagonAbilities4Scenario1[[#This Row],[takes]]&gt;0,ParagonAbilities4Scenario1[[#This Row],[wins]]/ParagonAbilities4Scenario1[[#This Row],[takes]],0)</f>
        <v>0.33333333333333331</v>
      </c>
      <c r="U40" s="18"/>
    </row>
    <row r="41" spans="12:21" ht="15.75" thickBot="1" x14ac:dyDescent="0.3">
      <c r="L41" s="24" t="s">
        <v>116</v>
      </c>
      <c r="M41" s="2">
        <f>COUNTIF(Scenario1[winner1-ability4],ParagonAbilities4Scenario1[[#This Row],[ability]])+COUNTIF(Scenario1[winner2-ability4],ParagonAbilities4Scenario1[[#This Row],[ability]])+COUNTIF(Scenario1[loser1-ability4],ParagonAbilities4Scenario1[[#This Row],[ability]])+COUNTIF(Scenario1[loser2-ability4],ParagonAbilities4Scenario1[[#This Row],[ability]])</f>
        <v>1</v>
      </c>
      <c r="N41" s="2">
        <f>COUNTIF(Scenario1[winner1-ability4],ParagonAbilities4Scenario1[[#This Row],[ability]])+COUNTIF(Scenario1[winner2-ability4],ParagonAbilities4Scenario1[[#This Row],[ability]])</f>
        <v>1</v>
      </c>
      <c r="O41" s="26">
        <f>IF(SUM(ParagonAbilities4Scenario1[[#This Row],[takes]]) &gt; 0,ParagonAbilities4Scenario1[[#This Row],[takes]]/SUM(ParagonAbilities4Scenario1[takes]),0)</f>
        <v>0.1</v>
      </c>
      <c r="P41" s="26">
        <f>IF(ParagonAbilities4Scenario1[[#This Row],[takes]]&gt;0,ParagonAbilities4Scenario1[[#This Row],[wins]]/ParagonAbilities4Scenario1[[#This Row],[takes]],0)</f>
        <v>1</v>
      </c>
      <c r="Q41" s="27"/>
      <c r="R41" s="27"/>
      <c r="S41" s="27"/>
      <c r="T41" s="27"/>
      <c r="U41" s="28"/>
    </row>
    <row r="42" spans="12:21" ht="15.75" thickBot="1" x14ac:dyDescent="0.3"/>
    <row r="43" spans="12:21" ht="15.75" thickBot="1" x14ac:dyDescent="0.3">
      <c r="L43" s="36" t="s">
        <v>184</v>
      </c>
      <c r="M43" s="37"/>
      <c r="N43" s="37"/>
      <c r="O43" s="37"/>
      <c r="P43" s="37"/>
      <c r="Q43" s="37"/>
      <c r="R43" s="37"/>
      <c r="S43" s="37"/>
      <c r="T43" s="37"/>
      <c r="U43" s="38"/>
    </row>
    <row r="44" spans="12:21" x14ac:dyDescent="0.25">
      <c r="L44" s="17" t="s">
        <v>109</v>
      </c>
      <c r="M44" t="s">
        <v>110</v>
      </c>
      <c r="N44" t="s">
        <v>79</v>
      </c>
      <c r="O44" s="3" t="s">
        <v>117</v>
      </c>
      <c r="P44" s="3" t="s">
        <v>118</v>
      </c>
      <c r="R44" t="s">
        <v>161</v>
      </c>
      <c r="S44" t="s">
        <v>162</v>
      </c>
      <c r="T44" t="s">
        <v>163</v>
      </c>
      <c r="U44" s="18" t="s">
        <v>164</v>
      </c>
    </row>
    <row r="45" spans="12:21" x14ac:dyDescent="0.25">
      <c r="L45" s="17" t="s">
        <v>54</v>
      </c>
      <c r="M45">
        <f>COUNTIF(Scenario2[winner1-ability1],ParagonAbilities1Scenario2[[#This Row],[ability]])+COUNTIF(Scenario2[loser1-ability1],ParagonAbilities1Scenario2[[#This Row],[ability]])</f>
        <v>0</v>
      </c>
      <c r="N45">
        <f>COUNTIF(Scenario2[winner1-ability1],ParagonAbilities1Scenario2[[#This Row],[ability]])</f>
        <v>0</v>
      </c>
      <c r="O45" s="3">
        <f>IF(SUM(ParagonAbilities1Scenario2[[#This Row],[takes]]) &gt; 0,ParagonAbilities1Scenario2[[#This Row],[takes]]/SUM(ParagonAbilities1Scenario2[takes]),0)</f>
        <v>0</v>
      </c>
      <c r="P45" s="3">
        <f>IF(ParagonAbilities1Scenario2[[#This Row],[takes]]&gt;0,ParagonAbilities1Scenario2[[#This Row],[wins]]/ParagonAbilities1Scenario2[[#This Row],[takes]],0)</f>
        <v>0</v>
      </c>
      <c r="R45">
        <v>1</v>
      </c>
      <c r="S45">
        <f>COUNTIFS(Scenario2[winner1],"paragon",Scenario2[winner1-pw],ParagonEquipScenario2[[#This Row],[level]])+COUNTIFS(Scenario2[loser1],"paragon",Scenario2[loser1-pw],ParagonEquipScenario2[[#This Row],[level]])</f>
        <v>1</v>
      </c>
      <c r="T45">
        <f>COUNTIFS(Scenario2[winner1],"paragon",Scenario2[winner1-sw],ParagonEquipScenario2[[#This Row],[level]])+COUNTIFS(Scenario2[loser1],"paragon",Scenario2[loser1-sw],ParagonEquipScenario2[[#This Row],[level]])</f>
        <v>1</v>
      </c>
      <c r="U45" s="18">
        <f>COUNTIFS(Scenario2[winner1],"paragon",Scenario2[winner1-cp],ParagonEquipScenario2[[#This Row],[level]])+COUNTIFS(Scenario2[loser1],"paragon",Scenario2[loser1-cp],ParagonEquipScenario2[[#This Row],[level]])</f>
        <v>1</v>
      </c>
    </row>
    <row r="46" spans="12:21" x14ac:dyDescent="0.25">
      <c r="L46" s="17" t="s">
        <v>111</v>
      </c>
      <c r="M46">
        <f>COUNTIF(Scenario2[winner1-ability1],ParagonAbilities1Scenario2[[#This Row],[ability]])+COUNTIF(Scenario2[loser1-ability1],ParagonAbilities1Scenario2[[#This Row],[ability]])</f>
        <v>2</v>
      </c>
      <c r="N46">
        <f>COUNTIF(Scenario2[winner1-ability1],ParagonAbilities1Scenario2[[#This Row],[ability]])</f>
        <v>1</v>
      </c>
      <c r="O46" s="3">
        <f>IF(SUM(ParagonAbilities1Scenario2[[#This Row],[takes]]) &gt; 0,ParagonAbilities1Scenario2[[#This Row],[takes]]/SUM(ParagonAbilities1Scenario2[takes]),0)</f>
        <v>0.125</v>
      </c>
      <c r="P46" s="3">
        <f>IF(ParagonAbilities1Scenario2[[#This Row],[takes]]&gt;0,ParagonAbilities1Scenario2[[#This Row],[wins]]/ParagonAbilities1Scenario2[[#This Row],[takes]],0)</f>
        <v>0.5</v>
      </c>
      <c r="R46">
        <v>2</v>
      </c>
      <c r="S46">
        <f>COUNTIFS(Scenario2[winner1],"paragon",Scenario2[winner1-pw],ParagonEquipScenario2[[#This Row],[level]])+COUNTIFS(Scenario2[loser1],"paragon",Scenario2[loser1-pw],ParagonEquipScenario2[[#This Row],[level]])</f>
        <v>3</v>
      </c>
      <c r="T46">
        <f>COUNTIFS(Scenario2[winner1],"paragon",Scenario2[winner1-sw],ParagonEquipScenario2[[#This Row],[level]])+COUNTIFS(Scenario2[loser1],"paragon",Scenario2[loser1-sw],ParagonEquipScenario2[[#This Row],[level]])</f>
        <v>0</v>
      </c>
      <c r="U46" s="18">
        <f>COUNTIFS(Scenario2[winner1],"paragon",Scenario2[winner1-cp],ParagonEquipScenario2[[#This Row],[level]])+COUNTIFS(Scenario2[loser1],"paragon",Scenario2[loser1-cp],ParagonEquipScenario2[[#This Row],[level]])</f>
        <v>3</v>
      </c>
    </row>
    <row r="47" spans="12:21" x14ac:dyDescent="0.25">
      <c r="L47" s="17" t="s">
        <v>112</v>
      </c>
      <c r="M47">
        <f>COUNTIF(Scenario2[winner1-ability1],ParagonAbilities1Scenario2[[#This Row],[ability]])+COUNTIF(Scenario2[loser1-ability1],ParagonAbilities1Scenario2[[#This Row],[ability]])</f>
        <v>14</v>
      </c>
      <c r="N47">
        <f>COUNTIF(Scenario2[winner1-ability1],ParagonAbilities1Scenario2[[#This Row],[ability]])</f>
        <v>11</v>
      </c>
      <c r="O47" s="3">
        <f>IF(SUM(ParagonAbilities1Scenario2[[#This Row],[takes]]) &gt; 0,ParagonAbilities1Scenario2[[#This Row],[takes]]/SUM(ParagonAbilities1Scenario2[takes]),0)</f>
        <v>0.875</v>
      </c>
      <c r="P47" s="3">
        <f>IF(ParagonAbilities1Scenario2[[#This Row],[takes]]&gt;0,ParagonAbilities1Scenario2[[#This Row],[wins]]/ParagonAbilities1Scenario2[[#This Row],[takes]],0)</f>
        <v>0.7857142857142857</v>
      </c>
      <c r="R47">
        <v>3</v>
      </c>
      <c r="S47">
        <f>COUNTIFS(Scenario2[winner1],"paragon",Scenario2[winner1-pw],ParagonEquipScenario2[[#This Row],[level]])+COUNTIFS(Scenario2[loser1],"paragon",Scenario2[loser1-pw],ParagonEquipScenario2[[#This Row],[level]])</f>
        <v>12</v>
      </c>
      <c r="T47">
        <f>COUNTIFS(Scenario2[winner1],"paragon",Scenario2[winner1-sw],ParagonEquipScenario2[[#This Row],[level]])+COUNTIFS(Scenario2[loser1],"paragon",Scenario2[loser1-sw],ParagonEquipScenario2[[#This Row],[level]])</f>
        <v>15</v>
      </c>
      <c r="U47" s="18">
        <f>COUNTIFS(Scenario2[winner1],"paragon",Scenario2[winner1-cp],ParagonEquipScenario2[[#This Row],[level]])+COUNTIFS(Scenario2[loser1],"paragon",Scenario2[loser1-cp],ParagonEquipScenario2[[#This Row],[level]])</f>
        <v>12</v>
      </c>
    </row>
    <row r="48" spans="12:21" x14ac:dyDescent="0.25">
      <c r="L48" s="17"/>
      <c r="O48" s="3"/>
      <c r="P48" s="3"/>
      <c r="U48" s="18"/>
    </row>
    <row r="49" spans="12:21" x14ac:dyDescent="0.25">
      <c r="L49" s="19" t="s">
        <v>109</v>
      </c>
      <c r="M49" s="8" t="s">
        <v>110</v>
      </c>
      <c r="N49" s="8" t="s">
        <v>79</v>
      </c>
      <c r="O49" s="9" t="s">
        <v>117</v>
      </c>
      <c r="P49" s="9" t="s">
        <v>118</v>
      </c>
      <c r="U49" s="18"/>
    </row>
    <row r="50" spans="12:21" x14ac:dyDescent="0.25">
      <c r="L50" s="20" t="s">
        <v>55</v>
      </c>
      <c r="M50" s="2">
        <f>COUNTIF(Scenario2[winner1-ability2],ParagonAbilities2Scenario2[[#This Row],[ability]])+COUNTIF(Scenario2[loser1-ability2],ParagonAbilities2Scenario2[[#This Row],[ability]])</f>
        <v>6</v>
      </c>
      <c r="N50" s="2">
        <f>COUNTIF(Scenario2[winner1-ability2],ParagonAbilities2Scenario2[[#This Row],[ability]])</f>
        <v>5</v>
      </c>
      <c r="O50" s="12">
        <f>IF(SUM(ParagonAbilities2Scenario2[[#This Row],[takes]]) &gt; 0,ParagonAbilities2Scenario2[[#This Row],[takes]]/SUM(ParagonAbilities2Scenario2[takes]),0)</f>
        <v>0.4</v>
      </c>
      <c r="P50" s="12">
        <f>IF(ParagonAbilities2Scenario2[[#This Row],[takes]]&gt;0,ParagonAbilities2Scenario2[[#This Row],[wins]]/ParagonAbilities2Scenario2[[#This Row],[takes]],0)</f>
        <v>0.83333333333333337</v>
      </c>
      <c r="U50" s="18"/>
    </row>
    <row r="51" spans="12:21" x14ac:dyDescent="0.25">
      <c r="L51" s="17" t="s">
        <v>83</v>
      </c>
      <c r="M51" s="2">
        <f>COUNTIF(Scenario2[winner1-ability2],ParagonAbilities2Scenario2[[#This Row],[ability]])+COUNTIF(Scenario2[loser1-ability2],ParagonAbilities2Scenario2[[#This Row],[ability]])</f>
        <v>9</v>
      </c>
      <c r="N51" s="2">
        <f>COUNTIF(Scenario2[winner1-ability2],ParagonAbilities2Scenario2[[#This Row],[ability]])</f>
        <v>7</v>
      </c>
      <c r="O51" s="3">
        <f>IF(SUM(ParagonAbilities2Scenario2[[#This Row],[takes]]) &gt; 0,ParagonAbilities2Scenario2[[#This Row],[takes]]/SUM(ParagonAbilities2Scenario2[takes]),0)</f>
        <v>0.6</v>
      </c>
      <c r="P51" s="3">
        <f>IF(ParagonAbilities2Scenario2[[#This Row],[takes]]&gt;0,ParagonAbilities2Scenario2[[#This Row],[wins]]/ParagonAbilities2Scenario2[[#This Row],[takes]],0)</f>
        <v>0.77777777777777779</v>
      </c>
      <c r="U51" s="18"/>
    </row>
    <row r="52" spans="12:21" x14ac:dyDescent="0.25">
      <c r="L52" s="21" t="s">
        <v>113</v>
      </c>
      <c r="M52" s="2">
        <f>COUNTIF(Scenario2[winner1-ability2],ParagonAbilities2Scenario2[[#This Row],[ability]])+COUNTIF(Scenario2[loser1-ability2],ParagonAbilities2Scenario2[[#This Row],[ability]])</f>
        <v>0</v>
      </c>
      <c r="N52" s="2">
        <f>COUNTIF(Scenario2[winner1-ability2],ParagonAbilities2Scenario2[[#This Row],[ability]])</f>
        <v>0</v>
      </c>
      <c r="O52" s="13">
        <f>IF(SUM(ParagonAbilities2Scenario2[[#This Row],[takes]]) &gt; 0,ParagonAbilities2Scenario2[[#This Row],[takes]]/SUM(ParagonAbilities2Scenario2[takes]),0)</f>
        <v>0</v>
      </c>
      <c r="P52" s="13">
        <f>IF(ParagonAbilities2Scenario2[[#This Row],[takes]]&gt;0,ParagonAbilities2Scenario2[[#This Row],[wins]]/ParagonAbilities2Scenario2[[#This Row],[takes]],0)</f>
        <v>0</v>
      </c>
      <c r="U52" s="18"/>
    </row>
    <row r="53" spans="12:21" x14ac:dyDescent="0.25">
      <c r="L53" s="17"/>
      <c r="O53" s="3"/>
      <c r="P53" s="3"/>
      <c r="U53" s="18"/>
    </row>
    <row r="54" spans="12:21" x14ac:dyDescent="0.25">
      <c r="L54" s="19" t="s">
        <v>109</v>
      </c>
      <c r="M54" s="8" t="s">
        <v>110</v>
      </c>
      <c r="N54" s="8" t="s">
        <v>79</v>
      </c>
      <c r="O54" s="9" t="s">
        <v>117</v>
      </c>
      <c r="P54" s="9" t="s">
        <v>118</v>
      </c>
      <c r="U54" s="18"/>
    </row>
    <row r="55" spans="12:21" x14ac:dyDescent="0.25">
      <c r="L55" s="22" t="s">
        <v>114</v>
      </c>
      <c r="M55" s="1">
        <f>COUNTIF(Scenario2[winner1-ability3],ParagonAbilities3Scenario2[[#This Row],[ability]])+COUNTIF(Scenario2[loser1-ability3],ParagonAbilities3Scenario2[[#This Row],[ability]])</f>
        <v>6</v>
      </c>
      <c r="N55" s="1">
        <f>COUNTIF(Scenario2[winner1-ability3],ParagonAbilities3Scenario2[[#This Row],[ability]])</f>
        <v>6</v>
      </c>
      <c r="O55" s="14">
        <f>IF(SUM(ParagonAbilities3Scenario2[[#This Row],[takes]]) &gt; 0,ParagonAbilities3Scenario2[[#This Row],[takes]]/SUM(ParagonAbilities3Scenario2[takes]),0)</f>
        <v>0.5</v>
      </c>
      <c r="P55" s="14">
        <f>IF(ParagonAbilities3Scenario2[[#This Row],[takes]]&gt;0,ParagonAbilities3Scenario2[[#This Row],[wins]]/ParagonAbilities3Scenario2[[#This Row],[takes]],0)</f>
        <v>1</v>
      </c>
      <c r="U55" s="18"/>
    </row>
    <row r="56" spans="12:21" x14ac:dyDescent="0.25">
      <c r="L56" s="20" t="s">
        <v>105</v>
      </c>
      <c r="M56" s="2">
        <f>COUNTIF(Scenario2[winner1-ability3],ParagonAbilities3Scenario2[[#This Row],[ability]])+COUNTIF(Scenario2[loser1-ability3],ParagonAbilities3Scenario2[[#This Row],[ability]])</f>
        <v>1</v>
      </c>
      <c r="N56" s="2">
        <f>COUNTIF(Scenario2[winner1-ability3],ParagonAbilities3Scenario2[[#This Row],[ability]])</f>
        <v>1</v>
      </c>
      <c r="O56" s="12">
        <f>IF(SUM(ParagonAbilities3Scenario2[[#This Row],[takes]]) &gt; 0,ParagonAbilities3Scenario2[[#This Row],[takes]]/SUM(ParagonAbilities3Scenario2[takes]),0)</f>
        <v>8.3333333333333329E-2</v>
      </c>
      <c r="P56" s="12">
        <f>IF(ParagonAbilities3Scenario2[[#This Row],[takes]]&gt;0,ParagonAbilities3Scenario2[[#This Row],[wins]]/ParagonAbilities3Scenario2[[#This Row],[takes]],0)</f>
        <v>1</v>
      </c>
      <c r="U56" s="18"/>
    </row>
    <row r="57" spans="12:21" x14ac:dyDescent="0.25">
      <c r="L57" s="23" t="s">
        <v>97</v>
      </c>
      <c r="M57" s="1">
        <f>COUNTIF(Scenario2[winner1-ability3],ParagonAbilities3Scenario2[[#This Row],[ability]])+COUNTIF(Scenario2[loser1-ability3],ParagonAbilities3Scenario2[[#This Row],[ability]])</f>
        <v>5</v>
      </c>
      <c r="N57" s="1">
        <f>COUNTIF(Scenario2[winner1-ability3],ParagonAbilities3Scenario2[[#This Row],[ability]])</f>
        <v>2</v>
      </c>
      <c r="O57" s="15">
        <f>IF(SUM(ParagonAbilities3Scenario2[[#This Row],[takes]]) &gt; 0,ParagonAbilities3Scenario2[[#This Row],[takes]]/SUM(ParagonAbilities3Scenario2[takes]),0)</f>
        <v>0.41666666666666669</v>
      </c>
      <c r="P57" s="15">
        <f>IF(ParagonAbilities3Scenario2[[#This Row],[takes]]&gt;0,ParagonAbilities3Scenario2[[#This Row],[wins]]/ParagonAbilities3Scenario2[[#This Row],[takes]],0)</f>
        <v>0.4</v>
      </c>
      <c r="U57" s="18"/>
    </row>
    <row r="58" spans="12:21" x14ac:dyDescent="0.25">
      <c r="L58" s="17"/>
      <c r="O58" s="3"/>
      <c r="P58" s="3"/>
      <c r="U58" s="18"/>
    </row>
    <row r="59" spans="12:21" x14ac:dyDescent="0.25">
      <c r="L59" s="19" t="s">
        <v>109</v>
      </c>
      <c r="M59" s="8" t="s">
        <v>110</v>
      </c>
      <c r="N59" s="8" t="s">
        <v>79</v>
      </c>
      <c r="O59" s="9" t="s">
        <v>117</v>
      </c>
      <c r="P59" s="9" t="s">
        <v>118</v>
      </c>
      <c r="U59" s="18"/>
    </row>
    <row r="60" spans="12:21" x14ac:dyDescent="0.25">
      <c r="L60" s="20" t="s">
        <v>98</v>
      </c>
      <c r="M60" s="2">
        <f>COUNTIF(Scenario2[winner1-ability4],ParagonAbilities4Scenario2[[#This Row],[ability]])+COUNTIF(Scenario2[loser1-ability4],ParagonAbilities4Scenario2[[#This Row],[ability]])</f>
        <v>7</v>
      </c>
      <c r="N60" s="2">
        <f>COUNTIF(Scenario2[winner1-ability4],ParagonAbilities4Scenario2[[#This Row],[ability]])</f>
        <v>5</v>
      </c>
      <c r="O60" s="12">
        <f>IF(SUM(ParagonAbilities4Scenario2[[#This Row],[takes]]) &gt; 0,ParagonAbilities4Scenario2[[#This Row],[takes]]/SUM(ParagonAbilities4Scenario2[takes]),0)</f>
        <v>0.7</v>
      </c>
      <c r="P60" s="12">
        <f>IF(ParagonAbilities4Scenario2[[#This Row],[takes]]&gt;0,ParagonAbilities4Scenario2[[#This Row],[wins]]/ParagonAbilities4Scenario2[[#This Row],[takes]],0)</f>
        <v>0.7142857142857143</v>
      </c>
      <c r="U60" s="18"/>
    </row>
    <row r="61" spans="12:21" x14ac:dyDescent="0.25">
      <c r="L61" s="20" t="s">
        <v>115</v>
      </c>
      <c r="M61" s="2">
        <f>COUNTIF(Scenario2[winner1-ability4],ParagonAbilities4Scenario2[[#This Row],[ability]])+COUNTIF(Scenario2[loser1-ability4],ParagonAbilities4Scenario2[[#This Row],[ability]])</f>
        <v>3</v>
      </c>
      <c r="N61" s="2">
        <f>COUNTIF(Scenario2[winner1-ability4],ParagonAbilities4Scenario2[[#This Row],[ability]])</f>
        <v>3</v>
      </c>
      <c r="O61" s="12">
        <f>IF(SUM(ParagonAbilities4Scenario2[[#This Row],[takes]]) &gt; 0,ParagonAbilities4Scenario2[[#This Row],[takes]]/SUM(ParagonAbilities4Scenario2[takes]),0)</f>
        <v>0.3</v>
      </c>
      <c r="P61" s="12">
        <f>IF(ParagonAbilities4Scenario2[[#This Row],[takes]]&gt;0,ParagonAbilities4Scenario2[[#This Row],[wins]]/ParagonAbilities4Scenario2[[#This Row],[takes]],0)</f>
        <v>1</v>
      </c>
      <c r="U61" s="18"/>
    </row>
    <row r="62" spans="12:21" ht="15.75" thickBot="1" x14ac:dyDescent="0.3">
      <c r="L62" s="24" t="s">
        <v>116</v>
      </c>
      <c r="M62" s="2">
        <f>COUNTIF(Scenario2[winner1-ability4],ParagonAbilities4Scenario2[[#This Row],[ability]])+COUNTIF(Scenario2[loser1-ability4],ParagonAbilities4Scenario2[[#This Row],[ability]])</f>
        <v>0</v>
      </c>
      <c r="N62" s="2">
        <f>COUNTIF(Scenario2[winner1-ability4],ParagonAbilities4Scenario2[[#This Row],[ability]])</f>
        <v>0</v>
      </c>
      <c r="O62" s="26">
        <f>IF(SUM(ParagonAbilities4Scenario2[[#This Row],[takes]]) &gt; 0,ParagonAbilities4Scenario2[[#This Row],[takes]]/SUM(ParagonAbilities4Scenario2[takes]),0)</f>
        <v>0</v>
      </c>
      <c r="P62" s="26">
        <f>IF(ParagonAbilities4Scenario2[[#This Row],[takes]]&gt;0,ParagonAbilities4Scenario2[[#This Row],[wins]]/ParagonAbilities4Scenario2[[#This Row],[takes]],0)</f>
        <v>0</v>
      </c>
      <c r="Q62" s="27"/>
      <c r="R62" s="27"/>
      <c r="S62" s="27"/>
      <c r="T62" s="27"/>
      <c r="U62" s="28"/>
    </row>
    <row r="63" spans="12:21" ht="15.75" thickBot="1" x14ac:dyDescent="0.3"/>
    <row r="64" spans="12:21" ht="15.75" thickBot="1" x14ac:dyDescent="0.3">
      <c r="L64" s="36" t="s">
        <v>209</v>
      </c>
      <c r="M64" s="37"/>
      <c r="N64" s="37"/>
      <c r="O64" s="37"/>
      <c r="P64" s="37"/>
      <c r="Q64" s="37"/>
      <c r="R64" s="37"/>
      <c r="S64" s="37"/>
      <c r="T64" s="37"/>
      <c r="U64" s="38"/>
    </row>
    <row r="65" spans="12:21" x14ac:dyDescent="0.25">
      <c r="L65" s="17" t="s">
        <v>109</v>
      </c>
      <c r="M65" t="s">
        <v>110</v>
      </c>
      <c r="N65" t="s">
        <v>79</v>
      </c>
      <c r="O65" s="3" t="s">
        <v>117</v>
      </c>
      <c r="P65" s="3" t="s">
        <v>118</v>
      </c>
      <c r="R65" t="s">
        <v>161</v>
      </c>
      <c r="S65" t="s">
        <v>162</v>
      </c>
      <c r="T65" t="s">
        <v>163</v>
      </c>
      <c r="U65" s="18" t="s">
        <v>164</v>
      </c>
    </row>
    <row r="66" spans="12:21" x14ac:dyDescent="0.25">
      <c r="L66" s="17" t="s">
        <v>54</v>
      </c>
      <c r="M66">
        <f>COUNTIF(Scenario3[winner1-ability1],ParagonAbilities1Scenario3[[#This Row],[ability]])+COUNTIF(Scenario3[loser1-ability1],ParagonAbilities1Scenario3[[#This Row],[ability]])+COUNTIF(Scenario3[loser2-ability1],ParagonAbilities1Scenario3[[#This Row],[ability]])</f>
        <v>0</v>
      </c>
      <c r="N66">
        <f>COUNTIF(Scenario3[winner1-ability1],ParagonAbilities1Scenario3[[#This Row],[ability]])</f>
        <v>0</v>
      </c>
      <c r="O66" s="3">
        <f>IF(SUM(ParagonAbilities1Scenario3[[#This Row],[takes]]) &gt; 0,ParagonAbilities1Scenario3[[#This Row],[takes]]/SUM(ParagonAbilities1Scenario3[takes]),0)</f>
        <v>0</v>
      </c>
      <c r="P66" s="3">
        <f>IF(ParagonAbilities1Scenario3[[#This Row],[takes]]&gt;0,ParagonAbilities1Scenario3[[#This Row],[wins]]/ParagonAbilities1Scenario3[[#This Row],[takes]],0)</f>
        <v>0</v>
      </c>
      <c r="R66">
        <v>1</v>
      </c>
      <c r="S66">
        <f>COUNTIFS(Scenario3[winner1],"paragon",Scenario3[winner1-pw],ParagonEquipScenario3[[#This Row],[level]])+COUNTIFS(Scenario3[loser1],"paragon",Scenario3[loser1-pw],ParagonEquipScenario3[[#This Row],[level]])+COUNTIFS(Scenario3[loser2],"paragon",Scenario3[loser2-pw],ParagonEquipScenario3[[#This Row],[level]])</f>
        <v>7</v>
      </c>
      <c r="T66">
        <f>COUNTIFS(Scenario3[winner1],"paragon",Scenario3[winner1-sw],ParagonEquipScenario3[[#This Row],[level]])+COUNTIFS(Scenario3[loser1],"paragon",Scenario3[loser1-sw],ParagonEquipScenario3[[#This Row],[level]])+COUNTIFS(Scenario3[loser2],"paragon",Scenario3[loser2-sw],ParagonEquipScenario3[[#This Row],[level]])</f>
        <v>0</v>
      </c>
      <c r="U66" s="18">
        <f>COUNTIFS(Scenario3[winner1],"paragon",Scenario3[winner1-cp],ParagonEquipScenario3[[#This Row],[level]])+COUNTIFS(Scenario3[loser1],"paragon",Scenario3[loser1-cp],ParagonEquipScenario3[[#This Row],[level]])+COUNTIFS(Scenario3[loser2],"paragon",Scenario3[loser2-cp],ParagonEquipScenario3[[#This Row],[level]])</f>
        <v>0</v>
      </c>
    </row>
    <row r="67" spans="12:21" x14ac:dyDescent="0.25">
      <c r="L67" s="17" t="s">
        <v>111</v>
      </c>
      <c r="M67">
        <f>COUNTIF(Scenario3[winner1-ability1],ParagonAbilities1Scenario3[[#This Row],[ability]])+COUNTIF(Scenario3[loser1-ability1],ParagonAbilities1Scenario3[[#This Row],[ability]])+COUNTIF(Scenario3[loser2-ability1],ParagonAbilities1Scenario3[[#This Row],[ability]])</f>
        <v>0</v>
      </c>
      <c r="N67">
        <f>COUNTIF(Scenario3[winner1-ability1],ParagonAbilities1Scenario3[[#This Row],[ability]])</f>
        <v>0</v>
      </c>
      <c r="O67" s="3">
        <f>IF(SUM(ParagonAbilities1Scenario3[[#This Row],[takes]]) &gt; 0,ParagonAbilities1Scenario3[[#This Row],[takes]]/SUM(ParagonAbilities1Scenario3[takes]),0)</f>
        <v>0</v>
      </c>
      <c r="P67" s="3">
        <f>IF(ParagonAbilities1Scenario3[[#This Row],[takes]]&gt;0,ParagonAbilities1Scenario3[[#This Row],[wins]]/ParagonAbilities1Scenario3[[#This Row],[takes]],0)</f>
        <v>0</v>
      </c>
      <c r="R67">
        <v>2</v>
      </c>
      <c r="S67">
        <f>COUNTIFS(Scenario3[winner1],"paragon",Scenario3[winner1-pw],ParagonEquipScenario3[[#This Row],[level]])+COUNTIFS(Scenario3[loser1],"paragon",Scenario3[loser1-pw],ParagonEquipScenario3[[#This Row],[level]])+COUNTIFS(Scenario3[loser2],"paragon",Scenario3[loser2-pw],ParagonEquipScenario3[[#This Row],[level]])</f>
        <v>3</v>
      </c>
      <c r="T67">
        <f>COUNTIFS(Scenario3[winner1],"paragon",Scenario3[winner1-sw],ParagonEquipScenario3[[#This Row],[level]])+COUNTIFS(Scenario3[loser1],"paragon",Scenario3[loser1-sw],ParagonEquipScenario3[[#This Row],[level]])+COUNTIFS(Scenario3[loser2],"paragon",Scenario3[loser2-sw],ParagonEquipScenario3[[#This Row],[level]])</f>
        <v>1</v>
      </c>
      <c r="U67" s="18">
        <f>COUNTIFS(Scenario3[winner1],"paragon",Scenario3[winner1-cp],ParagonEquipScenario3[[#This Row],[level]])+COUNTIFS(Scenario3[loser1],"paragon",Scenario3[loser1-cp],ParagonEquipScenario3[[#This Row],[level]])+COUNTIFS(Scenario3[loser2],"paragon",Scenario3[loser2-cp],ParagonEquipScenario3[[#This Row],[level]])</f>
        <v>7</v>
      </c>
    </row>
    <row r="68" spans="12:21" x14ac:dyDescent="0.25">
      <c r="L68" s="17" t="s">
        <v>112</v>
      </c>
      <c r="M68">
        <f>COUNTIF(Scenario3[winner1-ability1],ParagonAbilities1Scenario3[[#This Row],[ability]])+COUNTIF(Scenario3[loser1-ability1],ParagonAbilities1Scenario3[[#This Row],[ability]])+COUNTIF(Scenario3[loser2-ability1],ParagonAbilities1Scenario3[[#This Row],[ability]])</f>
        <v>28</v>
      </c>
      <c r="N68">
        <f>COUNTIF(Scenario3[winner1-ability1],ParagonAbilities1Scenario3[[#This Row],[ability]])</f>
        <v>14</v>
      </c>
      <c r="O68" s="3">
        <f>IF(SUM(ParagonAbilities1Scenario3[[#This Row],[takes]]) &gt; 0,ParagonAbilities1Scenario3[[#This Row],[takes]]/SUM(ParagonAbilities1Scenario3[takes]),0)</f>
        <v>1</v>
      </c>
      <c r="P68" s="3">
        <f>IF(ParagonAbilities1Scenario3[[#This Row],[takes]]&gt;0,ParagonAbilities1Scenario3[[#This Row],[wins]]/ParagonAbilities1Scenario3[[#This Row],[takes]],0)</f>
        <v>0.5</v>
      </c>
      <c r="R68">
        <v>3</v>
      </c>
      <c r="S68">
        <f>COUNTIFS(Scenario3[winner1],"paragon",Scenario3[winner1-pw],ParagonEquipScenario3[[#This Row],[level]])+COUNTIFS(Scenario3[loser1],"paragon",Scenario3[loser1-pw],ParagonEquipScenario3[[#This Row],[level]])+COUNTIFS(Scenario3[loser2],"paragon",Scenario3[loser2-pw],ParagonEquipScenario3[[#This Row],[level]])</f>
        <v>18</v>
      </c>
      <c r="T68">
        <f>COUNTIFS(Scenario3[winner1],"paragon",Scenario3[winner1-sw],ParagonEquipScenario3[[#This Row],[level]])+COUNTIFS(Scenario3[loser1],"paragon",Scenario3[loser1-sw],ParagonEquipScenario3[[#This Row],[level]])+COUNTIFS(Scenario3[loser2],"paragon",Scenario3[loser2-sw],ParagonEquipScenario3[[#This Row],[level]])</f>
        <v>27</v>
      </c>
      <c r="U68" s="18">
        <f>COUNTIFS(Scenario3[winner1],"paragon",Scenario3[winner1-cp],ParagonEquipScenario3[[#This Row],[level]])+COUNTIFS(Scenario3[loser1],"paragon",Scenario3[loser1-cp],ParagonEquipScenario3[[#This Row],[level]])+COUNTIFS(Scenario3[loser2],"paragon",Scenario3[loser2-cp],ParagonEquipScenario3[[#This Row],[level]])</f>
        <v>21</v>
      </c>
    </row>
    <row r="69" spans="12:21" x14ac:dyDescent="0.25">
      <c r="L69" s="17"/>
      <c r="O69" s="3"/>
      <c r="P69" s="3"/>
      <c r="U69" s="18"/>
    </row>
    <row r="70" spans="12:21" x14ac:dyDescent="0.25">
      <c r="L70" s="19" t="s">
        <v>109</v>
      </c>
      <c r="M70" s="8" t="s">
        <v>110</v>
      </c>
      <c r="N70" s="8" t="s">
        <v>79</v>
      </c>
      <c r="O70" s="9" t="s">
        <v>117</v>
      </c>
      <c r="P70" s="9" t="s">
        <v>118</v>
      </c>
      <c r="U70" s="18"/>
    </row>
    <row r="71" spans="12:21" x14ac:dyDescent="0.25">
      <c r="L71" s="20" t="s">
        <v>55</v>
      </c>
      <c r="M71" s="2">
        <f>COUNTIF(Scenario3[winner1-ability2],ParagonAbilities2Scenario3[[#This Row],[ability]])+COUNTIF(Scenario3[loser1-ability2],ParagonAbilities2Scenario3[[#This Row],[ability]])+COUNTIF(Scenario3[loser2-ability2],ParagonAbilities2Scenario3[[#This Row],[ability]])</f>
        <v>10</v>
      </c>
      <c r="N71" s="2">
        <f>COUNTIF(Scenario3[winner1-ability2],ParagonAbilities2Scenario3[[#This Row],[ability]])</f>
        <v>5</v>
      </c>
      <c r="O71" s="12">
        <f>IF(SUM(ParagonAbilities2Scenario3[[#This Row],[takes]]) &gt; 0,ParagonAbilities2Scenario3[[#This Row],[takes]]/SUM(ParagonAbilities2Scenario3[takes]),0)</f>
        <v>0.38461538461538464</v>
      </c>
      <c r="P71" s="12">
        <f>IF(ParagonAbilities2Scenario3[[#This Row],[takes]]&gt;0,ParagonAbilities2Scenario3[[#This Row],[wins]]/ParagonAbilities2Scenario3[[#This Row],[takes]],0)</f>
        <v>0.5</v>
      </c>
      <c r="U71" s="18"/>
    </row>
    <row r="72" spans="12:21" x14ac:dyDescent="0.25">
      <c r="L72" s="17" t="s">
        <v>83</v>
      </c>
      <c r="M72" s="2">
        <f>COUNTIF(Scenario3[winner1-ability2],ParagonAbilities2Scenario3[[#This Row],[ability]])+COUNTIF(Scenario3[loser1-ability2],ParagonAbilities2Scenario3[[#This Row],[ability]])+COUNTIF(Scenario3[loser2-ability2],ParagonAbilities2Scenario3[[#This Row],[ability]])</f>
        <v>16</v>
      </c>
      <c r="N72" s="2">
        <f>COUNTIF(Scenario3[winner1-ability2],ParagonAbilities2Scenario3[[#This Row],[ability]])</f>
        <v>9</v>
      </c>
      <c r="O72" s="3">
        <f>IF(SUM(ParagonAbilities2Scenario3[[#This Row],[takes]]) &gt; 0,ParagonAbilities2Scenario3[[#This Row],[takes]]/SUM(ParagonAbilities2Scenario3[takes]),0)</f>
        <v>0.61538461538461542</v>
      </c>
      <c r="P72" s="3">
        <f>IF(ParagonAbilities2Scenario3[[#This Row],[takes]]&gt;0,ParagonAbilities2Scenario3[[#This Row],[wins]]/ParagonAbilities2Scenario3[[#This Row],[takes]],0)</f>
        <v>0.5625</v>
      </c>
      <c r="U72" s="18"/>
    </row>
    <row r="73" spans="12:21" x14ac:dyDescent="0.25">
      <c r="L73" s="21" t="s">
        <v>113</v>
      </c>
      <c r="M73" s="2">
        <f>COUNTIF(Scenario3[winner1-ability2],ParagonAbilities2Scenario3[[#This Row],[ability]])+COUNTIF(Scenario3[loser1-ability2],ParagonAbilities2Scenario3[[#This Row],[ability]])+COUNTIF(Scenario3[loser2-ability2],ParagonAbilities2Scenario3[[#This Row],[ability]])</f>
        <v>0</v>
      </c>
      <c r="N73" s="2">
        <f>COUNTIF(Scenario3[winner1-ability2],ParagonAbilities2Scenario3[[#This Row],[ability]])</f>
        <v>0</v>
      </c>
      <c r="O73" s="13">
        <f>IF(SUM(ParagonAbilities2Scenario3[[#This Row],[takes]]) &gt; 0,ParagonAbilities2Scenario3[[#This Row],[takes]]/SUM(ParagonAbilities2Scenario3[takes]),0)</f>
        <v>0</v>
      </c>
      <c r="P73" s="13">
        <f>IF(ParagonAbilities2Scenario3[[#This Row],[takes]]&gt;0,ParagonAbilities2Scenario3[[#This Row],[wins]]/ParagonAbilities2Scenario3[[#This Row],[takes]],0)</f>
        <v>0</v>
      </c>
      <c r="U73" s="18"/>
    </row>
    <row r="74" spans="12:21" x14ac:dyDescent="0.25">
      <c r="L74" s="17"/>
      <c r="O74" s="3"/>
      <c r="P74" s="3"/>
      <c r="U74" s="18"/>
    </row>
    <row r="75" spans="12:21" x14ac:dyDescent="0.25">
      <c r="L75" s="19" t="s">
        <v>109</v>
      </c>
      <c r="M75" s="8" t="s">
        <v>110</v>
      </c>
      <c r="N75" s="8" t="s">
        <v>79</v>
      </c>
      <c r="O75" s="9" t="s">
        <v>117</v>
      </c>
      <c r="P75" s="9" t="s">
        <v>118</v>
      </c>
      <c r="U75" s="18"/>
    </row>
    <row r="76" spans="12:21" x14ac:dyDescent="0.25">
      <c r="L76" s="22" t="s">
        <v>114</v>
      </c>
      <c r="M76" s="1">
        <f>COUNTIF(Scenario3[winner1-ability3],ParagonAbilities3Scenario3[[#This Row],[ability]])+COUNTIF(Scenario3[loser1-ability3],ParagonAbilities3Scenario3[[#This Row],[ability]])+COUNTIF(Scenario3[loser2-ability3],ParagonAbilities3Scenario3[[#This Row],[ability]])</f>
        <v>2</v>
      </c>
      <c r="N76" s="1">
        <f>COUNTIF(Scenario3[winner1-ability3],ParagonAbilities3Scenario3[[#This Row],[ability]])</f>
        <v>2</v>
      </c>
      <c r="O76" s="14">
        <f>IF(SUM(ParagonAbilities3Scenario3[[#This Row],[takes]]) &gt; 0,ParagonAbilities3Scenario3[[#This Row],[takes]]/SUM(ParagonAbilities3Scenario3[takes]),0)</f>
        <v>8.6956521739130432E-2</v>
      </c>
      <c r="P76" s="14">
        <f>IF(ParagonAbilities3Scenario3[[#This Row],[takes]]&gt;0,ParagonAbilities3Scenario3[[#This Row],[wins]]/ParagonAbilities3Scenario3[[#This Row],[takes]],0)</f>
        <v>1</v>
      </c>
      <c r="U76" s="18"/>
    </row>
    <row r="77" spans="12:21" x14ac:dyDescent="0.25">
      <c r="L77" s="20" t="s">
        <v>105</v>
      </c>
      <c r="M77" s="2">
        <f>COUNTIF(Scenario3[winner1-ability3],ParagonAbilities3Scenario3[[#This Row],[ability]])+COUNTIF(Scenario3[loser1-ability3],ParagonAbilities3Scenario3[[#This Row],[ability]])+COUNTIF(Scenario3[loser2-ability3],ParagonAbilities3Scenario3[[#This Row],[ability]])</f>
        <v>0</v>
      </c>
      <c r="N77" s="2">
        <f>COUNTIF(Scenario3[winner1-ability3],ParagonAbilities3Scenario3[[#This Row],[ability]])</f>
        <v>0</v>
      </c>
      <c r="O77" s="12">
        <f>IF(SUM(ParagonAbilities3Scenario3[[#This Row],[takes]]) &gt; 0,ParagonAbilities3Scenario3[[#This Row],[takes]]/SUM(ParagonAbilities3Scenario3[takes]),0)</f>
        <v>0</v>
      </c>
      <c r="P77" s="12">
        <f>IF(ParagonAbilities3Scenario3[[#This Row],[takes]]&gt;0,ParagonAbilities3Scenario3[[#This Row],[wins]]/ParagonAbilities3Scenario3[[#This Row],[takes]],0)</f>
        <v>0</v>
      </c>
      <c r="U77" s="18"/>
    </row>
    <row r="78" spans="12:21" x14ac:dyDescent="0.25">
      <c r="L78" s="23" t="s">
        <v>97</v>
      </c>
      <c r="M78" s="1">
        <f>COUNTIF(Scenario3[winner1-ability3],ParagonAbilities3Scenario3[[#This Row],[ability]])+COUNTIF(Scenario3[loser1-ability3],ParagonAbilities3Scenario3[[#This Row],[ability]])+COUNTIF(Scenario3[loser2-ability3],ParagonAbilities3Scenario3[[#This Row],[ability]])</f>
        <v>21</v>
      </c>
      <c r="N78" s="1">
        <f>COUNTIF(Scenario3[winner1-ability3],ParagonAbilities3Scenario3[[#This Row],[ability]])</f>
        <v>12</v>
      </c>
      <c r="O78" s="15">
        <f>IF(SUM(ParagonAbilities3Scenario3[[#This Row],[takes]]) &gt; 0,ParagonAbilities3Scenario3[[#This Row],[takes]]/SUM(ParagonAbilities3Scenario3[takes]),0)</f>
        <v>0.91304347826086951</v>
      </c>
      <c r="P78" s="15">
        <f>IF(ParagonAbilities3Scenario3[[#This Row],[takes]]&gt;0,ParagonAbilities3Scenario3[[#This Row],[wins]]/ParagonAbilities3Scenario3[[#This Row],[takes]],0)</f>
        <v>0.5714285714285714</v>
      </c>
      <c r="U78" s="18"/>
    </row>
    <row r="79" spans="12:21" x14ac:dyDescent="0.25">
      <c r="L79" s="17"/>
      <c r="O79" s="3"/>
      <c r="P79" s="3"/>
      <c r="U79" s="18"/>
    </row>
    <row r="80" spans="12:21" x14ac:dyDescent="0.25">
      <c r="L80" s="19" t="s">
        <v>109</v>
      </c>
      <c r="M80" s="8" t="s">
        <v>110</v>
      </c>
      <c r="N80" s="8" t="s">
        <v>79</v>
      </c>
      <c r="O80" s="9" t="s">
        <v>117</v>
      </c>
      <c r="P80" s="9" t="s">
        <v>118</v>
      </c>
      <c r="U80" s="18"/>
    </row>
    <row r="81" spans="12:21" x14ac:dyDescent="0.25">
      <c r="L81" s="20" t="s">
        <v>98</v>
      </c>
      <c r="M81" s="2">
        <f>COUNTIF(Scenario3[winner1-ability4],ParagonAbilities4Scenario3[[#This Row],[ability]])+COUNTIF(Scenario3[loser1-ability4],ParagonAbilities4Scenario3[[#This Row],[ability]])+COUNTIF(Scenario3[loser2-ability4],ParagonAbilities4Scenario3[[#This Row],[ability]])</f>
        <v>4</v>
      </c>
      <c r="N81" s="2">
        <f>COUNTIF(Scenario3[winner1-ability4],ParagonAbilities4Scenario3[[#This Row],[ability]])</f>
        <v>3</v>
      </c>
      <c r="O81" s="12">
        <f>IF(SUM(ParagonAbilities4Scenario3[[#This Row],[takes]]) &gt; 0,ParagonAbilities4Scenario3[[#This Row],[takes]]/SUM(ParagonAbilities4Scenario3[takes]),0)</f>
        <v>0.2</v>
      </c>
      <c r="P81" s="12">
        <f>IF(ParagonAbilities4Scenario3[[#This Row],[takes]]&gt;0,ParagonAbilities4Scenario3[[#This Row],[wins]]/ParagonAbilities4Scenario3[[#This Row],[takes]],0)</f>
        <v>0.75</v>
      </c>
      <c r="U81" s="18"/>
    </row>
    <row r="82" spans="12:21" x14ac:dyDescent="0.25">
      <c r="L82" s="20" t="s">
        <v>115</v>
      </c>
      <c r="M82" s="2">
        <f>COUNTIF(Scenario3[winner1-ability4],ParagonAbilities4Scenario3[[#This Row],[ability]])+COUNTIF(Scenario3[loser1-ability4],ParagonAbilities4Scenario3[[#This Row],[ability]])+COUNTIF(Scenario3[loser2-ability4],ParagonAbilities4Scenario3[[#This Row],[ability]])</f>
        <v>16</v>
      </c>
      <c r="N82" s="2">
        <f>COUNTIF(Scenario3[winner1-ability4],ParagonAbilities4Scenario3[[#This Row],[ability]])</f>
        <v>11</v>
      </c>
      <c r="O82" s="12">
        <f>IF(SUM(ParagonAbilities4Scenario3[[#This Row],[takes]]) &gt; 0,ParagonAbilities4Scenario3[[#This Row],[takes]]/SUM(ParagonAbilities4Scenario3[takes]),0)</f>
        <v>0.8</v>
      </c>
      <c r="P82" s="12">
        <f>IF(ParagonAbilities4Scenario3[[#This Row],[takes]]&gt;0,ParagonAbilities4Scenario3[[#This Row],[wins]]/ParagonAbilities4Scenario3[[#This Row],[takes]],0)</f>
        <v>0.6875</v>
      </c>
      <c r="U82" s="18"/>
    </row>
    <row r="83" spans="12:21" ht="15.75" thickBot="1" x14ac:dyDescent="0.3">
      <c r="L83" s="24" t="s">
        <v>116</v>
      </c>
      <c r="M83" s="2">
        <f>COUNTIF(Scenario3[winner1-ability4],ParagonAbilities4Scenario3[[#This Row],[ability]])+COUNTIF(Scenario3[loser1-ability4],ParagonAbilities4Scenario3[[#This Row],[ability]])+COUNTIF(Scenario3[loser2-ability4],ParagonAbilities4Scenario3[[#This Row],[ability]])</f>
        <v>0</v>
      </c>
      <c r="N83" s="2">
        <f>COUNTIF(Scenario3[winner1-ability4],ParagonAbilities4Scenario3[[#This Row],[ability]])</f>
        <v>0</v>
      </c>
      <c r="O83" s="26">
        <f>IF(SUM(ParagonAbilities4Scenario3[[#This Row],[takes]]) &gt; 0,ParagonAbilities4Scenario3[[#This Row],[takes]]/SUM(ParagonAbilities4Scenario3[takes]),0)</f>
        <v>0</v>
      </c>
      <c r="P83" s="26">
        <f>IF(ParagonAbilities4Scenario3[[#This Row],[takes]]&gt;0,ParagonAbilities4Scenario3[[#This Row],[wins]]/ParagonAbilities4Scenario3[[#This Row],[takes]],0)</f>
        <v>0</v>
      </c>
      <c r="Q83" s="27"/>
      <c r="R83" s="27"/>
      <c r="S83" s="27"/>
      <c r="T83" s="27"/>
      <c r="U83" s="28"/>
    </row>
    <row r="84" spans="12:21" ht="15.75" thickBot="1" x14ac:dyDescent="0.3"/>
    <row r="85" spans="12:21" ht="15.75" thickBot="1" x14ac:dyDescent="0.3">
      <c r="L85" s="36" t="s">
        <v>219</v>
      </c>
      <c r="M85" s="37"/>
      <c r="N85" s="37"/>
      <c r="O85" s="37"/>
      <c r="P85" s="37"/>
      <c r="Q85" s="37"/>
      <c r="R85" s="37"/>
      <c r="S85" s="37"/>
      <c r="T85" s="37"/>
      <c r="U85" s="38"/>
    </row>
    <row r="86" spans="12:21" x14ac:dyDescent="0.25">
      <c r="L86" s="17" t="s">
        <v>109</v>
      </c>
      <c r="M86" t="s">
        <v>110</v>
      </c>
      <c r="N86" t="s">
        <v>79</v>
      </c>
      <c r="O86" s="3" t="s">
        <v>117</v>
      </c>
      <c r="P86" s="3" t="s">
        <v>118</v>
      </c>
      <c r="R86" t="s">
        <v>161</v>
      </c>
      <c r="S86" t="s">
        <v>162</v>
      </c>
      <c r="T86" t="s">
        <v>163</v>
      </c>
      <c r="U86" s="18" t="s">
        <v>164</v>
      </c>
    </row>
    <row r="87" spans="12:21" x14ac:dyDescent="0.25">
      <c r="L87" s="17" t="s">
        <v>54</v>
      </c>
      <c r="M87">
        <f>COUNTIF(Scenario4[winner1-ability1],ParagonAbilities1Scenario4[[#This Row],[ability]])+COUNTIF(Scenario4[loser1-ability1],ParagonAbilities1Scenario4[[#This Row],[ability]])+COUNTIF(Scenario4[loser2-ability1],ParagonAbilities1Scenario4[[#This Row],[ability]])+COUNTIF(Scenario4[loser3-ability1],ParagonAbilities1Scenario4[[#This Row],[ability]])</f>
        <v>0</v>
      </c>
      <c r="N87">
        <f>COUNTIF(Scenario4[winner1-ability1],ParagonAbilities1Scenario4[[#This Row],[ability]])</f>
        <v>0</v>
      </c>
      <c r="O87" s="3">
        <f>IF(SUM(ParagonAbilities1Scenario4[[#This Row],[takes]]) &gt; 0,ParagonAbilities1Scenario4[[#This Row],[takes]]/SUM(ParagonAbilities1Scenario4[takes]),0)</f>
        <v>0</v>
      </c>
      <c r="P87" s="3">
        <f>IF(ParagonAbilities1Scenario4[[#This Row],[takes]]&gt;0,ParagonAbilities1Scenario4[[#This Row],[wins]]/ParagonAbilities1Scenario4[[#This Row],[takes]],0)</f>
        <v>0</v>
      </c>
      <c r="R87">
        <v>1</v>
      </c>
      <c r="S87">
        <f>COUNTIFS(Scenario4[winner1],"paragon",Scenario4[winner1-pw],ParagonEquipScenario4[[#This Row],[level]])+COUNTIFS(Scenario4[loser1],"paragon",Scenario4[loser1-pw],ParagonEquipScenario4[[#This Row],[level]])+COUNTIFS(Scenario4[loser2],"paragon",Scenario4[loser2-pw],ParagonEquipScenario4[[#This Row],[level]])+COUNTIFS(Scenario4[loser3],"paragon",Scenario4[loser3-pw],ParagonEquipScenario4[[#This Row],[level]])</f>
        <v>16</v>
      </c>
      <c r="T87">
        <f>COUNTIFS(Scenario4[winner1],"paragon",Scenario4[winner1-sw],ParagonEquipScenario4[[#This Row],[level]])+COUNTIFS(Scenario4[loser1],"paragon",Scenario4[loser1-sw],ParagonEquipScenario4[[#This Row],[level]])+COUNTIFS(Scenario4[loser2],"paragon",Scenario4[loser2-sw],ParagonEquipScenario4[[#This Row],[level]])+COUNTIFS(Scenario4[loser3],"paragon",Scenario4[loser3-sw],ParagonEquipScenario4[[#This Row],[level]])</f>
        <v>0</v>
      </c>
      <c r="U87" s="18">
        <f>COUNTIFS(Scenario4[winner1],"paragon",Scenario4[winner1-cp],ParagonEquipScenario4[[#This Row],[level]])+COUNTIFS(Scenario4[loser1],"paragon",Scenario4[loser1-cp],ParagonEquipScenario4[[#This Row],[level]])+COUNTIFS(Scenario4[loser2],"paragon",Scenario4[loser2-cp],ParagonEquipScenario4[[#This Row],[level]])+COUNTIFS(Scenario4[loser3],"paragon",Scenario4[loser3-cp],ParagonEquipScenario4[[#This Row],[level]])</f>
        <v>2</v>
      </c>
    </row>
    <row r="88" spans="12:21" x14ac:dyDescent="0.25">
      <c r="L88" s="17" t="s">
        <v>111</v>
      </c>
      <c r="M88">
        <f>COUNTIF(Scenario4[winner1-ability1],ParagonAbilities1Scenario4[[#This Row],[ability]])+COUNTIF(Scenario4[loser1-ability1],ParagonAbilities1Scenario4[[#This Row],[ability]])+COUNTIF(Scenario4[loser2-ability1],ParagonAbilities1Scenario4[[#This Row],[ability]])+COUNTIF(Scenario4[loser3-ability1],ParagonAbilities1Scenario4[[#This Row],[ability]])</f>
        <v>0</v>
      </c>
      <c r="N88">
        <f>COUNTIF(Scenario4[winner1-ability1],ParagonAbilities1Scenario4[[#This Row],[ability]])</f>
        <v>0</v>
      </c>
      <c r="O88" s="3">
        <f>IF(SUM(ParagonAbilities1Scenario4[[#This Row],[takes]]) &gt; 0,ParagonAbilities1Scenario4[[#This Row],[takes]]/SUM(ParagonAbilities1Scenario4[takes]),0)</f>
        <v>0</v>
      </c>
      <c r="P88" s="3">
        <f>IF(ParagonAbilities1Scenario4[[#This Row],[takes]]&gt;0,ParagonAbilities1Scenario4[[#This Row],[wins]]/ParagonAbilities1Scenario4[[#This Row],[takes]],0)</f>
        <v>0</v>
      </c>
      <c r="R88">
        <v>2</v>
      </c>
      <c r="S88">
        <f>COUNTIFS(Scenario4[winner1],"paragon",Scenario4[winner1-pw],ParagonEquipScenario4[[#This Row],[level]])+COUNTIFS(Scenario4[loser1],"paragon",Scenario4[loser1-pw],ParagonEquipScenario4[[#This Row],[level]])+COUNTIFS(Scenario4[loser2],"paragon",Scenario4[loser2-pw],ParagonEquipScenario4[[#This Row],[level]])+COUNTIFS(Scenario4[loser3],"paragon",Scenario4[loser3-pw],ParagonEquipScenario4[[#This Row],[level]])</f>
        <v>4</v>
      </c>
      <c r="T88">
        <f>COUNTIFS(Scenario4[winner1],"paragon",Scenario4[winner1-sw],ParagonEquipScenario4[[#This Row],[level]])+COUNTIFS(Scenario4[loser1],"paragon",Scenario4[loser1-sw],ParagonEquipScenario4[[#This Row],[level]])+COUNTIFS(Scenario4[loser2],"paragon",Scenario4[loser2-sw],ParagonEquipScenario4[[#This Row],[level]])+COUNTIFS(Scenario4[loser3],"paragon",Scenario4[loser3-sw],ParagonEquipScenario4[[#This Row],[level]])</f>
        <v>0</v>
      </c>
      <c r="U88" s="18">
        <f>COUNTIFS(Scenario4[winner1],"paragon",Scenario4[winner1-cp],ParagonEquipScenario4[[#This Row],[level]])+COUNTIFS(Scenario4[loser1],"paragon",Scenario4[loser1-cp],ParagonEquipScenario4[[#This Row],[level]])+COUNTIFS(Scenario4[loser2],"paragon",Scenario4[loser2-cp],ParagonEquipScenario4[[#This Row],[level]])+COUNTIFS(Scenario4[loser3],"paragon",Scenario4[loser3-cp],ParagonEquipScenario4[[#This Row],[level]])</f>
        <v>2</v>
      </c>
    </row>
    <row r="89" spans="12:21" x14ac:dyDescent="0.25">
      <c r="L89" s="17" t="s">
        <v>112</v>
      </c>
      <c r="M89">
        <f>COUNTIF(Scenario4[winner1-ability1],ParagonAbilities1Scenario4[[#This Row],[ability]])+COUNTIF(Scenario4[loser1-ability1],ParagonAbilities1Scenario4[[#This Row],[ability]])+COUNTIF(Scenario4[loser2-ability1],ParagonAbilities1Scenario4[[#This Row],[ability]])+COUNTIF(Scenario4[loser3-ability1],ParagonAbilities1Scenario4[[#This Row],[ability]])</f>
        <v>56</v>
      </c>
      <c r="N89">
        <f>COUNTIF(Scenario4[winner1-ability1],ParagonAbilities1Scenario4[[#This Row],[ability]])</f>
        <v>13</v>
      </c>
      <c r="O89" s="3">
        <f>IF(SUM(ParagonAbilities1Scenario4[[#This Row],[takes]]) &gt; 0,ParagonAbilities1Scenario4[[#This Row],[takes]]/SUM(ParagonAbilities1Scenario4[takes]),0)</f>
        <v>1</v>
      </c>
      <c r="P89" s="3">
        <f>IF(ParagonAbilities1Scenario4[[#This Row],[takes]]&gt;0,ParagonAbilities1Scenario4[[#This Row],[wins]]/ParagonAbilities1Scenario4[[#This Row],[takes]],0)</f>
        <v>0.23214285714285715</v>
      </c>
      <c r="R89">
        <v>3</v>
      </c>
      <c r="S89">
        <f>COUNTIFS(Scenario4[winner1],"paragon",Scenario4[winner1-pw],ParagonEquipScenario4[[#This Row],[level]])+COUNTIFS(Scenario4[loser1],"paragon",Scenario4[loser1-pw],ParagonEquipScenario4[[#This Row],[level]])+COUNTIFS(Scenario4[loser2],"paragon",Scenario4[loser2-pw],ParagonEquipScenario4[[#This Row],[level]])+COUNTIFS(Scenario4[loser3],"paragon",Scenario4[loser3-pw],ParagonEquipScenario4[[#This Row],[level]])</f>
        <v>36</v>
      </c>
      <c r="T89">
        <f>COUNTIFS(Scenario4[winner1],"paragon",Scenario4[winner1-sw],ParagonEquipScenario4[[#This Row],[level]])+COUNTIFS(Scenario4[loser1],"paragon",Scenario4[loser1-sw],ParagonEquipScenario4[[#This Row],[level]])+COUNTIFS(Scenario4[loser2],"paragon",Scenario4[loser2-sw],ParagonEquipScenario4[[#This Row],[level]])+COUNTIFS(Scenario4[loser3],"paragon",Scenario4[loser3-sw],ParagonEquipScenario4[[#This Row],[level]])</f>
        <v>56</v>
      </c>
      <c r="U89" s="18">
        <f>COUNTIFS(Scenario4[winner1],"paragon",Scenario4[winner1-cp],ParagonEquipScenario4[[#This Row],[level]])+COUNTIFS(Scenario4[loser1],"paragon",Scenario4[loser1-cp],ParagonEquipScenario4[[#This Row],[level]])+COUNTIFS(Scenario4[loser2],"paragon",Scenario4[loser2-cp],ParagonEquipScenario4[[#This Row],[level]])+COUNTIFS(Scenario4[loser3],"paragon",Scenario4[loser3-cp],ParagonEquipScenario4[[#This Row],[level]])</f>
        <v>52</v>
      </c>
    </row>
    <row r="90" spans="12:21" x14ac:dyDescent="0.25">
      <c r="L90" s="17"/>
      <c r="O90" s="3"/>
      <c r="P90" s="3"/>
      <c r="U90" s="18"/>
    </row>
    <row r="91" spans="12:21" x14ac:dyDescent="0.25">
      <c r="L91" s="19" t="s">
        <v>109</v>
      </c>
      <c r="M91" s="8" t="s">
        <v>110</v>
      </c>
      <c r="N91" s="8" t="s">
        <v>79</v>
      </c>
      <c r="O91" s="9" t="s">
        <v>117</v>
      </c>
      <c r="P91" s="9" t="s">
        <v>118</v>
      </c>
      <c r="U91" s="18"/>
    </row>
    <row r="92" spans="12:21" x14ac:dyDescent="0.25">
      <c r="L92" s="20" t="s">
        <v>55</v>
      </c>
      <c r="M92" s="2">
        <f>COUNTIF(Scenario4[winner1-ability2],ParagonAbilities2Scenario4[[#This Row],[ability]])+COUNTIF(Scenario4[loser1-ability2],ParagonAbilities2Scenario4[[#This Row],[ability]])+COUNTIF(Scenario4[loser2-ability2],ParagonAbilities2Scenario4[[#This Row],[ability]])+COUNTIF(Scenario4[loser3-ability2],ParagonAbilities2Scenario4[[#This Row],[ability]])</f>
        <v>8</v>
      </c>
      <c r="N92" s="2">
        <f>COUNTIF(Scenario4[winner1-ability2],ParagonAbilities2Scenario4[[#This Row],[ability]])</f>
        <v>2</v>
      </c>
      <c r="O92" s="12">
        <f>IF(SUM(ParagonAbilities2Scenario4[[#This Row],[takes]]) &gt; 0,ParagonAbilities2Scenario4[[#This Row],[takes]]/SUM(ParagonAbilities2Scenario4[takes]),0)</f>
        <v>0.15686274509803921</v>
      </c>
      <c r="P92" s="12">
        <f>IF(ParagonAbilities2Scenario4[[#This Row],[takes]]&gt;0,ParagonAbilities2Scenario4[[#This Row],[wins]]/ParagonAbilities2Scenario4[[#This Row],[takes]],0)</f>
        <v>0.25</v>
      </c>
      <c r="U92" s="18"/>
    </row>
    <row r="93" spans="12:21" x14ac:dyDescent="0.25">
      <c r="L93" s="17" t="s">
        <v>83</v>
      </c>
      <c r="M93" s="2">
        <f>COUNTIF(Scenario4[winner1-ability2],ParagonAbilities2Scenario4[[#This Row],[ability]])+COUNTIF(Scenario4[loser1-ability2],ParagonAbilities2Scenario4[[#This Row],[ability]])+COUNTIF(Scenario4[loser2-ability2],ParagonAbilities2Scenario4[[#This Row],[ability]])+COUNTIF(Scenario4[loser3-ability2],ParagonAbilities2Scenario4[[#This Row],[ability]])</f>
        <v>43</v>
      </c>
      <c r="N93" s="2">
        <f>COUNTIF(Scenario4[winner1-ability2],ParagonAbilities2Scenario4[[#This Row],[ability]])</f>
        <v>11</v>
      </c>
      <c r="O93" s="3">
        <f>IF(SUM(ParagonAbilities2Scenario4[[#This Row],[takes]]) &gt; 0,ParagonAbilities2Scenario4[[#This Row],[takes]]/SUM(ParagonAbilities2Scenario4[takes]),0)</f>
        <v>0.84313725490196079</v>
      </c>
      <c r="P93" s="3">
        <f>IF(ParagonAbilities2Scenario4[[#This Row],[takes]]&gt;0,ParagonAbilities2Scenario4[[#This Row],[wins]]/ParagonAbilities2Scenario4[[#This Row],[takes]],0)</f>
        <v>0.2558139534883721</v>
      </c>
      <c r="U93" s="18"/>
    </row>
    <row r="94" spans="12:21" x14ac:dyDescent="0.25">
      <c r="L94" s="21" t="s">
        <v>113</v>
      </c>
      <c r="M94" s="2">
        <f>COUNTIF(Scenario4[winner1-ability2],ParagonAbilities2Scenario4[[#This Row],[ability]])+COUNTIF(Scenario4[loser1-ability2],ParagonAbilities2Scenario4[[#This Row],[ability]])+COUNTIF(Scenario4[loser2-ability2],ParagonAbilities2Scenario4[[#This Row],[ability]])+COUNTIF(Scenario4[loser3-ability2],ParagonAbilities2Scenario4[[#This Row],[ability]])</f>
        <v>0</v>
      </c>
      <c r="N94" s="2">
        <f>COUNTIF(Scenario4[winner1-ability2],ParagonAbilities2Scenario4[[#This Row],[ability]])</f>
        <v>0</v>
      </c>
      <c r="O94" s="13">
        <f>IF(SUM(ParagonAbilities2Scenario4[[#This Row],[takes]]) &gt; 0,ParagonAbilities2Scenario4[[#This Row],[takes]]/SUM(ParagonAbilities2Scenario4[takes]),0)</f>
        <v>0</v>
      </c>
      <c r="P94" s="13">
        <f>IF(ParagonAbilities2Scenario4[[#This Row],[takes]]&gt;0,ParagonAbilities2Scenario4[[#This Row],[wins]]/ParagonAbilities2Scenario4[[#This Row],[takes]],0)</f>
        <v>0</v>
      </c>
      <c r="U94" s="18"/>
    </row>
    <row r="95" spans="12:21" x14ac:dyDescent="0.25">
      <c r="L95" s="17"/>
      <c r="O95" s="3"/>
      <c r="P95" s="3"/>
      <c r="U95" s="18"/>
    </row>
    <row r="96" spans="12:21" x14ac:dyDescent="0.25">
      <c r="L96" s="19" t="s">
        <v>109</v>
      </c>
      <c r="M96" s="8" t="s">
        <v>110</v>
      </c>
      <c r="N96" s="8" t="s">
        <v>79</v>
      </c>
      <c r="O96" s="9" t="s">
        <v>117</v>
      </c>
      <c r="P96" s="9" t="s">
        <v>118</v>
      </c>
      <c r="U96" s="18"/>
    </row>
    <row r="97" spans="12:21" x14ac:dyDescent="0.25">
      <c r="L97" s="22" t="s">
        <v>114</v>
      </c>
      <c r="M97" s="1">
        <f>COUNTIF(Scenario4[winner1-ability3],ParagonAbilities3Scenario4[[#This Row],[ability]])+COUNTIF(Scenario4[loser1-ability3],ParagonAbilities3Scenario4[[#This Row],[ability]])+COUNTIF(Scenario4[loser2-ability3],ParagonAbilities3Scenario4[[#This Row],[ability]])+COUNTIF(Scenario4[loser3-ability3],ParagonAbilities3Scenario4[[#This Row],[ability]])</f>
        <v>0</v>
      </c>
      <c r="N97" s="1">
        <f>COUNTIF(Scenario4[winner1-ability3],ParagonAbilities3Scenario4[[#This Row],[ability]])</f>
        <v>0</v>
      </c>
      <c r="O97" s="14">
        <f>IF(SUM(ParagonAbilities3Scenario4[[#This Row],[takes]]) &gt; 0,ParagonAbilities3Scenario4[[#This Row],[takes]]/SUM(ParagonAbilities3Scenario4[takes]),0)</f>
        <v>0</v>
      </c>
      <c r="P97" s="14">
        <f>IF(ParagonAbilities3Scenario4[[#This Row],[takes]]&gt;0,ParagonAbilities3Scenario4[[#This Row],[wins]]/ParagonAbilities3Scenario4[[#This Row],[takes]],0)</f>
        <v>0</v>
      </c>
      <c r="U97" s="18"/>
    </row>
    <row r="98" spans="12:21" x14ac:dyDescent="0.25">
      <c r="L98" s="20" t="s">
        <v>105</v>
      </c>
      <c r="M98" s="2">
        <f>COUNTIF(Scenario4[winner1-ability3],ParagonAbilities3Scenario4[[#This Row],[ability]])+COUNTIF(Scenario4[loser1-ability3],ParagonAbilities3Scenario4[[#This Row],[ability]])+COUNTIF(Scenario4[loser2-ability3],ParagonAbilities3Scenario4[[#This Row],[ability]])+COUNTIF(Scenario4[loser3-ability3],ParagonAbilities3Scenario4[[#This Row],[ability]])</f>
        <v>1</v>
      </c>
      <c r="N98" s="2">
        <f>COUNTIF(Scenario4[winner1-ability3],ParagonAbilities3Scenario4[[#This Row],[ability]])</f>
        <v>1</v>
      </c>
      <c r="O98" s="12">
        <f>IF(SUM(ParagonAbilities3Scenario4[[#This Row],[takes]]) &gt; 0,ParagonAbilities3Scenario4[[#This Row],[takes]]/SUM(ParagonAbilities3Scenario4[takes]),0)</f>
        <v>2.2222222222222223E-2</v>
      </c>
      <c r="P98" s="12">
        <f>IF(ParagonAbilities3Scenario4[[#This Row],[takes]]&gt;0,ParagonAbilities3Scenario4[[#This Row],[wins]]/ParagonAbilities3Scenario4[[#This Row],[takes]],0)</f>
        <v>1</v>
      </c>
      <c r="U98" s="18"/>
    </row>
    <row r="99" spans="12:21" x14ac:dyDescent="0.25">
      <c r="L99" s="23" t="s">
        <v>97</v>
      </c>
      <c r="M99" s="1">
        <f>COUNTIF(Scenario4[winner1-ability3],ParagonAbilities3Scenario4[[#This Row],[ability]])+COUNTIF(Scenario4[loser1-ability3],ParagonAbilities3Scenario4[[#This Row],[ability]])+COUNTIF(Scenario4[loser2-ability3],ParagonAbilities3Scenario4[[#This Row],[ability]])+COUNTIF(Scenario4[loser3-ability3],ParagonAbilities3Scenario4[[#This Row],[ability]])</f>
        <v>44</v>
      </c>
      <c r="N99" s="1">
        <f>COUNTIF(Scenario4[winner1-ability3],ParagonAbilities3Scenario4[[#This Row],[ability]])</f>
        <v>12</v>
      </c>
      <c r="O99" s="15">
        <f>IF(SUM(ParagonAbilities3Scenario4[[#This Row],[takes]]) &gt; 0,ParagonAbilities3Scenario4[[#This Row],[takes]]/SUM(ParagonAbilities3Scenario4[takes]),0)</f>
        <v>0.97777777777777775</v>
      </c>
      <c r="P99" s="15">
        <f>IF(ParagonAbilities3Scenario4[[#This Row],[takes]]&gt;0,ParagonAbilities3Scenario4[[#This Row],[wins]]/ParagonAbilities3Scenario4[[#This Row],[takes]],0)</f>
        <v>0.27272727272727271</v>
      </c>
      <c r="U99" s="18"/>
    </row>
    <row r="100" spans="12:21" x14ac:dyDescent="0.25">
      <c r="L100" s="17"/>
      <c r="O100" s="3"/>
      <c r="P100" s="3"/>
      <c r="U100" s="18"/>
    </row>
    <row r="101" spans="12:21" x14ac:dyDescent="0.25">
      <c r="L101" s="19" t="s">
        <v>109</v>
      </c>
      <c r="M101" s="8" t="s">
        <v>110</v>
      </c>
      <c r="N101" s="8" t="s">
        <v>79</v>
      </c>
      <c r="O101" s="9" t="s">
        <v>117</v>
      </c>
      <c r="P101" s="9" t="s">
        <v>118</v>
      </c>
      <c r="U101" s="18"/>
    </row>
    <row r="102" spans="12:21" x14ac:dyDescent="0.25">
      <c r="L102" s="20" t="s">
        <v>98</v>
      </c>
      <c r="M102" s="2">
        <f>COUNTIF(Scenario4[winner1-ability4],ParagonAbilities4Scenario4[[#This Row],[ability]])+COUNTIF(Scenario4[loser1-ability4],ParagonAbilities4Scenario4[[#This Row],[ability]])+COUNTIF(Scenario4[loser2-ability4],ParagonAbilities4Scenario4[[#This Row],[ability]])+COUNTIF(Scenario4[loser3-ability4],ParagonAbilities4Scenario4[[#This Row],[ability]])</f>
        <v>11</v>
      </c>
      <c r="N102" s="2">
        <f>COUNTIF(Scenario4[winner1-ability4],ParagonAbilities4Scenario4[[#This Row],[ability]])</f>
        <v>2</v>
      </c>
      <c r="O102" s="12">
        <f>IF(SUM(ParagonAbilities4Scenario4[[#This Row],[takes]]) &gt; 0,ParagonAbilities4Scenario4[[#This Row],[takes]]/SUM(ParagonAbilities4Scenario4[takes]),0)</f>
        <v>0.28947368421052633</v>
      </c>
      <c r="P102" s="12">
        <f>IF(ParagonAbilities4Scenario4[[#This Row],[takes]]&gt;0,ParagonAbilities4Scenario4[[#This Row],[wins]]/ParagonAbilities4Scenario4[[#This Row],[takes]],0)</f>
        <v>0.18181818181818182</v>
      </c>
      <c r="U102" s="18"/>
    </row>
    <row r="103" spans="12:21" x14ac:dyDescent="0.25">
      <c r="L103" s="20" t="s">
        <v>115</v>
      </c>
      <c r="M103" s="2">
        <f>COUNTIF(Scenario4[winner1-ability4],ParagonAbilities4Scenario4[[#This Row],[ability]])+COUNTIF(Scenario4[loser1-ability4],ParagonAbilities4Scenario4[[#This Row],[ability]])+COUNTIF(Scenario4[loser2-ability4],ParagonAbilities4Scenario4[[#This Row],[ability]])+COUNTIF(Scenario4[loser3-ability4],ParagonAbilities4Scenario4[[#This Row],[ability]])</f>
        <v>27</v>
      </c>
      <c r="N103" s="2">
        <f>COUNTIF(Scenario4[winner1-ability4],ParagonAbilities4Scenario4[[#This Row],[ability]])</f>
        <v>11</v>
      </c>
      <c r="O103" s="12">
        <f>IF(SUM(ParagonAbilities4Scenario4[[#This Row],[takes]]) &gt; 0,ParagonAbilities4Scenario4[[#This Row],[takes]]/SUM(ParagonAbilities4Scenario4[takes]),0)</f>
        <v>0.71052631578947367</v>
      </c>
      <c r="P103" s="12">
        <f>IF(ParagonAbilities4Scenario4[[#This Row],[takes]]&gt;0,ParagonAbilities4Scenario4[[#This Row],[wins]]/ParagonAbilities4Scenario4[[#This Row],[takes]],0)</f>
        <v>0.40740740740740738</v>
      </c>
      <c r="U103" s="18"/>
    </row>
    <row r="104" spans="12:21" ht="15.75" thickBot="1" x14ac:dyDescent="0.3">
      <c r="L104" s="24" t="s">
        <v>116</v>
      </c>
      <c r="M104" s="2">
        <f>COUNTIF(Scenario4[winner1-ability4],ParagonAbilities4Scenario4[[#This Row],[ability]])+COUNTIF(Scenario4[loser1-ability4],ParagonAbilities4Scenario4[[#This Row],[ability]])+COUNTIF(Scenario4[loser2-ability4],ParagonAbilities4Scenario4[[#This Row],[ability]])+COUNTIF(Scenario4[loser3-ability4],ParagonAbilities4Scenario4[[#This Row],[ability]])</f>
        <v>0</v>
      </c>
      <c r="N104" s="2">
        <f>COUNTIF(Scenario4[winner1-ability4],ParagonAbilities4Scenario4[[#This Row],[ability]])</f>
        <v>0</v>
      </c>
      <c r="O104" s="26">
        <f>IF(SUM(ParagonAbilities4Scenario4[[#This Row],[takes]]) &gt; 0,ParagonAbilities4Scenario4[[#This Row],[takes]]/SUM(ParagonAbilities4Scenario4[takes]),0)</f>
        <v>0</v>
      </c>
      <c r="P104" s="26">
        <f>IF(ParagonAbilities4Scenario4[[#This Row],[takes]]&gt;0,ParagonAbilities4Scenario4[[#This Row],[wins]]/ParagonAbilities4Scenario4[[#This Row],[takes]],0)</f>
        <v>0</v>
      </c>
      <c r="Q104" s="27"/>
      <c r="R104" s="27"/>
      <c r="S104" s="27"/>
      <c r="T104" s="27"/>
      <c r="U104" s="28"/>
    </row>
    <row r="105" spans="12:21" ht="15.75" thickBot="1" x14ac:dyDescent="0.3"/>
    <row r="106" spans="12:21" ht="15.75" thickBot="1" x14ac:dyDescent="0.3">
      <c r="L106" s="36" t="s">
        <v>220</v>
      </c>
      <c r="M106" s="37"/>
      <c r="N106" s="37"/>
      <c r="O106" s="37"/>
      <c r="P106" s="37"/>
      <c r="Q106" s="37"/>
      <c r="R106" s="37"/>
      <c r="S106" s="37"/>
      <c r="T106" s="37"/>
      <c r="U106" s="38"/>
    </row>
    <row r="107" spans="12:21" x14ac:dyDescent="0.25">
      <c r="L107" s="17" t="s">
        <v>109</v>
      </c>
      <c r="M107" t="s">
        <v>110</v>
      </c>
      <c r="N107" t="s">
        <v>79</v>
      </c>
      <c r="O107" s="3" t="s">
        <v>117</v>
      </c>
      <c r="P107" s="3" t="s">
        <v>118</v>
      </c>
      <c r="R107" t="s">
        <v>161</v>
      </c>
      <c r="S107" t="s">
        <v>162</v>
      </c>
      <c r="T107" t="s">
        <v>163</v>
      </c>
      <c r="U107" s="18" t="s">
        <v>164</v>
      </c>
    </row>
    <row r="108" spans="12:21" x14ac:dyDescent="0.25">
      <c r="L108" s="17" t="s">
        <v>54</v>
      </c>
      <c r="M108">
        <f>COUNTIF(Scenario5[winner1-ability1],ParagonAbilities1Scenario5[[#This Row],[ability]])+COUNTIF(Scenario5[winner2-ability1],ParagonAbilities1Scenario5[[#This Row],[ability]])+COUNTIF(Scenario5[loser1-ability1],ParagonAbilities1Scenario5[[#This Row],[ability]])+COUNTIF(Scenario5[loser2-ability1],ParagonAbilities1Scenario5[[#This Row],[ability]])</f>
        <v>1</v>
      </c>
      <c r="N108">
        <f>COUNTIF(Scenario5[winner1-ability1],ParagonAbilities1Scenario5[[#This Row],[ability]])+COUNTIF(Scenario5[winner2-ability1],ParagonAbilities1Scenario5[[#This Row],[ability]])</f>
        <v>1</v>
      </c>
      <c r="O108" s="3">
        <f>IF(SUM(ParagonAbilities1Scenario5[[#This Row],[takes]]) &gt; 0,ParagonAbilities1Scenario5[[#This Row],[takes]]/SUM(ParagonAbilities1Scenario5[takes]),0)</f>
        <v>5.9523809523809521E-3</v>
      </c>
      <c r="P108" s="3">
        <f>IF(ParagonAbilities1Scenario5[[#This Row],[takes]]&gt;0,ParagonAbilities1Scenario5[[#This Row],[wins]]/ParagonAbilities1Scenario5[[#This Row],[takes]],0)</f>
        <v>1</v>
      </c>
      <c r="R108">
        <v>1</v>
      </c>
      <c r="S108">
        <f>COUNTIFS(Scenario5[winner1],"paragon",Scenario5[winner1-pw],ParagonEquipScenario5[[#This Row],[level]])+COUNTIFS(Scenario5[winner2],"paragon",Scenario5[winner2-pw],ParagonEquipScenario5[[#This Row],[level]])+COUNTIFS(Scenario5[loser1],"paragon",Scenario5[loser1-pw],ParagonEquipScenario5[[#This Row],[level]])+COUNTIFS(Scenario5[loser2],"paragon",Scenario5[loser2-pw],ParagonEquipScenario5[[#This Row],[level]])</f>
        <v>47</v>
      </c>
      <c r="T108">
        <f>COUNTIFS(Scenario5[winner1],"paragon",Scenario5[winner1-sw],ParagonEquipScenario5[[#This Row],[level]])+COUNTIFS(Scenario5[winner2],"paragon",Scenario5[winner2-sw],ParagonEquipScenario5[[#This Row],[level]])+COUNTIFS(Scenario5[loser1],"paragon",Scenario5[loser1-sw],ParagonEquipScenario5[[#This Row],[level]])+COUNTIFS(Scenario5[loser2],"paragon",Scenario5[loser2-sw],ParagonEquipScenario5[[#This Row],[level]])</f>
        <v>53</v>
      </c>
      <c r="U108" s="18">
        <f>COUNTIFS(Scenario5[winner1],"paragon",Scenario5[winner1-cp],ParagonEquipScenario5[[#This Row],[level]])+COUNTIFS(Scenario5[winner2],"paragon",Scenario5[winner2-cp],ParagonEquipScenario5[[#This Row],[level]])+COUNTIFS(Scenario5[loser1],"paragon",Scenario5[loser1-cp],ParagonEquipScenario5[[#This Row],[level]])+COUNTIFS(Scenario5[loser2],"paragon",Scenario5[loser2-cp],ParagonEquipScenario5[[#This Row],[level]])</f>
        <v>28</v>
      </c>
    </row>
    <row r="109" spans="12:21" x14ac:dyDescent="0.25">
      <c r="L109" s="17" t="s">
        <v>111</v>
      </c>
      <c r="M109">
        <f>COUNTIF(Scenario5[winner1-ability1],ParagonAbilities1Scenario5[[#This Row],[ability]])+COUNTIF(Scenario5[winner2-ability1],ParagonAbilities1Scenario5[[#This Row],[ability]])+COUNTIF(Scenario5[loser1-ability1],ParagonAbilities1Scenario5[[#This Row],[ability]])+COUNTIF(Scenario5[loser2-ability1],ParagonAbilities1Scenario5[[#This Row],[ability]])</f>
        <v>35</v>
      </c>
      <c r="N109">
        <f>COUNTIF(Scenario5[winner1-ability1],ParagonAbilities1Scenario5[[#This Row],[ability]])+COUNTIF(Scenario5[winner2-ability1],ParagonAbilities1Scenario5[[#This Row],[ability]])</f>
        <v>26</v>
      </c>
      <c r="O109" s="3">
        <f>IF(SUM(ParagonAbilities1Scenario5[[#This Row],[takes]]) &gt; 0,ParagonAbilities1Scenario5[[#This Row],[takes]]/SUM(ParagonAbilities1Scenario5[takes]),0)</f>
        <v>0.20833333333333334</v>
      </c>
      <c r="P109" s="3">
        <f>IF(ParagonAbilities1Scenario5[[#This Row],[takes]]&gt;0,ParagonAbilities1Scenario5[[#This Row],[wins]]/ParagonAbilities1Scenario5[[#This Row],[takes]],0)</f>
        <v>0.74285714285714288</v>
      </c>
      <c r="R109">
        <v>2</v>
      </c>
      <c r="S109">
        <f>COUNTIFS(Scenario5[winner1],"paragon",Scenario5[winner1-pw],ParagonEquipScenario5[[#This Row],[level]])+COUNTIFS(Scenario5[winner2],"paragon",Scenario5[winner2-pw],ParagonEquipScenario5[[#This Row],[level]])+COUNTIFS(Scenario5[loser1],"paragon",Scenario5[loser1-pw],ParagonEquipScenario5[[#This Row],[level]])+COUNTIFS(Scenario5[loser2],"paragon",Scenario5[loser2-pw],ParagonEquipScenario5[[#This Row],[level]])</f>
        <v>29</v>
      </c>
      <c r="T109">
        <f>COUNTIFS(Scenario5[winner1],"paragon",Scenario5[winner1-sw],ParagonEquipScenario5[[#This Row],[level]])+COUNTIFS(Scenario5[winner2],"paragon",Scenario5[winner2-sw],ParagonEquipScenario5[[#This Row],[level]])+COUNTIFS(Scenario5[loser1],"paragon",Scenario5[loser1-sw],ParagonEquipScenario5[[#This Row],[level]])+COUNTIFS(Scenario5[loser2],"paragon",Scenario5[loser2-sw],ParagonEquipScenario5[[#This Row],[level]])</f>
        <v>21</v>
      </c>
      <c r="U109" s="18">
        <f>COUNTIFS(Scenario5[winner1],"paragon",Scenario5[winner1-cp],ParagonEquipScenario5[[#This Row],[level]])+COUNTIFS(Scenario5[winner2],"paragon",Scenario5[winner2-cp],ParagonEquipScenario5[[#This Row],[level]])+COUNTIFS(Scenario5[loser1],"paragon",Scenario5[loser1-cp],ParagonEquipScenario5[[#This Row],[level]])+COUNTIFS(Scenario5[loser2],"paragon",Scenario5[loser2-cp],ParagonEquipScenario5[[#This Row],[level]])</f>
        <v>40</v>
      </c>
    </row>
    <row r="110" spans="12:21" x14ac:dyDescent="0.25">
      <c r="L110" s="17" t="s">
        <v>112</v>
      </c>
      <c r="M110">
        <f>COUNTIF(Scenario5[winner1-ability1],ParagonAbilities1Scenario5[[#This Row],[ability]])+COUNTIF(Scenario5[winner2-ability1],ParagonAbilities1Scenario5[[#This Row],[ability]])+COUNTIF(Scenario5[loser1-ability1],ParagonAbilities1Scenario5[[#This Row],[ability]])+COUNTIF(Scenario5[loser2-ability1],ParagonAbilities1Scenario5[[#This Row],[ability]])</f>
        <v>132</v>
      </c>
      <c r="N110">
        <f>COUNTIF(Scenario5[winner1-ability1],ParagonAbilities1Scenario5[[#This Row],[ability]])+COUNTIF(Scenario5[winner2-ability1],ParagonAbilities1Scenario5[[#This Row],[ability]])</f>
        <v>83</v>
      </c>
      <c r="O110" s="3">
        <f>IF(SUM(ParagonAbilities1Scenario5[[#This Row],[takes]]) &gt; 0,ParagonAbilities1Scenario5[[#This Row],[takes]]/SUM(ParagonAbilities1Scenario5[takes]),0)</f>
        <v>0.7857142857142857</v>
      </c>
      <c r="P110" s="3">
        <f>IF(ParagonAbilities1Scenario5[[#This Row],[takes]]&gt;0,ParagonAbilities1Scenario5[[#This Row],[wins]]/ParagonAbilities1Scenario5[[#This Row],[takes]],0)</f>
        <v>0.62878787878787878</v>
      </c>
      <c r="R110">
        <v>3</v>
      </c>
      <c r="S110">
        <f>COUNTIFS(Scenario5[winner1],"paragon",Scenario5[winner1-pw],ParagonEquipScenario5[[#This Row],[level]])+COUNTIFS(Scenario5[winner2],"paragon",Scenario5[winner2-pw],ParagonEquipScenario5[[#This Row],[level]])+COUNTIFS(Scenario5[loser1],"paragon",Scenario5[loser1-pw],ParagonEquipScenario5[[#This Row],[level]])+COUNTIFS(Scenario5[loser2],"paragon",Scenario5[loser2-pw],ParagonEquipScenario5[[#This Row],[level]])</f>
        <v>92</v>
      </c>
      <c r="T110">
        <f>COUNTIFS(Scenario5[winner1],"paragon",Scenario5[winner1-sw],ParagonEquipScenario5[[#This Row],[level]])+COUNTIFS(Scenario5[winner2],"paragon",Scenario5[winner2-sw],ParagonEquipScenario5[[#This Row],[level]])+COUNTIFS(Scenario5[loser1],"paragon",Scenario5[loser1-sw],ParagonEquipScenario5[[#This Row],[level]])+COUNTIFS(Scenario5[loser2],"paragon",Scenario5[loser2-sw],ParagonEquipScenario5[[#This Row],[level]])</f>
        <v>94</v>
      </c>
      <c r="U110" s="18">
        <f>COUNTIFS(Scenario5[winner1],"paragon",Scenario5[winner1-cp],ParagonEquipScenario5[[#This Row],[level]])+COUNTIFS(Scenario5[winner2],"paragon",Scenario5[winner2-cp],ParagonEquipScenario5[[#This Row],[level]])+COUNTIFS(Scenario5[loser1],"paragon",Scenario5[loser1-cp],ParagonEquipScenario5[[#This Row],[level]])+COUNTIFS(Scenario5[loser2],"paragon",Scenario5[loser2-cp],ParagonEquipScenario5[[#This Row],[level]])</f>
        <v>100</v>
      </c>
    </row>
    <row r="111" spans="12:21" x14ac:dyDescent="0.25">
      <c r="L111" s="17"/>
      <c r="O111" s="3"/>
      <c r="P111" s="3"/>
      <c r="U111" s="18"/>
    </row>
    <row r="112" spans="12:21" x14ac:dyDescent="0.25">
      <c r="L112" s="19" t="s">
        <v>109</v>
      </c>
      <c r="M112" s="8" t="s">
        <v>110</v>
      </c>
      <c r="N112" s="8" t="s">
        <v>79</v>
      </c>
      <c r="O112" s="9" t="s">
        <v>117</v>
      </c>
      <c r="P112" s="9" t="s">
        <v>118</v>
      </c>
      <c r="U112" s="18"/>
    </row>
    <row r="113" spans="12:21" x14ac:dyDescent="0.25">
      <c r="L113" s="20" t="s">
        <v>55</v>
      </c>
      <c r="M113" s="2">
        <f>COUNTIF(Scenario5[winner1-ability2],ParagonAbilities2Scenario5[[#This Row],[ability]])+COUNTIF(Scenario5[winner2-ability2],ParagonAbilities2Scenario5[[#This Row],[ability]])+COUNTIF(Scenario5[loser1-ability2],ParagonAbilities2Scenario5[[#This Row],[ability]])+COUNTIF(Scenario5[loser2-ability2],ParagonAbilities2Scenario5[[#This Row],[ability]])</f>
        <v>26</v>
      </c>
      <c r="N113" s="2">
        <f>COUNTIF(Scenario5[winner1-ability2],ParagonAbilities2Scenario5[[#This Row],[ability]])+COUNTIF(Scenario5[winner2-ability2],ParagonAbilities2Scenario5[[#This Row],[ability]])</f>
        <v>19</v>
      </c>
      <c r="O113" s="12">
        <f>IF(SUM(ParagonAbilities2Scenario5[[#This Row],[takes]]) &gt; 0,ParagonAbilities2Scenario5[[#This Row],[takes]]/SUM(ParagonAbilities2Scenario5[takes]),0)</f>
        <v>0.17105263157894737</v>
      </c>
      <c r="P113" s="12">
        <f>IF(ParagonAbilities2Scenario5[[#This Row],[takes]]&gt;0,ParagonAbilities2Scenario5[[#This Row],[wins]]/ParagonAbilities2Scenario5[[#This Row],[takes]],0)</f>
        <v>0.73076923076923073</v>
      </c>
      <c r="U113" s="18"/>
    </row>
    <row r="114" spans="12:21" x14ac:dyDescent="0.25">
      <c r="L114" s="17" t="s">
        <v>83</v>
      </c>
      <c r="M114" s="2">
        <f>COUNTIF(Scenario5[winner1-ability2],ParagonAbilities2Scenario5[[#This Row],[ability]])+COUNTIF(Scenario5[winner2-ability2],ParagonAbilities2Scenario5[[#This Row],[ability]])+COUNTIF(Scenario5[loser1-ability2],ParagonAbilities2Scenario5[[#This Row],[ability]])+COUNTIF(Scenario5[loser2-ability2],ParagonAbilities2Scenario5[[#This Row],[ability]])</f>
        <v>82</v>
      </c>
      <c r="N114" s="2">
        <f>COUNTIF(Scenario5[winner1-ability2],ParagonAbilities2Scenario5[[#This Row],[ability]])+COUNTIF(Scenario5[winner2-ability2],ParagonAbilities2Scenario5[[#This Row],[ability]])</f>
        <v>49</v>
      </c>
      <c r="O114" s="3">
        <f>IF(SUM(ParagonAbilities2Scenario5[[#This Row],[takes]]) &gt; 0,ParagonAbilities2Scenario5[[#This Row],[takes]]/SUM(ParagonAbilities2Scenario5[takes]),0)</f>
        <v>0.53947368421052633</v>
      </c>
      <c r="P114" s="3">
        <f>IF(ParagonAbilities2Scenario5[[#This Row],[takes]]&gt;0,ParagonAbilities2Scenario5[[#This Row],[wins]]/ParagonAbilities2Scenario5[[#This Row],[takes]],0)</f>
        <v>0.59756097560975607</v>
      </c>
      <c r="U114" s="18"/>
    </row>
    <row r="115" spans="12:21" x14ac:dyDescent="0.25">
      <c r="L115" s="21" t="s">
        <v>113</v>
      </c>
      <c r="M115" s="2">
        <f>COUNTIF(Scenario5[winner1-ability2],ParagonAbilities2Scenario5[[#This Row],[ability]])+COUNTIF(Scenario5[winner2-ability2],ParagonAbilities2Scenario5[[#This Row],[ability]])+COUNTIF(Scenario5[loser1-ability2],ParagonAbilities2Scenario5[[#This Row],[ability]])+COUNTIF(Scenario5[loser2-ability2],ParagonAbilities2Scenario5[[#This Row],[ability]])</f>
        <v>44</v>
      </c>
      <c r="N115" s="2">
        <f>COUNTIF(Scenario5[winner1-ability2],ParagonAbilities2Scenario5[[#This Row],[ability]])+COUNTIF(Scenario5[winner2-ability2],ParagonAbilities2Scenario5[[#This Row],[ability]])</f>
        <v>38</v>
      </c>
      <c r="O115" s="13">
        <f>IF(SUM(ParagonAbilities2Scenario5[[#This Row],[takes]]) &gt; 0,ParagonAbilities2Scenario5[[#This Row],[takes]]/SUM(ParagonAbilities2Scenario5[takes]),0)</f>
        <v>0.28947368421052633</v>
      </c>
      <c r="P115" s="13">
        <f>IF(ParagonAbilities2Scenario5[[#This Row],[takes]]&gt;0,ParagonAbilities2Scenario5[[#This Row],[wins]]/ParagonAbilities2Scenario5[[#This Row],[takes]],0)</f>
        <v>0.86363636363636365</v>
      </c>
      <c r="U115" s="18"/>
    </row>
    <row r="116" spans="12:21" x14ac:dyDescent="0.25">
      <c r="L116" s="17"/>
      <c r="O116" s="3"/>
      <c r="P116" s="3"/>
      <c r="U116" s="18"/>
    </row>
    <row r="117" spans="12:21" x14ac:dyDescent="0.25">
      <c r="L117" s="19" t="s">
        <v>109</v>
      </c>
      <c r="M117" s="8" t="s">
        <v>110</v>
      </c>
      <c r="N117" s="8" t="s">
        <v>79</v>
      </c>
      <c r="O117" s="9" t="s">
        <v>117</v>
      </c>
      <c r="P117" s="9" t="s">
        <v>118</v>
      </c>
      <c r="U117" s="18"/>
    </row>
    <row r="118" spans="12:21" x14ac:dyDescent="0.25">
      <c r="L118" s="22" t="s">
        <v>114</v>
      </c>
      <c r="M118" s="1">
        <f>COUNTIF(Scenario5[winner1-ability3],ParagonAbilities3Scenario5[[#This Row],[ability]])+COUNTIF(Scenario5[winner2-ability3],ParagonAbilities3Scenario5[[#This Row],[ability]])+COUNTIF(Scenario5[loser1-ability3],ParagonAbilities3Scenario5[[#This Row],[ability]])+COUNTIF(Scenario5[loser2-ability3],ParagonAbilities3Scenario5[[#This Row],[ability]])</f>
        <v>26</v>
      </c>
      <c r="N118" s="1">
        <f>COUNTIF(Scenario5[winner1-ability3],ParagonAbilities3Scenario5[[#This Row],[ability]])+COUNTIF(Scenario5[winner2-ability3],ParagonAbilities3Scenario5[[#This Row],[ability]])</f>
        <v>22</v>
      </c>
      <c r="O118" s="14">
        <f>IF(SUM(ParagonAbilities3Scenario5[[#This Row],[takes]]) &gt; 0,ParagonAbilities3Scenario5[[#This Row],[takes]]/SUM(ParagonAbilities3Scenario5[takes]),0)</f>
        <v>0.19117647058823528</v>
      </c>
      <c r="P118" s="14">
        <f>IF(ParagonAbilities3Scenario5[[#This Row],[takes]]&gt;0,ParagonAbilities3Scenario5[[#This Row],[wins]]/ParagonAbilities3Scenario5[[#This Row],[takes]],0)</f>
        <v>0.84615384615384615</v>
      </c>
      <c r="U118" s="18"/>
    </row>
    <row r="119" spans="12:21" x14ac:dyDescent="0.25">
      <c r="L119" s="20" t="s">
        <v>105</v>
      </c>
      <c r="M119" s="2">
        <f>COUNTIF(Scenario5[winner1-ability3],ParagonAbilities3Scenario5[[#This Row],[ability]])+COUNTIF(Scenario5[winner2-ability3],ParagonAbilities3Scenario5[[#This Row],[ability]])+COUNTIF(Scenario5[loser1-ability3],ParagonAbilities3Scenario5[[#This Row],[ability]])+COUNTIF(Scenario5[loser2-ability3],ParagonAbilities3Scenario5[[#This Row],[ability]])</f>
        <v>14</v>
      </c>
      <c r="N119" s="2">
        <f>COUNTIF(Scenario5[winner1-ability3],ParagonAbilities3Scenario5[[#This Row],[ability]])+COUNTIF(Scenario5[winner2-ability3],ParagonAbilities3Scenario5[[#This Row],[ability]])</f>
        <v>11</v>
      </c>
      <c r="O119" s="12">
        <f>IF(SUM(ParagonAbilities3Scenario5[[#This Row],[takes]]) &gt; 0,ParagonAbilities3Scenario5[[#This Row],[takes]]/SUM(ParagonAbilities3Scenario5[takes]),0)</f>
        <v>0.10294117647058823</v>
      </c>
      <c r="P119" s="12">
        <f>IF(ParagonAbilities3Scenario5[[#This Row],[takes]]&gt;0,ParagonAbilities3Scenario5[[#This Row],[wins]]/ParagonAbilities3Scenario5[[#This Row],[takes]],0)</f>
        <v>0.7857142857142857</v>
      </c>
      <c r="U119" s="18"/>
    </row>
    <row r="120" spans="12:21" x14ac:dyDescent="0.25">
      <c r="L120" s="23" t="s">
        <v>97</v>
      </c>
      <c r="M120" s="1">
        <f>COUNTIF(Scenario5[winner1-ability3],ParagonAbilities3Scenario5[[#This Row],[ability]])+COUNTIF(Scenario5[winner2-ability3],ParagonAbilities3Scenario5[[#This Row],[ability]])+COUNTIF(Scenario5[loser1-ability3],ParagonAbilities3Scenario5[[#This Row],[ability]])+COUNTIF(Scenario5[loser2-ability3],ParagonAbilities3Scenario5[[#This Row],[ability]])</f>
        <v>96</v>
      </c>
      <c r="N120" s="1">
        <f>COUNTIF(Scenario5[winner1-ability3],ParagonAbilities3Scenario5[[#This Row],[ability]])+COUNTIF(Scenario5[winner2-ability3],ParagonAbilities3Scenario5[[#This Row],[ability]])</f>
        <v>64</v>
      </c>
      <c r="O120" s="15">
        <f>IF(SUM(ParagonAbilities3Scenario5[[#This Row],[takes]]) &gt; 0,ParagonAbilities3Scenario5[[#This Row],[takes]]/SUM(ParagonAbilities3Scenario5[takes]),0)</f>
        <v>0.70588235294117652</v>
      </c>
      <c r="P120" s="15">
        <f>IF(ParagonAbilities3Scenario5[[#This Row],[takes]]&gt;0,ParagonAbilities3Scenario5[[#This Row],[wins]]/ParagonAbilities3Scenario5[[#This Row],[takes]],0)</f>
        <v>0.66666666666666663</v>
      </c>
      <c r="U120" s="18"/>
    </row>
    <row r="121" spans="12:21" x14ac:dyDescent="0.25">
      <c r="L121" s="17"/>
      <c r="O121" s="3"/>
      <c r="P121" s="3"/>
      <c r="U121" s="18"/>
    </row>
    <row r="122" spans="12:21" x14ac:dyDescent="0.25">
      <c r="L122" s="19" t="s">
        <v>109</v>
      </c>
      <c r="M122" s="8" t="s">
        <v>110</v>
      </c>
      <c r="N122" s="8" t="s">
        <v>79</v>
      </c>
      <c r="O122" s="9" t="s">
        <v>117</v>
      </c>
      <c r="P122" s="9" t="s">
        <v>118</v>
      </c>
      <c r="U122" s="18"/>
    </row>
    <row r="123" spans="12:21" x14ac:dyDescent="0.25">
      <c r="L123" s="20" t="s">
        <v>98</v>
      </c>
      <c r="M123" s="2">
        <f>COUNTIF(Scenario5[winner1-ability4],ParagonAbilities4Scenario5[[#This Row],[ability]])+COUNTIF(Scenario5[winner2-ability4],ParagonAbilities4Scenario5[[#This Row],[ability]])+COUNTIF(Scenario5[loser1-ability4],ParagonAbilities4Scenario5[[#This Row],[ability]])+COUNTIF(Scenario5[loser2-ability4],ParagonAbilities4Scenario5[[#This Row],[ability]])</f>
        <v>39</v>
      </c>
      <c r="N123" s="2">
        <f>COUNTIF(Scenario5[winner1-ability4],ParagonAbilities4Scenario5[[#This Row],[ability]])+COUNTIF(Scenario5[winner2-ability4],ParagonAbilities4Scenario5[[#This Row],[ability]])</f>
        <v>27</v>
      </c>
      <c r="O123" s="12">
        <f>IF(SUM(ParagonAbilities4Scenario5[[#This Row],[takes]]) &gt; 0,ParagonAbilities4Scenario5[[#This Row],[takes]]/SUM(ParagonAbilities4Scenario5[takes]),0)</f>
        <v>0.33620689655172414</v>
      </c>
      <c r="P123" s="12">
        <f>IF(ParagonAbilities4Scenario5[[#This Row],[takes]]&gt;0,ParagonAbilities4Scenario5[[#This Row],[wins]]/ParagonAbilities4Scenario5[[#This Row],[takes]],0)</f>
        <v>0.69230769230769229</v>
      </c>
      <c r="U123" s="18"/>
    </row>
    <row r="124" spans="12:21" x14ac:dyDescent="0.25">
      <c r="L124" s="20" t="s">
        <v>115</v>
      </c>
      <c r="M124" s="2">
        <f>COUNTIF(Scenario5[winner1-ability4],ParagonAbilities4Scenario5[[#This Row],[ability]])+COUNTIF(Scenario5[winner2-ability4],ParagonAbilities4Scenario5[[#This Row],[ability]])+COUNTIF(Scenario5[loser1-ability4],ParagonAbilities4Scenario5[[#This Row],[ability]])+COUNTIF(Scenario5[loser2-ability4],ParagonAbilities4Scenario5[[#This Row],[ability]])</f>
        <v>36</v>
      </c>
      <c r="N124" s="2">
        <f>COUNTIF(Scenario5[winner1-ability4],ParagonAbilities4Scenario5[[#This Row],[ability]])+COUNTIF(Scenario5[winner2-ability4],ParagonAbilities4Scenario5[[#This Row],[ability]])</f>
        <v>21</v>
      </c>
      <c r="O124" s="12">
        <f>IF(SUM(ParagonAbilities4Scenario5[[#This Row],[takes]]) &gt; 0,ParagonAbilities4Scenario5[[#This Row],[takes]]/SUM(ParagonAbilities4Scenario5[takes]),0)</f>
        <v>0.31034482758620691</v>
      </c>
      <c r="P124" s="12">
        <f>IF(ParagonAbilities4Scenario5[[#This Row],[takes]]&gt;0,ParagonAbilities4Scenario5[[#This Row],[wins]]/ParagonAbilities4Scenario5[[#This Row],[takes]],0)</f>
        <v>0.58333333333333337</v>
      </c>
      <c r="U124" s="18"/>
    </row>
    <row r="125" spans="12:21" ht="15.75" thickBot="1" x14ac:dyDescent="0.3">
      <c r="L125" s="24" t="s">
        <v>116</v>
      </c>
      <c r="M125" s="2">
        <f>COUNTIF(Scenario5[winner1-ability4],ParagonAbilities4Scenario5[[#This Row],[ability]])+COUNTIF(Scenario5[winner2-ability4],ParagonAbilities4Scenario5[[#This Row],[ability]])+COUNTIF(Scenario5[loser1-ability4],ParagonAbilities4Scenario5[[#This Row],[ability]])+COUNTIF(Scenario5[loser2-ability4],ParagonAbilities4Scenario5[[#This Row],[ability]])</f>
        <v>41</v>
      </c>
      <c r="N125" s="2">
        <f>COUNTIF(Scenario5[winner1-ability4],ParagonAbilities4Scenario5[[#This Row],[ability]])+COUNTIF(Scenario5[winner2-ability4],ParagonAbilities4Scenario5[[#This Row],[ability]])</f>
        <v>38</v>
      </c>
      <c r="O125" s="26">
        <f>IF(SUM(ParagonAbilities4Scenario5[[#This Row],[takes]]) &gt; 0,ParagonAbilities4Scenario5[[#This Row],[takes]]/SUM(ParagonAbilities4Scenario5[takes]),0)</f>
        <v>0.35344827586206895</v>
      </c>
      <c r="P125" s="26">
        <f>IF(ParagonAbilities4Scenario5[[#This Row],[takes]]&gt;0,ParagonAbilities4Scenario5[[#This Row],[wins]]/ParagonAbilities4Scenario5[[#This Row],[takes]],0)</f>
        <v>0.92682926829268297</v>
      </c>
      <c r="Q125" s="27"/>
      <c r="R125" s="27"/>
      <c r="S125" s="27"/>
      <c r="T125" s="27"/>
      <c r="U125" s="28"/>
    </row>
  </sheetData>
  <mergeCells count="7">
    <mergeCell ref="L106:U106"/>
    <mergeCell ref="L85:U85"/>
    <mergeCell ref="A1:J1"/>
    <mergeCell ref="L1:U1"/>
    <mergeCell ref="L22:U22"/>
    <mergeCell ref="L43:U43"/>
    <mergeCell ref="L64:U64"/>
  </mergeCells>
  <pageMargins left="0.7" right="0.7" top="0.75" bottom="0.75" header="0.3" footer="0.3"/>
  <pageSetup paperSize="9" orientation="portrait" r:id="rId1"/>
  <tableParts count="3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ED0C-4110-4CF5-8DC3-FF9F21DAA0FB}">
  <dimension ref="A1:V125"/>
  <sheetViews>
    <sheetView workbookViewId="0">
      <selection activeCell="B10" sqref="B10"/>
    </sheetView>
  </sheetViews>
  <sheetFormatPr defaultRowHeight="15" x14ac:dyDescent="0.25"/>
  <cols>
    <col min="1" max="1" width="18.42578125" bestFit="1" customWidth="1"/>
    <col min="2" max="2" width="8" bestFit="1" customWidth="1"/>
    <col min="3" max="3" width="7.42578125" bestFit="1" customWidth="1"/>
    <col min="4" max="4" width="18.42578125" style="3" bestFit="1" customWidth="1"/>
    <col min="5" max="5" width="15.5703125" style="3" bestFit="1" customWidth="1"/>
    <col min="6" max="6" width="3.5703125" customWidth="1"/>
    <col min="7" max="7" width="7.7109375" bestFit="1" customWidth="1"/>
    <col min="8" max="8" width="8.7109375" bestFit="1" customWidth="1"/>
    <col min="9" max="9" width="12.85546875" bestFit="1" customWidth="1"/>
    <col min="10" max="10" width="3.85546875" customWidth="1"/>
    <col min="11" max="11" width="18.42578125" bestFit="1" customWidth="1"/>
    <col min="12" max="12" width="8" bestFit="1" customWidth="1"/>
    <col min="13" max="13" width="7.42578125" bestFit="1" customWidth="1"/>
    <col min="14" max="14" width="18.42578125" bestFit="1" customWidth="1"/>
    <col min="15" max="15" width="15.5703125" bestFit="1" customWidth="1"/>
    <col min="16" max="16" width="4" customWidth="1"/>
    <col min="17" max="17" width="7.7109375" bestFit="1" customWidth="1"/>
    <col min="18" max="18" width="8.7109375" bestFit="1" customWidth="1"/>
    <col min="19" max="19" width="12.85546875" bestFit="1" customWidth="1"/>
    <col min="20" max="20" width="11.85546875" bestFit="1" customWidth="1"/>
    <col min="21" max="21" width="16.85546875" bestFit="1" customWidth="1"/>
    <col min="22" max="22" width="7.140625" bestFit="1" customWidth="1"/>
  </cols>
  <sheetData>
    <row r="1" spans="1:22" ht="15.75" thickBot="1" x14ac:dyDescent="0.3">
      <c r="A1" s="36" t="s">
        <v>181</v>
      </c>
      <c r="B1" s="37"/>
      <c r="C1" s="37"/>
      <c r="D1" s="37"/>
      <c r="E1" s="37"/>
      <c r="F1" s="37"/>
      <c r="G1" s="37"/>
      <c r="H1" s="37"/>
      <c r="I1" s="38"/>
      <c r="K1" s="36" t="s">
        <v>182</v>
      </c>
      <c r="L1" s="37"/>
      <c r="M1" s="37"/>
      <c r="N1" s="37"/>
      <c r="O1" s="37"/>
      <c r="P1" s="37"/>
      <c r="Q1" s="37"/>
      <c r="R1" s="37"/>
      <c r="S1" s="38"/>
      <c r="T1" s="29"/>
      <c r="U1" t="s">
        <v>174</v>
      </c>
      <c r="V1" s="3" t="s">
        <v>175</v>
      </c>
    </row>
    <row r="2" spans="1:22" x14ac:dyDescent="0.25">
      <c r="A2" s="17" t="s">
        <v>109</v>
      </c>
      <c r="B2" t="s">
        <v>110</v>
      </c>
      <c r="C2" t="s">
        <v>79</v>
      </c>
      <c r="D2" s="3" t="s">
        <v>117</v>
      </c>
      <c r="E2" s="3" t="s">
        <v>118</v>
      </c>
      <c r="G2" t="s">
        <v>161</v>
      </c>
      <c r="H2" t="s">
        <v>165</v>
      </c>
      <c r="I2" s="18" t="s">
        <v>164</v>
      </c>
      <c r="K2" s="17" t="s">
        <v>109</v>
      </c>
      <c r="L2" t="s">
        <v>110</v>
      </c>
      <c r="M2" t="s">
        <v>79</v>
      </c>
      <c r="N2" s="3" t="s">
        <v>117</v>
      </c>
      <c r="O2" s="3" t="s">
        <v>118</v>
      </c>
      <c r="Q2" t="s">
        <v>161</v>
      </c>
      <c r="R2" t="s">
        <v>165</v>
      </c>
      <c r="S2" s="18" t="s">
        <v>164</v>
      </c>
      <c r="U2" t="s">
        <v>192</v>
      </c>
      <c r="V2" s="3">
        <f>H4/SUM(HighlanderEquip[sword])</f>
        <v>0.26158940397350994</v>
      </c>
    </row>
    <row r="3" spans="1:22" x14ac:dyDescent="0.25">
      <c r="A3" t="s">
        <v>68</v>
      </c>
      <c r="B3">
        <f>L3+L24+L45+L66+L87+L108</f>
        <v>163</v>
      </c>
      <c r="C3">
        <f>M3+M24+M45+M66+M87+M108</f>
        <v>62</v>
      </c>
      <c r="D3" s="3">
        <f>IF(SUM(HighlanderAbilities1[[#This Row],[takes]]) &gt; 0,HighlanderAbilities1[[#This Row],[takes]]/SUM(HighlanderAbilities1[takes]),0)</f>
        <v>0.26986754966887416</v>
      </c>
      <c r="E3" s="3">
        <f>IF(HighlanderAbilities1[[#This Row],[takes]]&gt;0,HighlanderAbilities1[[#This Row],[wins]]/HighlanderAbilities1[[#This Row],[takes]],0)</f>
        <v>0.38036809815950923</v>
      </c>
      <c r="G3">
        <v>1</v>
      </c>
      <c r="H3">
        <f>R3+R24+R45+R66+R87+R108</f>
        <v>176</v>
      </c>
      <c r="I3" s="18">
        <f>S3+S24+S45+S66+S87+S108</f>
        <v>372</v>
      </c>
      <c r="K3" s="17" t="s">
        <v>68</v>
      </c>
      <c r="L3">
        <f>COUNTIF(Scenario0[winner1-ability1],HighlanderAbilities1Scenario0[[#This Row],[ability]])+COUNTIF(Scenario0[winner2-ability1],HighlanderAbilities1Scenario0[[#This Row],[ability]])+COUNTIF(Scenario0[loser1-ability1],HighlanderAbilities1Scenario0[[#This Row],[ability]])+COUNTIF(Scenario0[loser2-ability1],HighlanderAbilities1Scenario0[[#This Row],[ability]])</f>
        <v>63</v>
      </c>
      <c r="M3">
        <f>COUNTIF(Scenario0[winner1-ability1],HighlanderAbilities1Scenario0[[#This Row],[ability]])+COUNTIF(Scenario0[winner2-ability1],HighlanderAbilities1Scenario0[[#This Row],[ability]])</f>
        <v>24</v>
      </c>
      <c r="N3" s="3">
        <f>IF(SUM(HighlanderAbilities1Scenario0[[#This Row],[takes]]) &gt; 0,HighlanderAbilities1Scenario0[[#This Row],[takes]]/SUM(HighlanderAbilities1Scenario0[takes]),0)</f>
        <v>0.375</v>
      </c>
      <c r="O3" s="3">
        <f>IF(HighlanderAbilities1Scenario0[[#This Row],[takes]]&gt;0,HighlanderAbilities1Scenario0[[#This Row],[wins]]/HighlanderAbilities1Scenario0[[#This Row],[takes]],0)</f>
        <v>0.38095238095238093</v>
      </c>
      <c r="Q3">
        <v>1</v>
      </c>
      <c r="R3">
        <f>COUNTIFS(Scenario0[winner1],"highlander",Scenario0[winner1-pw],HighlanderEquipScenario0[[#This Row],[level]])+COUNTIFS(Scenario0[winner2],"highlander",Scenario0[winner2-pw],HighlanderEquipScenario0[[#This Row],[level]])+COUNTIFS(Scenario0[loser1],"highlander",Scenario0[loser1-pw],HighlanderEquipScenario0[[#This Row],[level]])+COUNTIFS(Scenario0[loser2],"highlander",Scenario0[loser2-pw],HighlanderEquipScenario0[[#This Row],[level]])</f>
        <v>108</v>
      </c>
      <c r="S3" s="18">
        <f>COUNTIFS(Scenario0[winner1],"highlander",Scenario0[winner1-cp],HighlanderEquipScenario0[[#This Row],[level]])+COUNTIFS(Scenario0[winner2],"highlander",Scenario0[winner2-cp],HighlanderEquipScenario0[[#This Row],[level]])+COUNTIFS(Scenario0[loser1],"highlander",Scenario0[loser1-cp],HighlanderEquipScenario0[[#This Row],[level]])+COUNTIFS(Scenario0[loser2],"highlander",Scenario0[loser2-cp],HighlanderEquipScenario0[[#This Row],[level]])</f>
        <v>138</v>
      </c>
      <c r="U3" t="s">
        <v>193</v>
      </c>
      <c r="V3" s="16">
        <f>H5/SUM(HighlanderEquip[sword])</f>
        <v>0.44701986754966888</v>
      </c>
    </row>
    <row r="4" spans="1:22" x14ac:dyDescent="0.25">
      <c r="A4" t="s">
        <v>120</v>
      </c>
      <c r="B4">
        <f t="shared" ref="B4:B5" si="0">L4+L25+L46+L67+L88+L109</f>
        <v>152</v>
      </c>
      <c r="C4">
        <f t="shared" ref="C4:C5" si="1">M4+M25+M46+M67+M88+M109</f>
        <v>57</v>
      </c>
      <c r="D4" s="3">
        <f>IF(SUM(HighlanderAbilities1[[#This Row],[takes]]) &gt; 0,HighlanderAbilities1[[#This Row],[takes]]/SUM(HighlanderAbilities1[takes]),0)</f>
        <v>0.25165562913907286</v>
      </c>
      <c r="E4" s="3">
        <f>IF(HighlanderAbilities1[[#This Row],[takes]]&gt;0,HighlanderAbilities1[[#This Row],[wins]]/HighlanderAbilities1[[#This Row],[takes]],0)</f>
        <v>0.375</v>
      </c>
      <c r="G4">
        <v>2</v>
      </c>
      <c r="H4">
        <f t="shared" ref="H4:H5" si="2">R4+R25+R46+R67+R88+R109</f>
        <v>158</v>
      </c>
      <c r="I4" s="18">
        <f t="shared" ref="I4:I5" si="3">S4+S25+S46+S67+S88+S109</f>
        <v>100</v>
      </c>
      <c r="K4" s="17" t="s">
        <v>120</v>
      </c>
      <c r="L4">
        <f>COUNTIF(Scenario0[winner1-ability1],HighlanderAbilities1Scenario0[[#This Row],[ability]])+COUNTIF(Scenario0[winner2-ability1],HighlanderAbilities1Scenario0[[#This Row],[ability]])+COUNTIF(Scenario0[loser1-ability1],HighlanderAbilities1Scenario0[[#This Row],[ability]])+COUNTIF(Scenario0[loser2-ability1],HighlanderAbilities1Scenario0[[#This Row],[ability]])</f>
        <v>4</v>
      </c>
      <c r="M4">
        <f>COUNTIF(Scenario0[winner1-ability1],HighlanderAbilities1Scenario0[[#This Row],[ability]])+COUNTIF(Scenario0[winner2-ability1],HighlanderAbilities1Scenario0[[#This Row],[ability]])</f>
        <v>1</v>
      </c>
      <c r="N4" s="3">
        <f>IF(SUM(HighlanderAbilities1Scenario0[[#This Row],[takes]]) &gt; 0,HighlanderAbilities1Scenario0[[#This Row],[takes]]/SUM(HighlanderAbilities1Scenario0[takes]),0)</f>
        <v>2.3809523809523808E-2</v>
      </c>
      <c r="O4" s="3">
        <f>IF(HighlanderAbilities1Scenario0[[#This Row],[takes]]&gt;0,HighlanderAbilities1Scenario0[[#This Row],[wins]]/HighlanderAbilities1Scenario0[[#This Row],[takes]],0)</f>
        <v>0.25</v>
      </c>
      <c r="Q4">
        <v>2</v>
      </c>
      <c r="R4">
        <f>COUNTIFS(Scenario0[winner1],"highlander",Scenario0[winner1-pw],HighlanderEquipScenario0[[#This Row],[level]])+COUNTIFS(Scenario0[winner2],"highlander",Scenario0[winner2-pw],HighlanderEquipScenario0[[#This Row],[level]])+COUNTIFS(Scenario0[loser1],"highlander",Scenario0[loser1-pw],HighlanderEquipScenario0[[#This Row],[level]])+COUNTIFS(Scenario0[loser2],"highlander",Scenario0[loser2-pw],HighlanderEquipScenario0[[#This Row],[level]])</f>
        <v>41</v>
      </c>
      <c r="S4" s="18">
        <f>COUNTIFS(Scenario0[winner1],"highlander",Scenario0[winner1-cp],HighlanderEquipScenario0[[#This Row],[level]])+COUNTIFS(Scenario0[winner2],"highlander",Scenario0[winner2-cp],HighlanderEquipScenario0[[#This Row],[level]])+COUNTIFS(Scenario0[loser1],"highlander",Scenario0[loser1-cp],HighlanderEquipScenario0[[#This Row],[level]])+COUNTIFS(Scenario0[loser2],"highlander",Scenario0[loser2-cp],HighlanderEquipScenario0[[#This Row],[level]])</f>
        <v>23</v>
      </c>
      <c r="U4" t="s">
        <v>179</v>
      </c>
      <c r="V4" s="3">
        <f>HighlanderEquip[[#This Row],[chestpiece]]/SUM(HighlanderEquip[chestpiece])</f>
        <v>0.16556291390728478</v>
      </c>
    </row>
    <row r="5" spans="1:22" x14ac:dyDescent="0.25">
      <c r="A5" t="s">
        <v>57</v>
      </c>
      <c r="B5">
        <f t="shared" si="0"/>
        <v>289</v>
      </c>
      <c r="C5">
        <f t="shared" si="1"/>
        <v>151</v>
      </c>
      <c r="D5" s="3">
        <f>IF(SUM(HighlanderAbilities1[[#This Row],[takes]]) &gt; 0,HighlanderAbilities1[[#This Row],[takes]]/SUM(HighlanderAbilities1[takes]),0)</f>
        <v>0.47847682119205298</v>
      </c>
      <c r="E5" s="3">
        <f>IF(HighlanderAbilities1[[#This Row],[takes]]&gt;0,HighlanderAbilities1[[#This Row],[wins]]/HighlanderAbilities1[[#This Row],[takes]],0)</f>
        <v>0.52249134948096887</v>
      </c>
      <c r="G5">
        <v>3</v>
      </c>
      <c r="H5">
        <f t="shared" si="2"/>
        <v>270</v>
      </c>
      <c r="I5" s="18">
        <f t="shared" si="3"/>
        <v>132</v>
      </c>
      <c r="K5" s="17" t="s">
        <v>57</v>
      </c>
      <c r="L5">
        <f>COUNTIF(Scenario0[winner1-ability1],HighlanderAbilities1Scenario0[[#This Row],[ability]])+COUNTIF(Scenario0[winner2-ability1],HighlanderAbilities1Scenario0[[#This Row],[ability]])+COUNTIF(Scenario0[loser1-ability1],HighlanderAbilities1Scenario0[[#This Row],[ability]])+COUNTIF(Scenario0[loser2-ability1],HighlanderAbilities1Scenario0[[#This Row],[ability]])</f>
        <v>101</v>
      </c>
      <c r="M5">
        <f>COUNTIF(Scenario0[winner1-ability1],HighlanderAbilities1Scenario0[[#This Row],[ability]])+COUNTIF(Scenario0[winner2-ability1],HighlanderAbilities1Scenario0[[#This Row],[ability]])</f>
        <v>48</v>
      </c>
      <c r="N5" s="3">
        <f>IF(SUM(HighlanderAbilities1Scenario0[[#This Row],[takes]]) &gt; 0,HighlanderAbilities1Scenario0[[#This Row],[takes]]/SUM(HighlanderAbilities1Scenario0[takes]),0)</f>
        <v>0.60119047619047616</v>
      </c>
      <c r="O5" s="3">
        <f>IF(HighlanderAbilities1Scenario0[[#This Row],[takes]]&gt;0,HighlanderAbilities1Scenario0[[#This Row],[wins]]/HighlanderAbilities1Scenario0[[#This Row],[takes]],0)</f>
        <v>0.47524752475247523</v>
      </c>
      <c r="Q5">
        <v>3</v>
      </c>
      <c r="R5">
        <f>COUNTIFS(Scenario0[winner1],"highlander",Scenario0[winner1-pw],HighlanderEquipScenario0[[#This Row],[level]])+COUNTIFS(Scenario0[winner2],"highlander",Scenario0[winner2-pw],HighlanderEquipScenario0[[#This Row],[level]])+COUNTIFS(Scenario0[loser1],"highlander",Scenario0[loser1-pw],HighlanderEquipScenario0[[#This Row],[level]])+COUNTIFS(Scenario0[loser2],"highlander",Scenario0[loser2-pw],HighlanderEquipScenario0[[#This Row],[level]])</f>
        <v>19</v>
      </c>
      <c r="S5" s="18">
        <f>COUNTIFS(Scenario0[winner1],"highlander",Scenario0[winner1-cp],HighlanderEquipScenario0[[#This Row],[level]])+COUNTIFS(Scenario0[winner2],"highlander",Scenario0[winner2-cp],HighlanderEquipScenario0[[#This Row],[level]])+COUNTIFS(Scenario0[loser1],"highlander",Scenario0[loser1-cp],HighlanderEquipScenario0[[#This Row],[level]])+COUNTIFS(Scenario0[loser2],"highlander",Scenario0[loser2-cp],HighlanderEquipScenario0[[#This Row],[level]])</f>
        <v>7</v>
      </c>
      <c r="U5" t="s">
        <v>180</v>
      </c>
      <c r="V5" s="16">
        <f>HighlanderEquip[[#This Row],[chestpiece]]/SUM(HighlanderEquip[chestpiece])</f>
        <v>0.2185430463576159</v>
      </c>
    </row>
    <row r="6" spans="1:22" x14ac:dyDescent="0.25">
      <c r="A6" s="17"/>
      <c r="I6" s="18"/>
      <c r="K6" s="17"/>
      <c r="N6" s="3"/>
      <c r="O6" s="3"/>
      <c r="S6" s="18"/>
      <c r="U6" t="s">
        <v>176</v>
      </c>
      <c r="V6" s="3">
        <f>SUM(HighlanderAbilities2[takes])/SUM(HighlanderAbilities1[takes])</f>
        <v>0.6556291390728477</v>
      </c>
    </row>
    <row r="7" spans="1:22" x14ac:dyDescent="0.25">
      <c r="A7" s="19" t="s">
        <v>109</v>
      </c>
      <c r="B7" s="8" t="s">
        <v>110</v>
      </c>
      <c r="C7" s="8" t="s">
        <v>79</v>
      </c>
      <c r="D7" s="9" t="s">
        <v>117</v>
      </c>
      <c r="E7" s="9" t="s">
        <v>118</v>
      </c>
      <c r="I7" s="18"/>
      <c r="K7" s="19" t="s">
        <v>109</v>
      </c>
      <c r="L7" s="8" t="s">
        <v>110</v>
      </c>
      <c r="M7" s="8" t="s">
        <v>79</v>
      </c>
      <c r="N7" s="9" t="s">
        <v>117</v>
      </c>
      <c r="O7" s="9" t="s">
        <v>118</v>
      </c>
      <c r="S7" s="18"/>
      <c r="U7" t="s">
        <v>177</v>
      </c>
      <c r="V7" s="3">
        <f>SUM(HighlanderAbilities3[takes])/SUM(HighlanderAbilities1[takes])</f>
        <v>0.41556291390728478</v>
      </c>
    </row>
    <row r="8" spans="1:22" x14ac:dyDescent="0.25">
      <c r="A8" s="2" t="s">
        <v>69</v>
      </c>
      <c r="B8" s="2">
        <f>L8+L29+L50+L71+L92+L113</f>
        <v>115</v>
      </c>
      <c r="C8" s="2">
        <f>M8+M29+M50+M71+M92+M113</f>
        <v>44</v>
      </c>
      <c r="D8" s="12">
        <f>IF(SUM(HighlanderAbilities2[[#This Row],[takes]]) &gt; 0,HighlanderAbilities2[[#This Row],[takes]]/SUM(HighlanderAbilities2[takes]),0)</f>
        <v>0.29040404040404039</v>
      </c>
      <c r="E8" s="12">
        <f>IF(HighlanderAbilities2[[#This Row],[takes]]&gt;0,HighlanderAbilities2[[#This Row],[wins]]/HighlanderAbilities2[[#This Row],[takes]],0)</f>
        <v>0.38260869565217392</v>
      </c>
      <c r="I8" s="18"/>
      <c r="K8" s="20" t="s">
        <v>69</v>
      </c>
      <c r="L8" s="2">
        <f>COUNTIF(Scenario0[winner1-ability2],HighlanderAbilities2Scenario0[[#This Row],[ability]])+COUNTIF(Scenario0[winner2-ability2],HighlanderAbilities2Scenario0[[#This Row],[ability]])+COUNTIF(Scenario0[loser1-ability2],HighlanderAbilities2Scenario0[[#This Row],[ability]])+COUNTIF(Scenario0[loser2-ability2],HighlanderAbilities2Scenario0[[#This Row],[ability]])</f>
        <v>7</v>
      </c>
      <c r="M8" s="2">
        <f>COUNTIF(Scenario0[winner1-ability2],HighlanderAbilities2Scenario0[[#This Row],[ability]])+COUNTIF(Scenario0[winner2-ability2],HighlanderAbilities2Scenario0[[#This Row],[ability]])</f>
        <v>4</v>
      </c>
      <c r="N8" s="12">
        <f>IF(SUM(HighlanderAbilities2Scenario0[[#This Row],[takes]]) &gt; 0,HighlanderAbilities2Scenario0[[#This Row],[takes]]/SUM(HighlanderAbilities2Scenario0[takes]),0)</f>
        <v>0.1044776119402985</v>
      </c>
      <c r="O8" s="12">
        <f>IF(HighlanderAbilities2Scenario0[[#This Row],[takes]]&gt;0,HighlanderAbilities2Scenario0[[#This Row],[wins]]/HighlanderAbilities2Scenario0[[#This Row],[takes]],0)</f>
        <v>0.5714285714285714</v>
      </c>
      <c r="S8" s="18"/>
      <c r="U8" t="s">
        <v>178</v>
      </c>
      <c r="V8" s="16">
        <f>SUM(HighlanderAbilities4[takes])/SUM(HighlanderAbilities1[takes])</f>
        <v>0.25</v>
      </c>
    </row>
    <row r="9" spans="1:22" x14ac:dyDescent="0.25">
      <c r="A9" t="s">
        <v>121</v>
      </c>
      <c r="B9" s="2">
        <f t="shared" ref="B9:B10" si="4">L9+L30+L51+L72+L93+L114</f>
        <v>52</v>
      </c>
      <c r="C9" s="2">
        <f t="shared" ref="C9:C10" si="5">M9+M30+M51+M72+M93+M114</f>
        <v>21</v>
      </c>
      <c r="D9" s="3">
        <f>IF(SUM(HighlanderAbilities2[[#This Row],[takes]]) &gt; 0,HighlanderAbilities2[[#This Row],[takes]]/SUM(HighlanderAbilities2[takes]),0)</f>
        <v>0.13131313131313133</v>
      </c>
      <c r="E9" s="3">
        <f>IF(HighlanderAbilities2[[#This Row],[takes]]&gt;0,HighlanderAbilities2[[#This Row],[wins]]/HighlanderAbilities2[[#This Row],[takes]],0)</f>
        <v>0.40384615384615385</v>
      </c>
      <c r="I9" s="18"/>
      <c r="K9" s="17" t="s">
        <v>121</v>
      </c>
      <c r="L9" s="2">
        <f>COUNTIF(Scenario0[winner1-ability2],HighlanderAbilities2Scenario0[[#This Row],[ability]])+COUNTIF(Scenario0[winner2-ability2],HighlanderAbilities2Scenario0[[#This Row],[ability]])+COUNTIF(Scenario0[loser1-ability2],HighlanderAbilities2Scenario0[[#This Row],[ability]])+COUNTIF(Scenario0[loser2-ability2],HighlanderAbilities2Scenario0[[#This Row],[ability]])</f>
        <v>2</v>
      </c>
      <c r="M9" s="2">
        <f>COUNTIF(Scenario0[winner1-ability2],HighlanderAbilities2Scenario0[[#This Row],[ability]])+COUNTIF(Scenario0[winner2-ability2],HighlanderAbilities2Scenario0[[#This Row],[ability]])</f>
        <v>1</v>
      </c>
      <c r="N9" s="3">
        <f>IF(SUM(HighlanderAbilities2Scenario0[[#This Row],[takes]]) &gt; 0,HighlanderAbilities2Scenario0[[#This Row],[takes]]/SUM(HighlanderAbilities2Scenario0[takes]),0)</f>
        <v>2.9850746268656716E-2</v>
      </c>
      <c r="O9" s="3">
        <f>IF(HighlanderAbilities2Scenario0[[#This Row],[takes]]&gt;0,HighlanderAbilities2Scenario0[[#This Row],[wins]]/HighlanderAbilities2Scenario0[[#This Row],[takes]],0)</f>
        <v>0.5</v>
      </c>
      <c r="S9" s="18"/>
      <c r="U9" t="s">
        <v>194</v>
      </c>
      <c r="V9" s="33">
        <f>(SUM(HighlanderAbilities2[takes])+SUM(HighlanderAbilities3[takes])+SUM(HighlanderAbilities4[takes])+SUM(H4:H5)+SUM(I4:I5))/SUM(HighlanderAbilities1[takes])</f>
        <v>2.4139072847682117</v>
      </c>
    </row>
    <row r="10" spans="1:22" x14ac:dyDescent="0.25">
      <c r="A10" s="10" t="s">
        <v>122</v>
      </c>
      <c r="B10" s="2">
        <f t="shared" si="4"/>
        <v>229</v>
      </c>
      <c r="C10" s="2">
        <f t="shared" si="5"/>
        <v>134</v>
      </c>
      <c r="D10" s="13">
        <f>IF(SUM(HighlanderAbilities2[[#This Row],[takes]]) &gt; 0,HighlanderAbilities2[[#This Row],[takes]]/SUM(HighlanderAbilities2[takes]),0)</f>
        <v>0.57828282828282829</v>
      </c>
      <c r="E10" s="13">
        <f>IF(HighlanderAbilities2[[#This Row],[takes]]&gt;0,HighlanderAbilities2[[#This Row],[wins]]/HighlanderAbilities2[[#This Row],[takes]],0)</f>
        <v>0.58515283842794763</v>
      </c>
      <c r="I10" s="18"/>
      <c r="K10" s="21" t="s">
        <v>122</v>
      </c>
      <c r="L10" s="2">
        <f>COUNTIF(Scenario0[winner1-ability2],HighlanderAbilities2Scenario0[[#This Row],[ability]])+COUNTIF(Scenario0[winner2-ability2],HighlanderAbilities2Scenario0[[#This Row],[ability]])+COUNTIF(Scenario0[loser1-ability2],HighlanderAbilities2Scenario0[[#This Row],[ability]])+COUNTIF(Scenario0[loser2-ability2],HighlanderAbilities2Scenario0[[#This Row],[ability]])</f>
        <v>58</v>
      </c>
      <c r="M10" s="2">
        <f>COUNTIF(Scenario0[winner1-ability2],HighlanderAbilities2Scenario0[[#This Row],[ability]])+COUNTIF(Scenario0[winner2-ability2],HighlanderAbilities2Scenario0[[#This Row],[ability]])</f>
        <v>31</v>
      </c>
      <c r="N10" s="13">
        <f>IF(SUM(HighlanderAbilities2Scenario0[[#This Row],[takes]]) &gt; 0,HighlanderAbilities2Scenario0[[#This Row],[takes]]/SUM(HighlanderAbilities2Scenario0[takes]),0)</f>
        <v>0.86567164179104472</v>
      </c>
      <c r="O10" s="13">
        <f>IF(HighlanderAbilities2Scenario0[[#This Row],[takes]]&gt;0,HighlanderAbilities2Scenario0[[#This Row],[wins]]/HighlanderAbilities2Scenario0[[#This Row],[takes]],0)</f>
        <v>0.53448275862068961</v>
      </c>
      <c r="S10" s="18"/>
    </row>
    <row r="11" spans="1:22" x14ac:dyDescent="0.25">
      <c r="A11" s="17"/>
      <c r="I11" s="18"/>
      <c r="K11" s="17"/>
      <c r="N11" s="3"/>
      <c r="O11" s="3"/>
      <c r="S11" s="18"/>
    </row>
    <row r="12" spans="1:22" x14ac:dyDescent="0.25">
      <c r="A12" s="19" t="s">
        <v>109</v>
      </c>
      <c r="B12" s="8" t="s">
        <v>110</v>
      </c>
      <c r="C12" s="8" t="s">
        <v>79</v>
      </c>
      <c r="D12" s="9" t="s">
        <v>117</v>
      </c>
      <c r="E12" s="9" t="s">
        <v>118</v>
      </c>
      <c r="I12" s="18"/>
      <c r="K12" s="19" t="s">
        <v>109</v>
      </c>
      <c r="L12" s="8" t="s">
        <v>110</v>
      </c>
      <c r="M12" s="8" t="s">
        <v>79</v>
      </c>
      <c r="N12" s="9" t="s">
        <v>117</v>
      </c>
      <c r="O12" s="9" t="s">
        <v>118</v>
      </c>
      <c r="S12" s="18"/>
    </row>
    <row r="13" spans="1:22" x14ac:dyDescent="0.25">
      <c r="A13" s="1" t="s">
        <v>123</v>
      </c>
      <c r="B13" s="1">
        <f>L13+L34+L55+L76+L97+L118</f>
        <v>60</v>
      </c>
      <c r="C13" s="1">
        <f>M13+M34+M55+M76+M97+M118</f>
        <v>27</v>
      </c>
      <c r="D13" s="14">
        <f>IF(SUM(HighlanderAbilities3[[#This Row],[takes]]) &gt; 0,HighlanderAbilities3[[#This Row],[takes]]/SUM(HighlanderAbilities3[takes]),0)</f>
        <v>0.23904382470119523</v>
      </c>
      <c r="E13" s="14">
        <f>IF(HighlanderAbilities3[[#This Row],[takes]]&gt;0,HighlanderAbilities3[[#This Row],[wins]]/HighlanderAbilities3[[#This Row],[takes]],0)</f>
        <v>0.45</v>
      </c>
      <c r="I13" s="18"/>
      <c r="K13" s="22" t="s">
        <v>123</v>
      </c>
      <c r="L13" s="1">
        <f>COUNTIF(Scenario0[winner1-ability3],HighlanderAbilities3Scenario0[[#This Row],[ability]])+COUNTIF(Scenario0[winner2-ability3],HighlanderAbilities3Scenario0[[#This Row],[ability]])+COUNTIF(Scenario0[loser1-ability3],HighlanderAbilities3Scenario0[[#This Row],[ability]])+COUNTIF(Scenario0[loser2-ability3],HighlanderAbilities3Scenario0[[#This Row],[ability]])</f>
        <v>4</v>
      </c>
      <c r="M13" s="1">
        <f>COUNTIF(Scenario0[winner1-ability3],HighlanderAbilities3Scenario0[[#This Row],[ability]])+COUNTIF(Scenario0[winner2-ability3],HighlanderAbilities3Scenario0[[#This Row],[ability]])</f>
        <v>3</v>
      </c>
      <c r="N13" s="14">
        <f>IF(SUM(HighlanderAbilities3Scenario0[[#This Row],[takes]]) &gt; 0,HighlanderAbilities3Scenario0[[#This Row],[takes]]/SUM(HighlanderAbilities3Scenario0[takes]),0)</f>
        <v>0.18181818181818182</v>
      </c>
      <c r="O13" s="14">
        <f>IF(HighlanderAbilities3Scenario0[[#This Row],[takes]]&gt;0,HighlanderAbilities3Scenario0[[#This Row],[wins]]/HighlanderAbilities3Scenario0[[#This Row],[takes]],0)</f>
        <v>0.75</v>
      </c>
      <c r="S13" s="18"/>
    </row>
    <row r="14" spans="1:22" x14ac:dyDescent="0.25">
      <c r="A14" s="2" t="s">
        <v>87</v>
      </c>
      <c r="B14" s="2">
        <f t="shared" ref="B14:B15" si="6">L14+L35+L56+L77+L98+L119</f>
        <v>95</v>
      </c>
      <c r="C14" s="2">
        <f t="shared" ref="C14:C15" si="7">M14+M35+M56+M77+M98+M119</f>
        <v>37</v>
      </c>
      <c r="D14" s="12">
        <f>IF(SUM(HighlanderAbilities3[[#This Row],[takes]]) &gt; 0,HighlanderAbilities3[[#This Row],[takes]]/SUM(HighlanderAbilities3[takes]),0)</f>
        <v>0.37848605577689243</v>
      </c>
      <c r="E14" s="12">
        <f>IF(HighlanderAbilities3[[#This Row],[takes]]&gt;0,HighlanderAbilities3[[#This Row],[wins]]/HighlanderAbilities3[[#This Row],[takes]],0)</f>
        <v>0.38947368421052631</v>
      </c>
      <c r="I14" s="18"/>
      <c r="K14" s="20" t="s">
        <v>87</v>
      </c>
      <c r="L14" s="2">
        <f>COUNTIF(Scenario0[winner1-ability3],HighlanderAbilities3Scenario0[[#This Row],[ability]])+COUNTIF(Scenario0[winner2-ability3],HighlanderAbilities3Scenario0[[#This Row],[ability]])+COUNTIF(Scenario0[loser1-ability3],HighlanderAbilities3Scenario0[[#This Row],[ability]])+COUNTIF(Scenario0[loser2-ability3],HighlanderAbilities3Scenario0[[#This Row],[ability]])</f>
        <v>1</v>
      </c>
      <c r="M14" s="2">
        <f>COUNTIF(Scenario0[winner1-ability3],HighlanderAbilities3Scenario0[[#This Row],[ability]])+COUNTIF(Scenario0[winner2-ability3],HighlanderAbilities3Scenario0[[#This Row],[ability]])</f>
        <v>0</v>
      </c>
      <c r="N14" s="12">
        <f>IF(SUM(HighlanderAbilities3Scenario0[[#This Row],[takes]]) &gt; 0,HighlanderAbilities3Scenario0[[#This Row],[takes]]/SUM(HighlanderAbilities3Scenario0[takes]),0)</f>
        <v>4.5454545454545456E-2</v>
      </c>
      <c r="O14" s="12">
        <f>IF(HighlanderAbilities3Scenario0[[#This Row],[takes]]&gt;0,HighlanderAbilities3Scenario0[[#This Row],[wins]]/HighlanderAbilities3Scenario0[[#This Row],[takes]],0)</f>
        <v>0</v>
      </c>
      <c r="S14" s="18"/>
    </row>
    <row r="15" spans="1:22" x14ac:dyDescent="0.25">
      <c r="A15" s="11" t="s">
        <v>85</v>
      </c>
      <c r="B15" s="1">
        <f t="shared" si="6"/>
        <v>96</v>
      </c>
      <c r="C15" s="1">
        <f t="shared" si="7"/>
        <v>62</v>
      </c>
      <c r="D15" s="15">
        <f>IF(SUM(HighlanderAbilities3[[#This Row],[takes]]) &gt; 0,HighlanderAbilities3[[#This Row],[takes]]/SUM(HighlanderAbilities3[takes]),0)</f>
        <v>0.38247011952191234</v>
      </c>
      <c r="E15" s="15">
        <f>IF(HighlanderAbilities3[[#This Row],[takes]]&gt;0,HighlanderAbilities3[[#This Row],[wins]]/HighlanderAbilities3[[#This Row],[takes]],0)</f>
        <v>0.64583333333333337</v>
      </c>
      <c r="I15" s="18"/>
      <c r="K15" s="23" t="s">
        <v>85</v>
      </c>
      <c r="L15" s="1">
        <f>COUNTIF(Scenario0[winner1-ability3],HighlanderAbilities3Scenario0[[#This Row],[ability]])+COUNTIF(Scenario0[winner2-ability3],HighlanderAbilities3Scenario0[[#This Row],[ability]])+COUNTIF(Scenario0[loser1-ability3],HighlanderAbilities3Scenario0[[#This Row],[ability]])+COUNTIF(Scenario0[loser2-ability3],HighlanderAbilities3Scenario0[[#This Row],[ability]])</f>
        <v>17</v>
      </c>
      <c r="M15" s="1">
        <f>COUNTIF(Scenario0[winner1-ability3],HighlanderAbilities3Scenario0[[#This Row],[ability]])+COUNTIF(Scenario0[winner2-ability3],HighlanderAbilities3Scenario0[[#This Row],[ability]])</f>
        <v>11</v>
      </c>
      <c r="N15" s="15">
        <f>IF(SUM(HighlanderAbilities3Scenario0[[#This Row],[takes]]) &gt; 0,HighlanderAbilities3Scenario0[[#This Row],[takes]]/SUM(HighlanderAbilities3Scenario0[takes]),0)</f>
        <v>0.77272727272727271</v>
      </c>
      <c r="O15" s="15">
        <f>IF(HighlanderAbilities3Scenario0[[#This Row],[takes]]&gt;0,HighlanderAbilities3Scenario0[[#This Row],[wins]]/HighlanderAbilities3Scenario0[[#This Row],[takes]],0)</f>
        <v>0.6470588235294118</v>
      </c>
      <c r="S15" s="18"/>
    </row>
    <row r="16" spans="1:22" x14ac:dyDescent="0.25">
      <c r="A16" s="17"/>
      <c r="I16" s="18"/>
      <c r="K16" s="17"/>
      <c r="N16" s="3"/>
      <c r="O16" s="3"/>
      <c r="S16" s="18"/>
    </row>
    <row r="17" spans="1:20" x14ac:dyDescent="0.25">
      <c r="A17" s="19" t="s">
        <v>109</v>
      </c>
      <c r="B17" s="8" t="s">
        <v>110</v>
      </c>
      <c r="C17" s="8" t="s">
        <v>79</v>
      </c>
      <c r="D17" s="9" t="s">
        <v>117</v>
      </c>
      <c r="E17" s="9" t="s">
        <v>118</v>
      </c>
      <c r="I17" s="18"/>
      <c r="K17" s="19" t="s">
        <v>109</v>
      </c>
      <c r="L17" s="8" t="s">
        <v>110</v>
      </c>
      <c r="M17" s="8" t="s">
        <v>79</v>
      </c>
      <c r="N17" s="9" t="s">
        <v>117</v>
      </c>
      <c r="O17" s="9" t="s">
        <v>118</v>
      </c>
      <c r="S17" s="18"/>
    </row>
    <row r="18" spans="1:20" x14ac:dyDescent="0.25">
      <c r="A18" s="2" t="s">
        <v>88</v>
      </c>
      <c r="B18" s="2">
        <f>L18+L39+L60+L81+L102+L123</f>
        <v>40</v>
      </c>
      <c r="C18" s="2">
        <f>M18+M39+M60+M81+M102+M123</f>
        <v>12</v>
      </c>
      <c r="D18" s="12">
        <f>IF(SUM(HighlanderAbilities4[[#This Row],[takes]]) &gt; 0,HighlanderAbilities4[[#This Row],[takes]]/SUM(HighlanderAbilities4[takes]),0)</f>
        <v>0.26490066225165565</v>
      </c>
      <c r="E18" s="12">
        <f>IF(HighlanderAbilities4[[#This Row],[takes]]&gt;0,HighlanderAbilities4[[#This Row],[wins]]/HighlanderAbilities4[[#This Row],[takes]],0)</f>
        <v>0.3</v>
      </c>
      <c r="I18" s="18"/>
      <c r="K18" s="20" t="s">
        <v>88</v>
      </c>
      <c r="L18" s="2">
        <f>COUNTIF(Scenario0[winner1-ability4],HighlanderAbilities4Scenario0[[#This Row],[ability]])+COUNTIF(Scenario0[winner2-ability4],HighlanderAbilities4Scenario0[[#This Row],[ability]])+COUNTIF(Scenario0[loser1-ability4],HighlanderAbilities4Scenario0[[#This Row],[ability]])+COUNTIF(Scenario0[loser2-ability4],HighlanderAbilities4Scenario0[[#This Row],[ability]])</f>
        <v>0</v>
      </c>
      <c r="M18" s="2">
        <f>COUNTIF(Scenario0[winner1-ability4],HighlanderAbilities4Scenario0[[#This Row],[ability]])+COUNTIF(Scenario0[winner2-ability4],HighlanderAbilities4Scenario0[[#This Row],[ability]])</f>
        <v>0</v>
      </c>
      <c r="N18" s="12">
        <f>IF(SUM(HighlanderAbilities4Scenario0[[#This Row],[takes]]) &gt; 0,HighlanderAbilities4Scenario0[[#This Row],[takes]]/SUM(HighlanderAbilities4Scenario0[takes]),0)</f>
        <v>0</v>
      </c>
      <c r="O18" s="12">
        <f>IF(HighlanderAbilities4Scenario0[[#This Row],[takes]]&gt;0,HighlanderAbilities4Scenario0[[#This Row],[wins]]/HighlanderAbilities4Scenario0[[#This Row],[takes]],0)</f>
        <v>0</v>
      </c>
      <c r="S18" s="18"/>
    </row>
    <row r="19" spans="1:20" x14ac:dyDescent="0.25">
      <c r="A19" s="2" t="s">
        <v>124</v>
      </c>
      <c r="B19" s="2">
        <f t="shared" ref="B19:B20" si="8">L19+L40+L61+L82+L103+L124</f>
        <v>45</v>
      </c>
      <c r="C19" s="2">
        <f t="shared" ref="C19:C20" si="9">M19+M40+M61+M82+M103+M124</f>
        <v>17</v>
      </c>
      <c r="D19" s="12">
        <f>IF(SUM(HighlanderAbilities4[[#This Row],[takes]]) &gt; 0,HighlanderAbilities4[[#This Row],[takes]]/SUM(HighlanderAbilities4[takes]),0)</f>
        <v>0.29801324503311261</v>
      </c>
      <c r="E19" s="12">
        <f>IF(HighlanderAbilities4[[#This Row],[takes]]&gt;0,HighlanderAbilities4[[#This Row],[wins]]/HighlanderAbilities4[[#This Row],[takes]],0)</f>
        <v>0.37777777777777777</v>
      </c>
      <c r="I19" s="18"/>
      <c r="K19" s="20" t="s">
        <v>124</v>
      </c>
      <c r="L19" s="2">
        <f>COUNTIF(Scenario0[winner1-ability4],HighlanderAbilities4Scenario0[[#This Row],[ability]])+COUNTIF(Scenario0[winner2-ability4],HighlanderAbilities4Scenario0[[#This Row],[ability]])+COUNTIF(Scenario0[loser1-ability4],HighlanderAbilities4Scenario0[[#This Row],[ability]])+COUNTIF(Scenario0[loser2-ability4],HighlanderAbilities4Scenario0[[#This Row],[ability]])</f>
        <v>1</v>
      </c>
      <c r="M19" s="2">
        <f>COUNTIF(Scenario0[winner1-ability4],HighlanderAbilities4Scenario0[[#This Row],[ability]])+COUNTIF(Scenario0[winner2-ability4],HighlanderAbilities4Scenario0[[#This Row],[ability]])</f>
        <v>1</v>
      </c>
      <c r="N19" s="12">
        <f>IF(SUM(HighlanderAbilities4Scenario0[[#This Row],[takes]]) &gt; 0,HighlanderAbilities4Scenario0[[#This Row],[takes]]/SUM(HighlanderAbilities4Scenario0[takes]),0)</f>
        <v>0.14285714285714285</v>
      </c>
      <c r="O19" s="12">
        <f>IF(HighlanderAbilities4Scenario0[[#This Row],[takes]]&gt;0,HighlanderAbilities4Scenario0[[#This Row],[wins]]/HighlanderAbilities4Scenario0[[#This Row],[takes]],0)</f>
        <v>1</v>
      </c>
      <c r="S19" s="18"/>
    </row>
    <row r="20" spans="1:20" ht="15.75" thickBot="1" x14ac:dyDescent="0.3">
      <c r="A20" s="10" t="s">
        <v>125</v>
      </c>
      <c r="B20" s="2">
        <f t="shared" si="8"/>
        <v>66</v>
      </c>
      <c r="C20" s="2">
        <f t="shared" si="9"/>
        <v>39</v>
      </c>
      <c r="D20" s="26">
        <f>IF(SUM(HighlanderAbilities4[[#This Row],[takes]]) &gt; 0,HighlanderAbilities4[[#This Row],[takes]]/SUM(HighlanderAbilities4[takes]),0)</f>
        <v>0.4370860927152318</v>
      </c>
      <c r="E20" s="26">
        <f>IF(HighlanderAbilities4[[#This Row],[takes]]&gt;0,HighlanderAbilities4[[#This Row],[wins]]/HighlanderAbilities4[[#This Row],[takes]],0)</f>
        <v>0.59090909090909094</v>
      </c>
      <c r="F20" s="27"/>
      <c r="G20" s="27"/>
      <c r="H20" s="27"/>
      <c r="I20" s="28"/>
      <c r="K20" s="24" t="s">
        <v>125</v>
      </c>
      <c r="L20" s="25">
        <f>COUNTIF(Scenario0[winner1-ability4],HighlanderAbilities4Scenario0[[#This Row],[ability]])+COUNTIF(Scenario0[winner2-ability4],HighlanderAbilities4Scenario0[[#This Row],[ability]])+COUNTIF(Scenario0[loser1-ability4],HighlanderAbilities4Scenario0[[#This Row],[ability]])+COUNTIF(Scenario0[loser2-ability4],HighlanderAbilities4Scenario0[[#This Row],[ability]])</f>
        <v>6</v>
      </c>
      <c r="M20" s="25">
        <f>COUNTIF(Scenario0[winner1-ability4],HighlanderAbilities4Scenario0[[#This Row],[ability]])+COUNTIF(Scenario0[winner2-ability4],HighlanderAbilities4Scenario0[[#This Row],[ability]])</f>
        <v>4</v>
      </c>
      <c r="N20" s="26">
        <f>IF(SUM(HighlanderAbilities4Scenario0[[#This Row],[takes]]) &gt; 0,HighlanderAbilities4Scenario0[[#This Row],[takes]]/SUM(HighlanderAbilities4Scenario0[takes]),0)</f>
        <v>0.8571428571428571</v>
      </c>
      <c r="O20" s="26">
        <f>IF(HighlanderAbilities4Scenario0[[#This Row],[takes]]&gt;0,HighlanderAbilities4Scenario0[[#This Row],[wins]]/HighlanderAbilities4Scenario0[[#This Row],[takes]],0)</f>
        <v>0.66666666666666663</v>
      </c>
      <c r="P20" s="27"/>
      <c r="Q20" s="27"/>
      <c r="R20" s="27"/>
      <c r="S20" s="28"/>
    </row>
    <row r="21" spans="1:20" ht="15.75" thickBot="1" x14ac:dyDescent="0.3"/>
    <row r="22" spans="1:20" ht="15.75" thickBot="1" x14ac:dyDescent="0.3">
      <c r="K22" s="36" t="s">
        <v>183</v>
      </c>
      <c r="L22" s="37"/>
      <c r="M22" s="37"/>
      <c r="N22" s="37"/>
      <c r="O22" s="37"/>
      <c r="P22" s="37"/>
      <c r="Q22" s="37"/>
      <c r="R22" s="37"/>
      <c r="S22" s="38"/>
      <c r="T22" s="29"/>
    </row>
    <row r="23" spans="1:20" x14ac:dyDescent="0.25">
      <c r="K23" s="17" t="s">
        <v>109</v>
      </c>
      <c r="L23" t="s">
        <v>110</v>
      </c>
      <c r="M23" t="s">
        <v>79</v>
      </c>
      <c r="N23" s="3" t="s">
        <v>117</v>
      </c>
      <c r="O23" s="3" t="s">
        <v>118</v>
      </c>
      <c r="Q23" t="s">
        <v>161</v>
      </c>
      <c r="R23" t="s">
        <v>165</v>
      </c>
      <c r="S23" s="18" t="s">
        <v>164</v>
      </c>
    </row>
    <row r="24" spans="1:20" x14ac:dyDescent="0.25">
      <c r="K24" s="17" t="s">
        <v>68</v>
      </c>
      <c r="L24">
        <f>COUNTIF(Scenario1[winner1-ability1],HighlanderAbilities1Scenario1[[#This Row],[ability]])+COUNTIF(Scenario1[winner2-ability1],HighlanderAbilities1Scenario1[[#This Row],[ability]])+COUNTIF(Scenario1[loser1-ability1],HighlanderAbilities1Scenario1[[#This Row],[ability]])+COUNTIF(Scenario1[loser2-ability1],HighlanderAbilities1Scenario1[[#This Row],[ability]])</f>
        <v>80</v>
      </c>
      <c r="M24">
        <f>COUNTIF(Scenario1[winner1-ability1],HighlanderAbilities1Scenario1[[#This Row],[ability]])+COUNTIF(Scenario1[winner2-ability1],HighlanderAbilities1Scenario1[[#This Row],[ability]])</f>
        <v>26</v>
      </c>
      <c r="N24" s="3">
        <f>IF(SUM(HighlanderAbilities1Scenario1[[#This Row],[takes]]) &gt; 0,HighlanderAbilities1Scenario1[[#This Row],[takes]]/SUM(HighlanderAbilities1Scenario1[takes]),0)</f>
        <v>0.47619047619047616</v>
      </c>
      <c r="O24" s="3">
        <f>IF(HighlanderAbilities1Scenario1[[#This Row],[takes]]&gt;0,HighlanderAbilities1Scenario1[[#This Row],[wins]]/HighlanderAbilities1Scenario1[[#This Row],[takes]],0)</f>
        <v>0.32500000000000001</v>
      </c>
      <c r="Q24">
        <v>1</v>
      </c>
      <c r="R24">
        <f>COUNTIFS(Scenario1[winner1],"highlander",Scenario1[winner1-pw],HighlanderEquipScenario1[[#This Row],[level]])+COUNTIFS(Scenario1[winner2],"highlander",Scenario1[winner2-pw],HighlanderEquipScenario1[[#This Row],[level]])+COUNTIFS(Scenario1[loser1],"highlander",Scenario1[loser1-pw],HighlanderEquipScenario1[[#This Row],[level]])+COUNTIFS(Scenario1[loser2],"highlander",Scenario1[loser2-pw],HighlanderEquipScenario1[[#This Row],[level]])</f>
        <v>52</v>
      </c>
      <c r="S24" s="18">
        <f>COUNTIFS(Scenario1[winner1],"highlander",Scenario1[winner1-cp],HighlanderEquipScenario1[[#This Row],[level]])+COUNTIFS(Scenario1[winner2],"highlander",Scenario1[winner2-cp],HighlanderEquipScenario1[[#This Row],[level]])+COUNTIFS(Scenario1[loser1],"highlander",Scenario1[loser1-cp],HighlanderEquipScenario1[[#This Row],[level]])+COUNTIFS(Scenario1[loser2],"highlander",Scenario1[loser2-cp],HighlanderEquipScenario1[[#This Row],[level]])</f>
        <v>128</v>
      </c>
    </row>
    <row r="25" spans="1:20" x14ac:dyDescent="0.25">
      <c r="K25" s="17" t="s">
        <v>120</v>
      </c>
      <c r="L25">
        <f>COUNTIF(Scenario1[winner1-ability1],HighlanderAbilities1Scenario1[[#This Row],[ability]])+COUNTIF(Scenario1[winner2-ability1],HighlanderAbilities1Scenario1[[#This Row],[ability]])+COUNTIF(Scenario1[loser1-ability1],HighlanderAbilities1Scenario1[[#This Row],[ability]])+COUNTIF(Scenario1[loser2-ability1],HighlanderAbilities1Scenario1[[#This Row],[ability]])</f>
        <v>0</v>
      </c>
      <c r="M25">
        <f>COUNTIF(Scenario1[winner1-ability1],HighlanderAbilities1Scenario1[[#This Row],[ability]])+COUNTIF(Scenario1[winner2-ability1],HighlanderAbilities1Scenario1[[#This Row],[ability]])</f>
        <v>0</v>
      </c>
      <c r="N25" s="3">
        <f>IF(SUM(HighlanderAbilities1Scenario1[[#This Row],[takes]]) &gt; 0,HighlanderAbilities1Scenario1[[#This Row],[takes]]/SUM(HighlanderAbilities1Scenario1[takes]),0)</f>
        <v>0</v>
      </c>
      <c r="O25" s="3">
        <f>IF(HighlanderAbilities1Scenario1[[#This Row],[takes]]&gt;0,HighlanderAbilities1Scenario1[[#This Row],[wins]]/HighlanderAbilities1Scenario1[[#This Row],[takes]],0)</f>
        <v>0</v>
      </c>
      <c r="Q25">
        <v>2</v>
      </c>
      <c r="R25">
        <f>COUNTIFS(Scenario1[winner1],"highlander",Scenario1[winner1-pw],HighlanderEquipScenario1[[#This Row],[level]])+COUNTIFS(Scenario1[winner2],"highlander",Scenario1[winner2-pw],HighlanderEquipScenario1[[#This Row],[level]])+COUNTIFS(Scenario1[loser1],"highlander",Scenario1[loser1-pw],HighlanderEquipScenario1[[#This Row],[level]])+COUNTIFS(Scenario1[loser2],"highlander",Scenario1[loser2-pw],HighlanderEquipScenario1[[#This Row],[level]])</f>
        <v>54</v>
      </c>
      <c r="S25" s="18">
        <f>COUNTIFS(Scenario1[winner1],"highlander",Scenario1[winner1-cp],HighlanderEquipScenario1[[#This Row],[level]])+COUNTIFS(Scenario1[winner2],"highlander",Scenario1[winner2-cp],HighlanderEquipScenario1[[#This Row],[level]])+COUNTIFS(Scenario1[loser1],"highlander",Scenario1[loser1-cp],HighlanderEquipScenario1[[#This Row],[level]])+COUNTIFS(Scenario1[loser2],"highlander",Scenario1[loser2-cp],HighlanderEquipScenario1[[#This Row],[level]])</f>
        <v>30</v>
      </c>
    </row>
    <row r="26" spans="1:20" x14ac:dyDescent="0.25">
      <c r="K26" s="17" t="s">
        <v>57</v>
      </c>
      <c r="L26">
        <f>COUNTIF(Scenario1[winner1-ability1],HighlanderAbilities1Scenario1[[#This Row],[ability]])+COUNTIF(Scenario1[winner2-ability1],HighlanderAbilities1Scenario1[[#This Row],[ability]])+COUNTIF(Scenario1[loser1-ability1],HighlanderAbilities1Scenario1[[#This Row],[ability]])+COUNTIF(Scenario1[loser2-ability1],HighlanderAbilities1Scenario1[[#This Row],[ability]])</f>
        <v>88</v>
      </c>
      <c r="M26">
        <f>COUNTIF(Scenario1[winner1-ability1],HighlanderAbilities1Scenario1[[#This Row],[ability]])+COUNTIF(Scenario1[winner2-ability1],HighlanderAbilities1Scenario1[[#This Row],[ability]])</f>
        <v>43</v>
      </c>
      <c r="N26" s="3">
        <f>IF(SUM(HighlanderAbilities1Scenario1[[#This Row],[takes]]) &gt; 0,HighlanderAbilities1Scenario1[[#This Row],[takes]]/SUM(HighlanderAbilities1Scenario1[takes]),0)</f>
        <v>0.52380952380952384</v>
      </c>
      <c r="O26" s="3">
        <f>IF(HighlanderAbilities1Scenario1[[#This Row],[takes]]&gt;0,HighlanderAbilities1Scenario1[[#This Row],[wins]]/HighlanderAbilities1Scenario1[[#This Row],[takes]],0)</f>
        <v>0.48863636363636365</v>
      </c>
      <c r="Q26">
        <v>3</v>
      </c>
      <c r="R26">
        <f>COUNTIFS(Scenario1[winner1],"highlander",Scenario1[winner1-pw],HighlanderEquipScenario1[[#This Row],[level]])+COUNTIFS(Scenario1[winner2],"highlander",Scenario1[winner2-pw],HighlanderEquipScenario1[[#This Row],[level]])+COUNTIFS(Scenario1[loser1],"highlander",Scenario1[loser1-pw],HighlanderEquipScenario1[[#This Row],[level]])+COUNTIFS(Scenario1[loser2],"highlander",Scenario1[loser2-pw],HighlanderEquipScenario1[[#This Row],[level]])</f>
        <v>62</v>
      </c>
      <c r="S26" s="18">
        <f>COUNTIFS(Scenario1[winner1],"highlander",Scenario1[winner1-cp],HighlanderEquipScenario1[[#This Row],[level]])+COUNTIFS(Scenario1[winner2],"highlander",Scenario1[winner2-cp],HighlanderEquipScenario1[[#This Row],[level]])+COUNTIFS(Scenario1[loser1],"highlander",Scenario1[loser1-cp],HighlanderEquipScenario1[[#This Row],[level]])+COUNTIFS(Scenario1[loser2],"highlander",Scenario1[loser2-cp],HighlanderEquipScenario1[[#This Row],[level]])</f>
        <v>10</v>
      </c>
    </row>
    <row r="27" spans="1:20" x14ac:dyDescent="0.25">
      <c r="K27" s="17"/>
      <c r="N27" s="3"/>
      <c r="O27" s="3"/>
      <c r="S27" s="18"/>
    </row>
    <row r="28" spans="1:20" x14ac:dyDescent="0.25">
      <c r="K28" s="19" t="s">
        <v>109</v>
      </c>
      <c r="L28" s="8" t="s">
        <v>110</v>
      </c>
      <c r="M28" s="8" t="s">
        <v>79</v>
      </c>
      <c r="N28" s="9" t="s">
        <v>117</v>
      </c>
      <c r="O28" s="9" t="s">
        <v>118</v>
      </c>
      <c r="S28" s="18"/>
    </row>
    <row r="29" spans="1:20" x14ac:dyDescent="0.25">
      <c r="K29" s="20" t="s">
        <v>69</v>
      </c>
      <c r="L29" s="2">
        <f>COUNTIF(Scenario1[winner1-ability2],HighlanderAbilities2Scenario1[[#This Row],[ability]])+COUNTIF(Scenario1[winner2-ability2],HighlanderAbilities2Scenario1[[#This Row],[ability]])+COUNTIF(Scenario1[loser1-ability2],HighlanderAbilities2Scenario1[[#This Row],[ability]])+COUNTIF(Scenario1[loser2-ability2],HighlanderAbilities2Scenario1[[#This Row],[ability]])</f>
        <v>6</v>
      </c>
      <c r="M29" s="2">
        <f>COUNTIF(Scenario1[winner1-ability2],HighlanderAbilities2Scenario1[[#This Row],[ability]])+COUNTIF(Scenario1[winner2-ability2],HighlanderAbilities2Scenario1[[#This Row],[ability]])</f>
        <v>4</v>
      </c>
      <c r="N29" s="12">
        <f>IF(SUM(HighlanderAbilities2Scenario1[[#This Row],[takes]]) &gt; 0,HighlanderAbilities2Scenario1[[#This Row],[takes]]/SUM(HighlanderAbilities2Scenario1[takes]),0)</f>
        <v>7.3170731707317069E-2</v>
      </c>
      <c r="O29" s="12">
        <f>IF(HighlanderAbilities2Scenario1[[#This Row],[takes]]&gt;0,HighlanderAbilities2Scenario1[[#This Row],[wins]]/HighlanderAbilities2Scenario1[[#This Row],[takes]],0)</f>
        <v>0.66666666666666663</v>
      </c>
      <c r="S29" s="18"/>
    </row>
    <row r="30" spans="1:20" x14ac:dyDescent="0.25">
      <c r="K30" s="17" t="s">
        <v>121</v>
      </c>
      <c r="L30" s="2">
        <f>COUNTIF(Scenario1[winner1-ability2],HighlanderAbilities2Scenario1[[#This Row],[ability]])+COUNTIF(Scenario1[winner2-ability2],HighlanderAbilities2Scenario1[[#This Row],[ability]])+COUNTIF(Scenario1[loser1-ability2],HighlanderAbilities2Scenario1[[#This Row],[ability]])+COUNTIF(Scenario1[loser2-ability2],HighlanderAbilities2Scenario1[[#This Row],[ability]])</f>
        <v>23</v>
      </c>
      <c r="M30" s="2">
        <f>COUNTIF(Scenario1[winner1-ability2],HighlanderAbilities2Scenario1[[#This Row],[ability]])+COUNTIF(Scenario1[winner2-ability2],HighlanderAbilities2Scenario1[[#This Row],[ability]])</f>
        <v>8</v>
      </c>
      <c r="N30" s="3">
        <f>IF(SUM(HighlanderAbilities2Scenario1[[#This Row],[takes]]) &gt; 0,HighlanderAbilities2Scenario1[[#This Row],[takes]]/SUM(HighlanderAbilities2Scenario1[takes]),0)</f>
        <v>0.28048780487804881</v>
      </c>
      <c r="O30" s="3">
        <f>IF(HighlanderAbilities2Scenario1[[#This Row],[takes]]&gt;0,HighlanderAbilities2Scenario1[[#This Row],[wins]]/HighlanderAbilities2Scenario1[[#This Row],[takes]],0)</f>
        <v>0.34782608695652173</v>
      </c>
      <c r="S30" s="18"/>
    </row>
    <row r="31" spans="1:20" x14ac:dyDescent="0.25">
      <c r="K31" s="21" t="s">
        <v>122</v>
      </c>
      <c r="L31" s="2">
        <f>COUNTIF(Scenario1[winner1-ability2],HighlanderAbilities2Scenario1[[#This Row],[ability]])+COUNTIF(Scenario1[winner2-ability2],HighlanderAbilities2Scenario1[[#This Row],[ability]])+COUNTIF(Scenario1[loser1-ability2],HighlanderAbilities2Scenario1[[#This Row],[ability]])+COUNTIF(Scenario1[loser2-ability2],HighlanderAbilities2Scenario1[[#This Row],[ability]])</f>
        <v>53</v>
      </c>
      <c r="M31" s="2">
        <f>COUNTIF(Scenario1[winner1-ability2],HighlanderAbilities2Scenario1[[#This Row],[ability]])+COUNTIF(Scenario1[winner2-ability2],HighlanderAbilities2Scenario1[[#This Row],[ability]])</f>
        <v>28</v>
      </c>
      <c r="N31" s="13">
        <f>IF(SUM(HighlanderAbilities2Scenario1[[#This Row],[takes]]) &gt; 0,HighlanderAbilities2Scenario1[[#This Row],[takes]]/SUM(HighlanderAbilities2Scenario1[takes]),0)</f>
        <v>0.64634146341463417</v>
      </c>
      <c r="O31" s="13">
        <f>IF(HighlanderAbilities2Scenario1[[#This Row],[takes]]&gt;0,HighlanderAbilities2Scenario1[[#This Row],[wins]]/HighlanderAbilities2Scenario1[[#This Row],[takes]],0)</f>
        <v>0.52830188679245282</v>
      </c>
      <c r="S31" s="18"/>
    </row>
    <row r="32" spans="1:20" x14ac:dyDescent="0.25">
      <c r="K32" s="17"/>
      <c r="N32" s="3"/>
      <c r="O32" s="3"/>
      <c r="S32" s="18"/>
    </row>
    <row r="33" spans="11:20" x14ac:dyDescent="0.25">
      <c r="K33" s="19" t="s">
        <v>109</v>
      </c>
      <c r="L33" s="8" t="s">
        <v>110</v>
      </c>
      <c r="M33" s="8" t="s">
        <v>79</v>
      </c>
      <c r="N33" s="9" t="s">
        <v>117</v>
      </c>
      <c r="O33" s="9" t="s">
        <v>118</v>
      </c>
      <c r="S33" s="18"/>
    </row>
    <row r="34" spans="11:20" x14ac:dyDescent="0.25">
      <c r="K34" s="22" t="s">
        <v>123</v>
      </c>
      <c r="L34" s="1">
        <f>COUNTIF(Scenario1[winner1-ability3],HighlanderAbilities3Scenario1[[#This Row],[ability]])+COUNTIF(Scenario1[winner2-ability3],HighlanderAbilities3Scenario1[[#This Row],[ability]])+COUNTIF(Scenario1[loser1-ability3],HighlanderAbilities3Scenario1[[#This Row],[ability]])+COUNTIF(Scenario1[loser2-ability3],HighlanderAbilities3Scenario1[[#This Row],[ability]])</f>
        <v>7</v>
      </c>
      <c r="M34" s="1">
        <f>COUNTIF(Scenario1[winner1-ability3],HighlanderAbilities3Scenario1[[#This Row],[ability]])+COUNTIF(Scenario1[winner2-ability3],HighlanderAbilities3Scenario1[[#This Row],[ability]])</f>
        <v>2</v>
      </c>
      <c r="N34" s="14">
        <f>IF(SUM(HighlanderAbilities3Scenario1[[#This Row],[takes]]) &gt; 0,HighlanderAbilities3Scenario1[[#This Row],[takes]]/SUM(HighlanderAbilities3Scenario1[takes]),0)</f>
        <v>0.2</v>
      </c>
      <c r="O34" s="14">
        <f>IF(HighlanderAbilities3Scenario1[[#This Row],[takes]]&gt;0,HighlanderAbilities3Scenario1[[#This Row],[wins]]/HighlanderAbilities3Scenario1[[#This Row],[takes]],0)</f>
        <v>0.2857142857142857</v>
      </c>
      <c r="S34" s="18"/>
    </row>
    <row r="35" spans="11:20" x14ac:dyDescent="0.25">
      <c r="K35" s="20" t="s">
        <v>87</v>
      </c>
      <c r="L35" s="2">
        <f>COUNTIF(Scenario1[winner1-ability3],HighlanderAbilities3Scenario1[[#This Row],[ability]])+COUNTIF(Scenario1[winner2-ability3],HighlanderAbilities3Scenario1[[#This Row],[ability]])+COUNTIF(Scenario1[loser1-ability3],HighlanderAbilities3Scenario1[[#This Row],[ability]])+COUNTIF(Scenario1[loser2-ability3],HighlanderAbilities3Scenario1[[#This Row],[ability]])</f>
        <v>4</v>
      </c>
      <c r="M35" s="2">
        <f>COUNTIF(Scenario1[winner1-ability3],HighlanderAbilities3Scenario1[[#This Row],[ability]])+COUNTIF(Scenario1[winner2-ability3],HighlanderAbilities3Scenario1[[#This Row],[ability]])</f>
        <v>0</v>
      </c>
      <c r="N35" s="12">
        <f>IF(SUM(HighlanderAbilities3Scenario1[[#This Row],[takes]]) &gt; 0,HighlanderAbilities3Scenario1[[#This Row],[takes]]/SUM(HighlanderAbilities3Scenario1[takes]),0)</f>
        <v>0.11428571428571428</v>
      </c>
      <c r="O35" s="12">
        <f>IF(HighlanderAbilities3Scenario1[[#This Row],[takes]]&gt;0,HighlanderAbilities3Scenario1[[#This Row],[wins]]/HighlanderAbilities3Scenario1[[#This Row],[takes]],0)</f>
        <v>0</v>
      </c>
      <c r="S35" s="18"/>
    </row>
    <row r="36" spans="11:20" x14ac:dyDescent="0.25">
      <c r="K36" s="23" t="s">
        <v>85</v>
      </c>
      <c r="L36" s="1">
        <f>COUNTIF(Scenario1[winner1-ability3],HighlanderAbilities3Scenario1[[#This Row],[ability]])+COUNTIF(Scenario1[winner2-ability3],HighlanderAbilities3Scenario1[[#This Row],[ability]])+COUNTIF(Scenario1[loser1-ability3],HighlanderAbilities3Scenario1[[#This Row],[ability]])+COUNTIF(Scenario1[loser2-ability3],HighlanderAbilities3Scenario1[[#This Row],[ability]])</f>
        <v>24</v>
      </c>
      <c r="M36" s="1">
        <f>COUNTIF(Scenario1[winner1-ability3],HighlanderAbilities3Scenario1[[#This Row],[ability]])+COUNTIF(Scenario1[winner2-ability3],HighlanderAbilities3Scenario1[[#This Row],[ability]])</f>
        <v>14</v>
      </c>
      <c r="N36" s="15">
        <f>IF(SUM(HighlanderAbilities3Scenario1[[#This Row],[takes]]) &gt; 0,HighlanderAbilities3Scenario1[[#This Row],[takes]]/SUM(HighlanderAbilities3Scenario1[takes]),0)</f>
        <v>0.68571428571428572</v>
      </c>
      <c r="O36" s="15">
        <f>IF(HighlanderAbilities3Scenario1[[#This Row],[takes]]&gt;0,HighlanderAbilities3Scenario1[[#This Row],[wins]]/HighlanderAbilities3Scenario1[[#This Row],[takes]],0)</f>
        <v>0.58333333333333337</v>
      </c>
      <c r="S36" s="18"/>
    </row>
    <row r="37" spans="11:20" x14ac:dyDescent="0.25">
      <c r="K37" s="17"/>
      <c r="N37" s="3"/>
      <c r="O37" s="3"/>
      <c r="S37" s="18"/>
    </row>
    <row r="38" spans="11:20" x14ac:dyDescent="0.25">
      <c r="K38" s="19" t="s">
        <v>109</v>
      </c>
      <c r="L38" s="8" t="s">
        <v>110</v>
      </c>
      <c r="M38" s="8" t="s">
        <v>79</v>
      </c>
      <c r="N38" s="9" t="s">
        <v>117</v>
      </c>
      <c r="O38" s="9" t="s">
        <v>118</v>
      </c>
      <c r="S38" s="18"/>
    </row>
    <row r="39" spans="11:20" x14ac:dyDescent="0.25">
      <c r="K39" s="20" t="s">
        <v>88</v>
      </c>
      <c r="L39" s="2">
        <f>COUNTIF(Scenario1[winner1-ability4],HighlanderAbilities4Scenario1[[#This Row],[ability]])+COUNTIF(Scenario1[winner2-ability4],HighlanderAbilities4Scenario1[[#This Row],[ability]])+COUNTIF(Scenario1[loser1-ability4],HighlanderAbilities4Scenario1[[#This Row],[ability]])+COUNTIF(Scenario1[loser2-ability4],HighlanderAbilities4Scenario1[[#This Row],[ability]])</f>
        <v>3</v>
      </c>
      <c r="M39" s="2">
        <f>COUNTIF(Scenario1[winner1-ability4],HighlanderAbilities4Scenario1[[#This Row],[ability]])+COUNTIF(Scenario1[winner2-ability4],HighlanderAbilities4Scenario1[[#This Row],[ability]])</f>
        <v>0</v>
      </c>
      <c r="N39" s="12">
        <f>IF(SUM(HighlanderAbilities4Scenario1[[#This Row],[takes]]) &gt; 0,HighlanderAbilities4Scenario1[[#This Row],[takes]]/SUM(HighlanderAbilities4Scenario1[takes]),0)</f>
        <v>0.375</v>
      </c>
      <c r="O39" s="12">
        <f>IF(HighlanderAbilities4Scenario1[[#This Row],[takes]]&gt;0,HighlanderAbilities4Scenario1[[#This Row],[wins]]/HighlanderAbilities4Scenario1[[#This Row],[takes]],0)</f>
        <v>0</v>
      </c>
      <c r="S39" s="18"/>
    </row>
    <row r="40" spans="11:20" x14ac:dyDescent="0.25">
      <c r="K40" s="20" t="s">
        <v>124</v>
      </c>
      <c r="L40" s="2">
        <f>COUNTIF(Scenario1[winner1-ability4],HighlanderAbilities4Scenario1[[#This Row],[ability]])+COUNTIF(Scenario1[winner2-ability4],HighlanderAbilities4Scenario1[[#This Row],[ability]])+COUNTIF(Scenario1[loser1-ability4],HighlanderAbilities4Scenario1[[#This Row],[ability]])+COUNTIF(Scenario1[loser2-ability4],HighlanderAbilities4Scenario1[[#This Row],[ability]])</f>
        <v>3</v>
      </c>
      <c r="M40" s="2">
        <f>COUNTIF(Scenario1[winner1-ability4],HighlanderAbilities4Scenario1[[#This Row],[ability]])+COUNTIF(Scenario1[winner2-ability4],HighlanderAbilities4Scenario1[[#This Row],[ability]])</f>
        <v>1</v>
      </c>
      <c r="N40" s="12">
        <f>IF(SUM(HighlanderAbilities4Scenario1[[#This Row],[takes]]) &gt; 0,HighlanderAbilities4Scenario1[[#This Row],[takes]]/SUM(HighlanderAbilities4Scenario1[takes]),0)</f>
        <v>0.375</v>
      </c>
      <c r="O40" s="12">
        <f>IF(HighlanderAbilities4Scenario1[[#This Row],[takes]]&gt;0,HighlanderAbilities4Scenario1[[#This Row],[wins]]/HighlanderAbilities4Scenario1[[#This Row],[takes]],0)</f>
        <v>0.33333333333333331</v>
      </c>
      <c r="S40" s="18"/>
    </row>
    <row r="41" spans="11:20" ht="15.75" thickBot="1" x14ac:dyDescent="0.3">
      <c r="K41" s="24" t="s">
        <v>125</v>
      </c>
      <c r="L41" s="25">
        <f>COUNTIF(Scenario1[winner1-ability4],HighlanderAbilities4Scenario1[[#This Row],[ability]])+COUNTIF(Scenario1[winner2-ability4],HighlanderAbilities4Scenario1[[#This Row],[ability]])+COUNTIF(Scenario1[loser1-ability4],HighlanderAbilities4Scenario1[[#This Row],[ability]])+COUNTIF(Scenario1[loser2-ability4],HighlanderAbilities4Scenario1[[#This Row],[ability]])</f>
        <v>2</v>
      </c>
      <c r="M41" s="25">
        <f>COUNTIF(Scenario1[winner1-ability4],HighlanderAbilities4Scenario1[[#This Row],[ability]])+COUNTIF(Scenario1[winner2-ability4],HighlanderAbilities4Scenario1[[#This Row],[ability]])</f>
        <v>0</v>
      </c>
      <c r="N41" s="26">
        <f>IF(SUM(HighlanderAbilities4Scenario1[[#This Row],[takes]]) &gt; 0,HighlanderAbilities4Scenario1[[#This Row],[takes]]/SUM(HighlanderAbilities4Scenario1[takes]),0)</f>
        <v>0.25</v>
      </c>
      <c r="O41" s="26">
        <f>IF(HighlanderAbilities4Scenario1[[#This Row],[takes]]&gt;0,HighlanderAbilities4Scenario1[[#This Row],[wins]]/HighlanderAbilities4Scenario1[[#This Row],[takes]],0)</f>
        <v>0</v>
      </c>
      <c r="P41" s="27"/>
      <c r="Q41" s="27"/>
      <c r="R41" s="27"/>
      <c r="S41" s="28"/>
    </row>
    <row r="42" spans="11:20" ht="15.75" thickBot="1" x14ac:dyDescent="0.3"/>
    <row r="43" spans="11:20" ht="15.75" thickBot="1" x14ac:dyDescent="0.3">
      <c r="K43" s="36" t="s">
        <v>184</v>
      </c>
      <c r="L43" s="37"/>
      <c r="M43" s="37"/>
      <c r="N43" s="37"/>
      <c r="O43" s="37"/>
      <c r="P43" s="37"/>
      <c r="Q43" s="37"/>
      <c r="R43" s="37"/>
      <c r="S43" s="38"/>
      <c r="T43" s="29"/>
    </row>
    <row r="44" spans="11:20" x14ac:dyDescent="0.25">
      <c r="K44" s="17" t="s">
        <v>109</v>
      </c>
      <c r="L44" t="s">
        <v>110</v>
      </c>
      <c r="M44" t="s">
        <v>79</v>
      </c>
      <c r="N44" s="3" t="s">
        <v>117</v>
      </c>
      <c r="O44" s="3" t="s">
        <v>118</v>
      </c>
      <c r="Q44" t="s">
        <v>161</v>
      </c>
      <c r="R44" t="s">
        <v>165</v>
      </c>
      <c r="S44" s="18" t="s">
        <v>164</v>
      </c>
    </row>
    <row r="45" spans="11:20" x14ac:dyDescent="0.25">
      <c r="K45" s="17" t="s">
        <v>68</v>
      </c>
      <c r="L45">
        <f>COUNTIF(Scenario2[winner1-ability1],HighlanderAbilities1Scenario2[[#This Row],[ability]])+COUNTIF(Scenario2[loser1-ability1],HighlanderAbilities1Scenario2[[#This Row],[ability]])</f>
        <v>0</v>
      </c>
      <c r="M45">
        <f>COUNTIF(Scenario2[winner1-ability1],HighlanderAbilities1Scenario2[[#This Row],[ability]])</f>
        <v>0</v>
      </c>
      <c r="N45" s="3">
        <f>IF(SUM(HighlanderAbilities1Scenario2[[#This Row],[takes]]) &gt; 0,HighlanderAbilities1Scenario2[[#This Row],[takes]]/SUM(HighlanderAbilities1Scenario2[takes]),0)</f>
        <v>0</v>
      </c>
      <c r="O45" s="3">
        <f>IF(HighlanderAbilities1Scenario2[[#This Row],[takes]]&gt;0,HighlanderAbilities1Scenario2[[#This Row],[wins]]/HighlanderAbilities1Scenario2[[#This Row],[takes]],0)</f>
        <v>0</v>
      </c>
      <c r="Q45">
        <v>1</v>
      </c>
      <c r="R45">
        <f>COUNTIFS(Scenario2[winner1],"highlander",Scenario2[winner1-pw],HighlanderEquipScenario2[[#This Row],[level]])+COUNTIFS(Scenario2[loser1],"highlander",Scenario2[loser1-pw],HighlanderEquipScenario2[[#This Row],[level]])</f>
        <v>0</v>
      </c>
      <c r="S45" s="18">
        <f>COUNTIFS(Scenario2[winner1],"highlander",Scenario2[winner1-cp],HighlanderEquipScenario2[[#This Row],[level]])+COUNTIFS(Scenario2[loser1],"highlander",Scenario2[loser1-cp],HighlanderEquipScenario2[[#This Row],[level]])</f>
        <v>11</v>
      </c>
    </row>
    <row r="46" spans="11:20" x14ac:dyDescent="0.25">
      <c r="K46" s="17" t="s">
        <v>120</v>
      </c>
      <c r="L46">
        <f>COUNTIF(Scenario2[winner1-ability1],HighlanderAbilities1Scenario2[[#This Row],[ability]])+COUNTIF(Scenario2[loser1-ability1],HighlanderAbilities1Scenario2[[#This Row],[ability]])</f>
        <v>10</v>
      </c>
      <c r="M46">
        <f>COUNTIF(Scenario2[winner1-ability1],HighlanderAbilities1Scenario2[[#This Row],[ability]])</f>
        <v>7</v>
      </c>
      <c r="N46" s="3">
        <f>IF(SUM(HighlanderAbilities1Scenario2[[#This Row],[takes]]) &gt; 0,HighlanderAbilities1Scenario2[[#This Row],[takes]]/SUM(HighlanderAbilities1Scenario2[takes]),0)</f>
        <v>0.625</v>
      </c>
      <c r="O46" s="3">
        <f>IF(HighlanderAbilities1Scenario2[[#This Row],[takes]]&gt;0,HighlanderAbilities1Scenario2[[#This Row],[wins]]/HighlanderAbilities1Scenario2[[#This Row],[takes]],0)</f>
        <v>0.7</v>
      </c>
      <c r="Q46">
        <v>2</v>
      </c>
      <c r="R46">
        <f>COUNTIFS(Scenario2[winner1],"highlander",Scenario2[winner1-pw],HighlanderEquipScenario2[[#This Row],[level]])+COUNTIFS(Scenario2[loser1],"highlander",Scenario2[loser1-pw],HighlanderEquipScenario2[[#This Row],[level]])</f>
        <v>8</v>
      </c>
      <c r="S46" s="18">
        <f>COUNTIFS(Scenario2[winner1],"highlander",Scenario2[winner1-cp],HighlanderEquipScenario2[[#This Row],[level]])+COUNTIFS(Scenario2[loser1],"highlander",Scenario2[loser1-cp],HighlanderEquipScenario2[[#This Row],[level]])</f>
        <v>3</v>
      </c>
    </row>
    <row r="47" spans="11:20" x14ac:dyDescent="0.25">
      <c r="K47" s="17" t="s">
        <v>57</v>
      </c>
      <c r="L47">
        <f>COUNTIF(Scenario2[winner1-ability1],HighlanderAbilities1Scenario2[[#This Row],[ability]])+COUNTIF(Scenario2[loser1-ability1],HighlanderAbilities1Scenario2[[#This Row],[ability]])</f>
        <v>6</v>
      </c>
      <c r="M47">
        <f>COUNTIF(Scenario2[winner1-ability1],HighlanderAbilities1Scenario2[[#This Row],[ability]])</f>
        <v>4</v>
      </c>
      <c r="N47" s="3">
        <f>IF(SUM(HighlanderAbilities1Scenario2[[#This Row],[takes]]) &gt; 0,HighlanderAbilities1Scenario2[[#This Row],[takes]]/SUM(HighlanderAbilities1Scenario2[takes]),0)</f>
        <v>0.375</v>
      </c>
      <c r="O47" s="3">
        <f>IF(HighlanderAbilities1Scenario2[[#This Row],[takes]]&gt;0,HighlanderAbilities1Scenario2[[#This Row],[wins]]/HighlanderAbilities1Scenario2[[#This Row],[takes]],0)</f>
        <v>0.66666666666666663</v>
      </c>
      <c r="Q47">
        <v>3</v>
      </c>
      <c r="R47">
        <f>COUNTIFS(Scenario2[winner1],"highlander",Scenario2[winner1-pw],HighlanderEquipScenario2[[#This Row],[level]])+COUNTIFS(Scenario2[loser1],"highlander",Scenario2[loser1-pw],HighlanderEquipScenario2[[#This Row],[level]])</f>
        <v>8</v>
      </c>
      <c r="S47" s="18">
        <f>COUNTIFS(Scenario2[winner1],"highlander",Scenario2[winner1-cp],HighlanderEquipScenario2[[#This Row],[level]])+COUNTIFS(Scenario2[loser1],"highlander",Scenario2[loser1-cp],HighlanderEquipScenario2[[#This Row],[level]])</f>
        <v>2</v>
      </c>
    </row>
    <row r="48" spans="11:20" x14ac:dyDescent="0.25">
      <c r="K48" s="17"/>
      <c r="N48" s="3"/>
      <c r="O48" s="3"/>
      <c r="S48" s="18"/>
    </row>
    <row r="49" spans="11:19" x14ac:dyDescent="0.25">
      <c r="K49" s="19" t="s">
        <v>109</v>
      </c>
      <c r="L49" s="8" t="s">
        <v>110</v>
      </c>
      <c r="M49" s="8" t="s">
        <v>79</v>
      </c>
      <c r="N49" s="9" t="s">
        <v>117</v>
      </c>
      <c r="O49" s="9" t="s">
        <v>118</v>
      </c>
      <c r="S49" s="18"/>
    </row>
    <row r="50" spans="11:19" x14ac:dyDescent="0.25">
      <c r="K50" s="20" t="s">
        <v>69</v>
      </c>
      <c r="L50" s="2">
        <f>COUNTIF(Scenario2[winner1-ability2],HighlanderAbilities2Scenario2[[#This Row],[ability]])+COUNTIF(Scenario2[loser1-ability2],HighlanderAbilities2Scenario2[[#This Row],[ability]])</f>
        <v>1</v>
      </c>
      <c r="M50" s="2">
        <f>COUNTIF(Scenario2[winner1-ability2],HighlanderAbilities2Scenario2[[#This Row],[ability]])</f>
        <v>1</v>
      </c>
      <c r="N50" s="12">
        <f>IF(SUM(HighlanderAbilities2Scenario2[[#This Row],[takes]]) &gt; 0,HighlanderAbilities2Scenario2[[#This Row],[takes]]/SUM(HighlanderAbilities2Scenario2[takes]),0)</f>
        <v>6.25E-2</v>
      </c>
      <c r="O50" s="12">
        <f>IF(HighlanderAbilities2Scenario2[[#This Row],[takes]]&gt;0,HighlanderAbilities2Scenario2[[#This Row],[wins]]/HighlanderAbilities2Scenario2[[#This Row],[takes]],0)</f>
        <v>1</v>
      </c>
      <c r="S50" s="18"/>
    </row>
    <row r="51" spans="11:19" x14ac:dyDescent="0.25">
      <c r="K51" s="17" t="s">
        <v>121</v>
      </c>
      <c r="L51" s="2">
        <f>COUNTIF(Scenario2[winner1-ability2],HighlanderAbilities2Scenario2[[#This Row],[ability]])+COUNTIF(Scenario2[loser1-ability2],HighlanderAbilities2Scenario2[[#This Row],[ability]])</f>
        <v>2</v>
      </c>
      <c r="M51" s="2">
        <f>COUNTIF(Scenario2[winner1-ability2],HighlanderAbilities2Scenario2[[#This Row],[ability]])</f>
        <v>1</v>
      </c>
      <c r="N51" s="3">
        <f>IF(SUM(HighlanderAbilities2Scenario2[[#This Row],[takes]]) &gt; 0,HighlanderAbilities2Scenario2[[#This Row],[takes]]/SUM(HighlanderAbilities2Scenario2[takes]),0)</f>
        <v>0.125</v>
      </c>
      <c r="O51" s="3">
        <f>IF(HighlanderAbilities2Scenario2[[#This Row],[takes]]&gt;0,HighlanderAbilities2Scenario2[[#This Row],[wins]]/HighlanderAbilities2Scenario2[[#This Row],[takes]],0)</f>
        <v>0.5</v>
      </c>
      <c r="S51" s="18"/>
    </row>
    <row r="52" spans="11:19" x14ac:dyDescent="0.25">
      <c r="K52" s="21" t="s">
        <v>122</v>
      </c>
      <c r="L52" s="2">
        <f>COUNTIF(Scenario2[winner1-ability2],HighlanderAbilities2Scenario2[[#This Row],[ability]])+COUNTIF(Scenario2[loser1-ability2],HighlanderAbilities2Scenario2[[#This Row],[ability]])</f>
        <v>13</v>
      </c>
      <c r="M52" s="2">
        <f>COUNTIF(Scenario2[winner1-ability2],HighlanderAbilities2Scenario2[[#This Row],[ability]])</f>
        <v>9</v>
      </c>
      <c r="N52" s="13">
        <f>IF(SUM(HighlanderAbilities2Scenario2[[#This Row],[takes]]) &gt; 0,HighlanderAbilities2Scenario2[[#This Row],[takes]]/SUM(HighlanderAbilities2Scenario2[takes]),0)</f>
        <v>0.8125</v>
      </c>
      <c r="O52" s="13">
        <f>IF(HighlanderAbilities2Scenario2[[#This Row],[takes]]&gt;0,HighlanderAbilities2Scenario2[[#This Row],[wins]]/HighlanderAbilities2Scenario2[[#This Row],[takes]],0)</f>
        <v>0.69230769230769229</v>
      </c>
      <c r="S52" s="18"/>
    </row>
    <row r="53" spans="11:19" x14ac:dyDescent="0.25">
      <c r="K53" s="17"/>
      <c r="N53" s="3"/>
      <c r="O53" s="3"/>
      <c r="S53" s="18"/>
    </row>
    <row r="54" spans="11:19" x14ac:dyDescent="0.25">
      <c r="K54" s="19" t="s">
        <v>109</v>
      </c>
      <c r="L54" s="8" t="s">
        <v>110</v>
      </c>
      <c r="M54" s="8" t="s">
        <v>79</v>
      </c>
      <c r="N54" s="9" t="s">
        <v>117</v>
      </c>
      <c r="O54" s="9" t="s">
        <v>118</v>
      </c>
      <c r="S54" s="18"/>
    </row>
    <row r="55" spans="11:19" x14ac:dyDescent="0.25">
      <c r="K55" s="22" t="s">
        <v>123</v>
      </c>
      <c r="L55" s="1">
        <f>COUNTIF(Scenario2[winner1-ability3],HighlanderAbilities3Scenario2[[#This Row],[ability]])+COUNTIF(Scenario2[loser1-ability3],HighlanderAbilities3Scenario2[[#This Row],[ability]])</f>
        <v>1</v>
      </c>
      <c r="M55" s="1">
        <f>COUNTIF(Scenario2[winner1-ability3],HighlanderAbilities3Scenario2[[#This Row],[ability]])</f>
        <v>0</v>
      </c>
      <c r="N55" s="14">
        <f>IF(SUM(HighlanderAbilities3Scenario2[[#This Row],[takes]]) &gt; 0,HighlanderAbilities3Scenario2[[#This Row],[takes]]/SUM(HighlanderAbilities3Scenario2[takes]),0)</f>
        <v>0.125</v>
      </c>
      <c r="O55" s="14">
        <f>IF(HighlanderAbilities3Scenario2[[#This Row],[takes]]&gt;0,HighlanderAbilities3Scenario2[[#This Row],[wins]]/HighlanderAbilities3Scenario2[[#This Row],[takes]],0)</f>
        <v>0</v>
      </c>
      <c r="S55" s="18"/>
    </row>
    <row r="56" spans="11:19" x14ac:dyDescent="0.25">
      <c r="K56" s="20" t="s">
        <v>87</v>
      </c>
      <c r="L56" s="2">
        <f>COUNTIF(Scenario2[winner1-ability3],HighlanderAbilities3Scenario2[[#This Row],[ability]])+COUNTIF(Scenario2[loser1-ability3],HighlanderAbilities3Scenario2[[#This Row],[ability]])</f>
        <v>4</v>
      </c>
      <c r="M56" s="2">
        <f>COUNTIF(Scenario2[winner1-ability3],HighlanderAbilities3Scenario2[[#This Row],[ability]])</f>
        <v>3</v>
      </c>
      <c r="N56" s="12">
        <f>IF(SUM(HighlanderAbilities3Scenario2[[#This Row],[takes]]) &gt; 0,HighlanderAbilities3Scenario2[[#This Row],[takes]]/SUM(HighlanderAbilities3Scenario2[takes]),0)</f>
        <v>0.5</v>
      </c>
      <c r="O56" s="12">
        <f>IF(HighlanderAbilities3Scenario2[[#This Row],[takes]]&gt;0,HighlanderAbilities3Scenario2[[#This Row],[wins]]/HighlanderAbilities3Scenario2[[#This Row],[takes]],0)</f>
        <v>0.75</v>
      </c>
      <c r="S56" s="18"/>
    </row>
    <row r="57" spans="11:19" x14ac:dyDescent="0.25">
      <c r="K57" s="23" t="s">
        <v>85</v>
      </c>
      <c r="L57" s="1">
        <f>COUNTIF(Scenario2[winner1-ability3],HighlanderAbilities3Scenario2[[#This Row],[ability]])+COUNTIF(Scenario2[loser1-ability3],HighlanderAbilities3Scenario2[[#This Row],[ability]])</f>
        <v>3</v>
      </c>
      <c r="M57" s="1">
        <f>COUNTIF(Scenario2[winner1-ability3],HighlanderAbilities3Scenario2[[#This Row],[ability]])</f>
        <v>1</v>
      </c>
      <c r="N57" s="15">
        <f>IF(SUM(HighlanderAbilities3Scenario2[[#This Row],[takes]]) &gt; 0,HighlanderAbilities3Scenario2[[#This Row],[takes]]/SUM(HighlanderAbilities3Scenario2[takes]),0)</f>
        <v>0.375</v>
      </c>
      <c r="O57" s="15">
        <f>IF(HighlanderAbilities3Scenario2[[#This Row],[takes]]&gt;0,HighlanderAbilities3Scenario2[[#This Row],[wins]]/HighlanderAbilities3Scenario2[[#This Row],[takes]],0)</f>
        <v>0.33333333333333331</v>
      </c>
      <c r="S57" s="18"/>
    </row>
    <row r="58" spans="11:19" x14ac:dyDescent="0.25">
      <c r="K58" s="17"/>
      <c r="N58" s="3"/>
      <c r="O58" s="3"/>
      <c r="S58" s="18"/>
    </row>
    <row r="59" spans="11:19" x14ac:dyDescent="0.25">
      <c r="K59" s="19" t="s">
        <v>109</v>
      </c>
      <c r="L59" s="8" t="s">
        <v>110</v>
      </c>
      <c r="M59" s="8" t="s">
        <v>79</v>
      </c>
      <c r="N59" s="9" t="s">
        <v>117</v>
      </c>
      <c r="O59" s="9" t="s">
        <v>118</v>
      </c>
      <c r="S59" s="18"/>
    </row>
    <row r="60" spans="11:19" x14ac:dyDescent="0.25">
      <c r="K60" s="20" t="s">
        <v>88</v>
      </c>
      <c r="L60" s="2">
        <f>COUNTIF(Scenario2[winner1-ability4],HighlanderAbilities4Scenario2[[#This Row],[ability]])+COUNTIF(Scenario2[loser1-ability4],HighlanderAbilities4Scenario2[[#This Row],[ability]])</f>
        <v>1</v>
      </c>
      <c r="M60" s="2">
        <f>COUNTIF(Scenario2[winner1-ability4],HighlanderAbilities4Scenario2[[#This Row],[ability]])</f>
        <v>0</v>
      </c>
      <c r="N60" s="12">
        <f>IF(SUM(HighlanderAbilities4Scenario2[[#This Row],[takes]]) &gt; 0,HighlanderAbilities4Scenario2[[#This Row],[takes]]/SUM(HighlanderAbilities4Scenario2[takes]),0)</f>
        <v>0.5</v>
      </c>
      <c r="O60" s="12">
        <f>IF(HighlanderAbilities4Scenario2[[#This Row],[takes]]&gt;0,HighlanderAbilities4Scenario2[[#This Row],[wins]]/HighlanderAbilities4Scenario2[[#This Row],[takes]],0)</f>
        <v>0</v>
      </c>
      <c r="S60" s="18"/>
    </row>
    <row r="61" spans="11:19" x14ac:dyDescent="0.25">
      <c r="K61" s="20" t="s">
        <v>124</v>
      </c>
      <c r="L61" s="2">
        <f>COUNTIF(Scenario2[winner1-ability4],HighlanderAbilities4Scenario2[[#This Row],[ability]])+COUNTIF(Scenario2[loser1-ability4],HighlanderAbilities4Scenario2[[#This Row],[ability]])</f>
        <v>0</v>
      </c>
      <c r="M61" s="2">
        <f>COUNTIF(Scenario2[winner1-ability4],HighlanderAbilities4Scenario2[[#This Row],[ability]])</f>
        <v>0</v>
      </c>
      <c r="N61" s="12">
        <f>IF(SUM(HighlanderAbilities4Scenario2[[#This Row],[takes]]) &gt; 0,HighlanderAbilities4Scenario2[[#This Row],[takes]]/SUM(HighlanderAbilities4Scenario2[takes]),0)</f>
        <v>0</v>
      </c>
      <c r="O61" s="12">
        <f>IF(HighlanderAbilities4Scenario2[[#This Row],[takes]]&gt;0,HighlanderAbilities4Scenario2[[#This Row],[wins]]/HighlanderAbilities4Scenario2[[#This Row],[takes]],0)</f>
        <v>0</v>
      </c>
      <c r="S61" s="18"/>
    </row>
    <row r="62" spans="11:19" ht="15.75" thickBot="1" x14ac:dyDescent="0.3">
      <c r="K62" s="24" t="s">
        <v>125</v>
      </c>
      <c r="L62" s="25">
        <f>COUNTIF(Scenario2[winner1-ability4],HighlanderAbilities4Scenario2[[#This Row],[ability]])+COUNTIF(Scenario2[loser1-ability4],HighlanderAbilities4Scenario2[[#This Row],[ability]])</f>
        <v>1</v>
      </c>
      <c r="M62" s="25">
        <f>COUNTIF(Scenario2[winner1-ability4],HighlanderAbilities4Scenario2[[#This Row],[ability]])</f>
        <v>0</v>
      </c>
      <c r="N62" s="26">
        <f>IF(SUM(HighlanderAbilities4Scenario2[[#This Row],[takes]]) &gt; 0,HighlanderAbilities4Scenario2[[#This Row],[takes]]/SUM(HighlanderAbilities4Scenario2[takes]),0)</f>
        <v>0.5</v>
      </c>
      <c r="O62" s="26">
        <f>IF(HighlanderAbilities4Scenario2[[#This Row],[takes]]&gt;0,HighlanderAbilities4Scenario2[[#This Row],[wins]]/HighlanderAbilities4Scenario2[[#This Row],[takes]],0)</f>
        <v>0</v>
      </c>
      <c r="P62" s="27"/>
      <c r="Q62" s="27"/>
      <c r="R62" s="27"/>
      <c r="S62" s="28"/>
    </row>
    <row r="63" spans="11:19" ht="15.75" thickBot="1" x14ac:dyDescent="0.3"/>
    <row r="64" spans="11:19" ht="15.75" thickBot="1" x14ac:dyDescent="0.3">
      <c r="K64" s="36" t="s">
        <v>209</v>
      </c>
      <c r="L64" s="37"/>
      <c r="M64" s="37"/>
      <c r="N64" s="37"/>
      <c r="O64" s="37"/>
      <c r="P64" s="37"/>
      <c r="Q64" s="37"/>
      <c r="R64" s="37"/>
      <c r="S64" s="38"/>
    </row>
    <row r="65" spans="11:19" x14ac:dyDescent="0.25">
      <c r="K65" s="17" t="s">
        <v>109</v>
      </c>
      <c r="L65" t="s">
        <v>110</v>
      </c>
      <c r="M65" t="s">
        <v>79</v>
      </c>
      <c r="N65" s="3" t="s">
        <v>117</v>
      </c>
      <c r="O65" s="3" t="s">
        <v>118</v>
      </c>
      <c r="Q65" t="s">
        <v>161</v>
      </c>
      <c r="R65" t="s">
        <v>165</v>
      </c>
      <c r="S65" s="18" t="s">
        <v>164</v>
      </c>
    </row>
    <row r="66" spans="11:19" x14ac:dyDescent="0.25">
      <c r="K66" s="17" t="s">
        <v>68</v>
      </c>
      <c r="L66">
        <f>COUNTIF(Scenario3[winner1-ability1],HighlanderAbilities1Scenario3[[#This Row],[ability]])+COUNTIF(Scenario3[loser1-ability1],HighlanderAbilities1Scenario3[[#This Row],[ability]])+COUNTIF(Scenario3[loser2-ability1],HighlanderAbilities1Scenario3[[#This Row],[ability]])</f>
        <v>1</v>
      </c>
      <c r="M66">
        <f>COUNTIF(Scenario3[winner1-ability1],HighlanderAbilities1Scenario3[[#This Row],[ability]])</f>
        <v>1</v>
      </c>
      <c r="N66" s="3">
        <f>IF(SUM(HighlanderAbilities1Scenario3[[#This Row],[takes]]) &gt; 0,HighlanderAbilities1Scenario3[[#This Row],[takes]]/SUM(HighlanderAbilities1Scenario3[takes]),0)</f>
        <v>3.5714285714285712E-2</v>
      </c>
      <c r="O66" s="3">
        <f>IF(HighlanderAbilities1Scenario3[[#This Row],[takes]]&gt;0,HighlanderAbilities1Scenario3[[#This Row],[wins]]/HighlanderAbilities1Scenario3[[#This Row],[takes]],0)</f>
        <v>1</v>
      </c>
      <c r="Q66">
        <v>1</v>
      </c>
      <c r="R66">
        <f>COUNTIFS(Scenario3[winner1],"highlander",Scenario3[winner1-pw],HighlanderEquipScenario3[[#This Row],[level]])+COUNTIFS(Scenario3[loser1],"highlander",Scenario3[loser1-pw],HighlanderEquipScenario3[[#This Row],[level]])+COUNTIFS(Scenario3[loser2],"highlander",Scenario3[loser2-pw],HighlanderEquipScenario3[[#This Row],[level]])</f>
        <v>1</v>
      </c>
      <c r="S66" s="18">
        <f>COUNTIFS(Scenario3[winner1],"highlander",Scenario3[winner1-cp],HighlanderEquipScenario3[[#This Row],[level]])+COUNTIFS(Scenario3[loser1],"highlander",Scenario3[loser1-cp],HighlanderEquipScenario3[[#This Row],[level]])+COUNTIFS(Scenario3[loser2],"highlander",Scenario3[loser2-cp],HighlanderEquipScenario3[[#This Row],[level]])</f>
        <v>4</v>
      </c>
    </row>
    <row r="67" spans="11:19" x14ac:dyDescent="0.25">
      <c r="K67" s="17" t="s">
        <v>120</v>
      </c>
      <c r="L67">
        <f>COUNTIF(Scenario3[winner1-ability1],HighlanderAbilities1Scenario3[[#This Row],[ability]])+COUNTIF(Scenario3[loser1-ability1],HighlanderAbilities1Scenario3[[#This Row],[ability]])+COUNTIF(Scenario3[loser2-ability1],HighlanderAbilities1Scenario3[[#This Row],[ability]])</f>
        <v>21</v>
      </c>
      <c r="M67">
        <f>COUNTIF(Scenario3[winner1-ability1],HighlanderAbilities1Scenario3[[#This Row],[ability]])</f>
        <v>9</v>
      </c>
      <c r="N67" s="3">
        <f>IF(SUM(HighlanderAbilities1Scenario3[[#This Row],[takes]]) &gt; 0,HighlanderAbilities1Scenario3[[#This Row],[takes]]/SUM(HighlanderAbilities1Scenario3[takes]),0)</f>
        <v>0.75</v>
      </c>
      <c r="O67" s="3">
        <f>IF(HighlanderAbilities1Scenario3[[#This Row],[takes]]&gt;0,HighlanderAbilities1Scenario3[[#This Row],[wins]]/HighlanderAbilities1Scenario3[[#This Row],[takes]],0)</f>
        <v>0.42857142857142855</v>
      </c>
      <c r="Q67">
        <v>2</v>
      </c>
      <c r="R67">
        <f>COUNTIFS(Scenario3[winner1],"highlander",Scenario3[winner1-pw],HighlanderEquipScenario3[[#This Row],[level]])+COUNTIFS(Scenario3[loser1],"highlander",Scenario3[loser1-pw],HighlanderEquipScenario3[[#This Row],[level]])+COUNTIFS(Scenario3[loser2],"highlander",Scenario3[loser2-pw],HighlanderEquipScenario3[[#This Row],[level]])</f>
        <v>4</v>
      </c>
      <c r="S67" s="18">
        <f>COUNTIFS(Scenario3[winner1],"highlander",Scenario3[winner1-cp],HighlanderEquipScenario3[[#This Row],[level]])+COUNTIFS(Scenario3[loser1],"highlander",Scenario3[loser1-cp],HighlanderEquipScenario3[[#This Row],[level]])+COUNTIFS(Scenario3[loser2],"highlander",Scenario3[loser2-cp],HighlanderEquipScenario3[[#This Row],[level]])</f>
        <v>5</v>
      </c>
    </row>
    <row r="68" spans="11:19" x14ac:dyDescent="0.25">
      <c r="K68" s="17" t="s">
        <v>57</v>
      </c>
      <c r="L68">
        <f>COUNTIF(Scenario3[winner1-ability1],HighlanderAbilities1Scenario3[[#This Row],[ability]])+COUNTIF(Scenario3[loser1-ability1],HighlanderAbilities1Scenario3[[#This Row],[ability]])+COUNTIF(Scenario3[loser2-ability1],HighlanderAbilities1Scenario3[[#This Row],[ability]])</f>
        <v>6</v>
      </c>
      <c r="M68">
        <f>COUNTIF(Scenario3[winner1-ability1],HighlanderAbilities1Scenario3[[#This Row],[ability]])</f>
        <v>4</v>
      </c>
      <c r="N68" s="3">
        <f>IF(SUM(HighlanderAbilities1Scenario3[[#This Row],[takes]]) &gt; 0,HighlanderAbilities1Scenario3[[#This Row],[takes]]/SUM(HighlanderAbilities1Scenario3[takes]),0)</f>
        <v>0.21428571428571427</v>
      </c>
      <c r="O68" s="3">
        <f>IF(HighlanderAbilities1Scenario3[[#This Row],[takes]]&gt;0,HighlanderAbilities1Scenario3[[#This Row],[wins]]/HighlanderAbilities1Scenario3[[#This Row],[takes]],0)</f>
        <v>0.66666666666666663</v>
      </c>
      <c r="Q68">
        <v>3</v>
      </c>
      <c r="R68">
        <f>COUNTIFS(Scenario3[winner1],"highlander",Scenario3[winner1-pw],HighlanderEquipScenario3[[#This Row],[level]])+COUNTIFS(Scenario3[loser1],"highlander",Scenario3[loser1-pw],HighlanderEquipScenario3[[#This Row],[level]])+COUNTIFS(Scenario3[loser2],"highlander",Scenario3[loser2-pw],HighlanderEquipScenario3[[#This Row],[level]])</f>
        <v>23</v>
      </c>
      <c r="S68" s="18">
        <f>COUNTIFS(Scenario3[winner1],"highlander",Scenario3[winner1-cp],HighlanderEquipScenario3[[#This Row],[level]])+COUNTIFS(Scenario3[loser1],"highlander",Scenario3[loser1-cp],HighlanderEquipScenario3[[#This Row],[level]])+COUNTIFS(Scenario3[loser2],"highlander",Scenario3[loser2-cp],HighlanderEquipScenario3[[#This Row],[level]])</f>
        <v>19</v>
      </c>
    </row>
    <row r="69" spans="11:19" x14ac:dyDescent="0.25">
      <c r="K69" s="17"/>
      <c r="N69" s="3"/>
      <c r="O69" s="3"/>
      <c r="S69" s="18"/>
    </row>
    <row r="70" spans="11:19" x14ac:dyDescent="0.25">
      <c r="K70" s="19" t="s">
        <v>109</v>
      </c>
      <c r="L70" s="8" t="s">
        <v>110</v>
      </c>
      <c r="M70" s="8" t="s">
        <v>79</v>
      </c>
      <c r="N70" s="9" t="s">
        <v>117</v>
      </c>
      <c r="O70" s="9" t="s">
        <v>118</v>
      </c>
      <c r="S70" s="18"/>
    </row>
    <row r="71" spans="11:19" x14ac:dyDescent="0.25">
      <c r="K71" s="20" t="s">
        <v>69</v>
      </c>
      <c r="L71" s="2">
        <f>COUNTIF(Scenario3[winner1-ability2],HighlanderAbilities2Scenario3[[#This Row],[ability]])+COUNTIF(Scenario3[loser1-ability2],HighlanderAbilities2Scenario3[[#This Row],[ability]])+COUNTIF(Scenario3[loser2-ability2],HighlanderAbilities2Scenario3[[#This Row],[ability]])</f>
        <v>18</v>
      </c>
      <c r="M71" s="2">
        <f>COUNTIF(Scenario3[winner1-ability2],HighlanderAbilities2Scenario3[[#This Row],[ability]])</f>
        <v>9</v>
      </c>
      <c r="N71" s="12">
        <f>IF(SUM(HighlanderAbilities2Scenario3[[#This Row],[takes]]) &gt; 0,HighlanderAbilities2Scenario3[[#This Row],[takes]]/SUM(HighlanderAbilities2Scenario3[takes]),0)</f>
        <v>0.69230769230769229</v>
      </c>
      <c r="O71" s="12">
        <f>IF(HighlanderAbilities2Scenario3[[#This Row],[takes]]&gt;0,HighlanderAbilities2Scenario3[[#This Row],[wins]]/HighlanderAbilities2Scenario3[[#This Row],[takes]],0)</f>
        <v>0.5</v>
      </c>
      <c r="S71" s="18"/>
    </row>
    <row r="72" spans="11:19" x14ac:dyDescent="0.25">
      <c r="K72" s="17" t="s">
        <v>121</v>
      </c>
      <c r="L72" s="2">
        <f>COUNTIF(Scenario3[winner1-ability2],HighlanderAbilities2Scenario3[[#This Row],[ability]])+COUNTIF(Scenario3[loser1-ability2],HighlanderAbilities2Scenario3[[#This Row],[ability]])+COUNTIF(Scenario3[loser2-ability2],HighlanderAbilities2Scenario3[[#This Row],[ability]])</f>
        <v>1</v>
      </c>
      <c r="M72" s="2">
        <f>COUNTIF(Scenario3[winner1-ability2],HighlanderAbilities2Scenario3[[#This Row],[ability]])</f>
        <v>0</v>
      </c>
      <c r="N72" s="3">
        <f>IF(SUM(HighlanderAbilities2Scenario3[[#This Row],[takes]]) &gt; 0,HighlanderAbilities2Scenario3[[#This Row],[takes]]/SUM(HighlanderAbilities2Scenario3[takes]),0)</f>
        <v>3.8461538461538464E-2</v>
      </c>
      <c r="O72" s="3">
        <f>IF(HighlanderAbilities2Scenario3[[#This Row],[takes]]&gt;0,HighlanderAbilities2Scenario3[[#This Row],[wins]]/HighlanderAbilities2Scenario3[[#This Row],[takes]],0)</f>
        <v>0</v>
      </c>
      <c r="S72" s="18"/>
    </row>
    <row r="73" spans="11:19" x14ac:dyDescent="0.25">
      <c r="K73" s="21" t="s">
        <v>122</v>
      </c>
      <c r="L73" s="2">
        <f>COUNTIF(Scenario3[winner1-ability2],HighlanderAbilities2Scenario3[[#This Row],[ability]])+COUNTIF(Scenario3[loser1-ability2],HighlanderAbilities2Scenario3[[#This Row],[ability]])+COUNTIF(Scenario3[loser2-ability2],HighlanderAbilities2Scenario3[[#This Row],[ability]])</f>
        <v>7</v>
      </c>
      <c r="M73" s="2">
        <f>COUNTIF(Scenario3[winner1-ability2],HighlanderAbilities2Scenario3[[#This Row],[ability]])</f>
        <v>4</v>
      </c>
      <c r="N73" s="13">
        <f>IF(SUM(HighlanderAbilities2Scenario3[[#This Row],[takes]]) &gt; 0,HighlanderAbilities2Scenario3[[#This Row],[takes]]/SUM(HighlanderAbilities2Scenario3[takes]),0)</f>
        <v>0.26923076923076922</v>
      </c>
      <c r="O73" s="13">
        <f>IF(HighlanderAbilities2Scenario3[[#This Row],[takes]]&gt;0,HighlanderAbilities2Scenario3[[#This Row],[wins]]/HighlanderAbilities2Scenario3[[#This Row],[takes]],0)</f>
        <v>0.5714285714285714</v>
      </c>
      <c r="S73" s="18"/>
    </row>
    <row r="74" spans="11:19" x14ac:dyDescent="0.25">
      <c r="K74" s="17"/>
      <c r="N74" s="3"/>
      <c r="O74" s="3"/>
      <c r="S74" s="18"/>
    </row>
    <row r="75" spans="11:19" x14ac:dyDescent="0.25">
      <c r="K75" s="19" t="s">
        <v>109</v>
      </c>
      <c r="L75" s="8" t="s">
        <v>110</v>
      </c>
      <c r="M75" s="8" t="s">
        <v>79</v>
      </c>
      <c r="N75" s="9" t="s">
        <v>117</v>
      </c>
      <c r="O75" s="9" t="s">
        <v>118</v>
      </c>
      <c r="S75" s="18"/>
    </row>
    <row r="76" spans="11:19" x14ac:dyDescent="0.25">
      <c r="K76" s="22" t="s">
        <v>123</v>
      </c>
      <c r="L76" s="1">
        <f>COUNTIF(Scenario3[winner1-ability3],HighlanderAbilities3Scenario3[[#This Row],[ability]])+COUNTIF(Scenario3[loser1-ability3],HighlanderAbilities3Scenario3[[#This Row],[ability]])+COUNTIF(Scenario3[loser2-ability3],HighlanderAbilities3Scenario3[[#This Row],[ability]])</f>
        <v>1</v>
      </c>
      <c r="M76" s="1">
        <f>COUNTIF(Scenario3[winner1-ability3],HighlanderAbilities3Scenario3[[#This Row],[ability]])</f>
        <v>0</v>
      </c>
      <c r="N76" s="14">
        <f>IF(SUM(HighlanderAbilities3Scenario3[[#This Row],[takes]]) &gt; 0,HighlanderAbilities3Scenario3[[#This Row],[takes]]/SUM(HighlanderAbilities3Scenario3[takes]),0)</f>
        <v>0.04</v>
      </c>
      <c r="O76" s="14">
        <f>IF(HighlanderAbilities3Scenario3[[#This Row],[takes]]&gt;0,HighlanderAbilities3Scenario3[[#This Row],[wins]]/HighlanderAbilities3Scenario3[[#This Row],[takes]],0)</f>
        <v>0</v>
      </c>
      <c r="S76" s="18"/>
    </row>
    <row r="77" spans="11:19" x14ac:dyDescent="0.25">
      <c r="K77" s="20" t="s">
        <v>87</v>
      </c>
      <c r="L77" s="2">
        <f>COUNTIF(Scenario3[winner1-ability3],HighlanderAbilities3Scenario3[[#This Row],[ability]])+COUNTIF(Scenario3[loser1-ability3],HighlanderAbilities3Scenario3[[#This Row],[ability]])+COUNTIF(Scenario3[loser2-ability3],HighlanderAbilities3Scenario3[[#This Row],[ability]])</f>
        <v>17</v>
      </c>
      <c r="M77" s="2">
        <f>COUNTIF(Scenario3[winner1-ability3],HighlanderAbilities3Scenario3[[#This Row],[ability]])</f>
        <v>9</v>
      </c>
      <c r="N77" s="12">
        <f>IF(SUM(HighlanderAbilities3Scenario3[[#This Row],[takes]]) &gt; 0,HighlanderAbilities3Scenario3[[#This Row],[takes]]/SUM(HighlanderAbilities3Scenario3[takes]),0)</f>
        <v>0.68</v>
      </c>
      <c r="O77" s="12">
        <f>IF(HighlanderAbilities3Scenario3[[#This Row],[takes]]&gt;0,HighlanderAbilities3Scenario3[[#This Row],[wins]]/HighlanderAbilities3Scenario3[[#This Row],[takes]],0)</f>
        <v>0.52941176470588236</v>
      </c>
      <c r="S77" s="18"/>
    </row>
    <row r="78" spans="11:19" x14ac:dyDescent="0.25">
      <c r="K78" s="23" t="s">
        <v>85</v>
      </c>
      <c r="L78" s="1">
        <f>COUNTIF(Scenario3[winner1-ability3],HighlanderAbilities3Scenario3[[#This Row],[ability]])+COUNTIF(Scenario3[loser1-ability3],HighlanderAbilities3Scenario3[[#This Row],[ability]])+COUNTIF(Scenario3[loser2-ability3],HighlanderAbilities3Scenario3[[#This Row],[ability]])</f>
        <v>7</v>
      </c>
      <c r="M78" s="1">
        <f>COUNTIF(Scenario3[winner1-ability3],HighlanderAbilities3Scenario3[[#This Row],[ability]])</f>
        <v>3</v>
      </c>
      <c r="N78" s="15">
        <f>IF(SUM(HighlanderAbilities3Scenario3[[#This Row],[takes]]) &gt; 0,HighlanderAbilities3Scenario3[[#This Row],[takes]]/SUM(HighlanderAbilities3Scenario3[takes]),0)</f>
        <v>0.28000000000000003</v>
      </c>
      <c r="O78" s="15">
        <f>IF(HighlanderAbilities3Scenario3[[#This Row],[takes]]&gt;0,HighlanderAbilities3Scenario3[[#This Row],[wins]]/HighlanderAbilities3Scenario3[[#This Row],[takes]],0)</f>
        <v>0.42857142857142855</v>
      </c>
      <c r="S78" s="18"/>
    </row>
    <row r="79" spans="11:19" x14ac:dyDescent="0.25">
      <c r="K79" s="17"/>
      <c r="N79" s="3"/>
      <c r="O79" s="3"/>
      <c r="S79" s="18"/>
    </row>
    <row r="80" spans="11:19" x14ac:dyDescent="0.25">
      <c r="K80" s="19" t="s">
        <v>109</v>
      </c>
      <c r="L80" s="8" t="s">
        <v>110</v>
      </c>
      <c r="M80" s="8" t="s">
        <v>79</v>
      </c>
      <c r="N80" s="9" t="s">
        <v>117</v>
      </c>
      <c r="O80" s="9" t="s">
        <v>118</v>
      </c>
      <c r="S80" s="18"/>
    </row>
    <row r="81" spans="11:19" x14ac:dyDescent="0.25">
      <c r="K81" s="20" t="s">
        <v>88</v>
      </c>
      <c r="L81" s="2">
        <f>COUNTIF(Scenario3[winner1-ability4],HighlanderAbilities4Scenario3[[#This Row],[ability]])+COUNTIF(Scenario3[loser1-ability4],HighlanderAbilities4Scenario3[[#This Row],[ability]])+COUNTIF(Scenario3[loser2-ability4],HighlanderAbilities4Scenario3[[#This Row],[ability]])</f>
        <v>5</v>
      </c>
      <c r="M81" s="2">
        <f>COUNTIF(Scenario3[winner1-ability4],HighlanderAbilities4Scenario3[[#This Row],[ability]])</f>
        <v>3</v>
      </c>
      <c r="N81" s="12">
        <f>IF(SUM(HighlanderAbilities4Scenario3[[#This Row],[takes]]) &gt; 0,HighlanderAbilities4Scenario3[[#This Row],[takes]]/SUM(HighlanderAbilities4Scenario3[takes]),0)</f>
        <v>0.29411764705882354</v>
      </c>
      <c r="O81" s="12">
        <f>IF(HighlanderAbilities4Scenario3[[#This Row],[takes]]&gt;0,HighlanderAbilities4Scenario3[[#This Row],[wins]]/HighlanderAbilities4Scenario3[[#This Row],[takes]],0)</f>
        <v>0.6</v>
      </c>
      <c r="S81" s="18"/>
    </row>
    <row r="82" spans="11:19" x14ac:dyDescent="0.25">
      <c r="K82" s="20" t="s">
        <v>124</v>
      </c>
      <c r="L82" s="2">
        <f>COUNTIF(Scenario3[winner1-ability4],HighlanderAbilities4Scenario3[[#This Row],[ability]])+COUNTIF(Scenario3[loser1-ability4],HighlanderAbilities4Scenario3[[#This Row],[ability]])+COUNTIF(Scenario3[loser2-ability4],HighlanderAbilities4Scenario3[[#This Row],[ability]])</f>
        <v>3</v>
      </c>
      <c r="M82" s="2">
        <f>COUNTIF(Scenario3[winner1-ability4],HighlanderAbilities4Scenario3[[#This Row],[ability]])</f>
        <v>0</v>
      </c>
      <c r="N82" s="12">
        <f>IF(SUM(HighlanderAbilities4Scenario3[[#This Row],[takes]]) &gt; 0,HighlanderAbilities4Scenario3[[#This Row],[takes]]/SUM(HighlanderAbilities4Scenario3[takes]),0)</f>
        <v>0.17647058823529413</v>
      </c>
      <c r="O82" s="12">
        <f>IF(HighlanderAbilities4Scenario3[[#This Row],[takes]]&gt;0,HighlanderAbilities4Scenario3[[#This Row],[wins]]/HighlanderAbilities4Scenario3[[#This Row],[takes]],0)</f>
        <v>0</v>
      </c>
      <c r="S82" s="18"/>
    </row>
    <row r="83" spans="11:19" ht="15.75" thickBot="1" x14ac:dyDescent="0.3">
      <c r="K83" s="24" t="s">
        <v>125</v>
      </c>
      <c r="L83" s="2">
        <f>COUNTIF(Scenario3[winner1-ability4],HighlanderAbilities4Scenario3[[#This Row],[ability]])+COUNTIF(Scenario3[loser1-ability4],HighlanderAbilities4Scenario3[[#This Row],[ability]])+COUNTIF(Scenario3[loser2-ability4],HighlanderAbilities4Scenario3[[#This Row],[ability]])</f>
        <v>9</v>
      </c>
      <c r="M83" s="2">
        <f>COUNTIF(Scenario3[winner1-ability4],HighlanderAbilities4Scenario3[[#This Row],[ability]])</f>
        <v>5</v>
      </c>
      <c r="N83" s="26">
        <f>IF(SUM(HighlanderAbilities4Scenario3[[#This Row],[takes]]) &gt; 0,HighlanderAbilities4Scenario3[[#This Row],[takes]]/SUM(HighlanderAbilities4Scenario3[takes]),0)</f>
        <v>0.52941176470588236</v>
      </c>
      <c r="O83" s="26">
        <f>IF(HighlanderAbilities4Scenario3[[#This Row],[takes]]&gt;0,HighlanderAbilities4Scenario3[[#This Row],[wins]]/HighlanderAbilities4Scenario3[[#This Row],[takes]],0)</f>
        <v>0.55555555555555558</v>
      </c>
      <c r="P83" s="27"/>
      <c r="Q83" s="27"/>
      <c r="R83" s="27"/>
      <c r="S83" s="28"/>
    </row>
    <row r="84" spans="11:19" ht="15.75" thickBot="1" x14ac:dyDescent="0.3"/>
    <row r="85" spans="11:19" ht="15.75" thickBot="1" x14ac:dyDescent="0.3">
      <c r="K85" s="36" t="s">
        <v>219</v>
      </c>
      <c r="L85" s="37"/>
      <c r="M85" s="37"/>
      <c r="N85" s="37"/>
      <c r="O85" s="37"/>
      <c r="P85" s="37"/>
      <c r="Q85" s="37"/>
      <c r="R85" s="37"/>
      <c r="S85" s="38"/>
    </row>
    <row r="86" spans="11:19" x14ac:dyDescent="0.25">
      <c r="K86" s="17" t="s">
        <v>109</v>
      </c>
      <c r="L86" t="s">
        <v>110</v>
      </c>
      <c r="M86" t="s">
        <v>79</v>
      </c>
      <c r="N86" s="3" t="s">
        <v>117</v>
      </c>
      <c r="O86" s="3" t="s">
        <v>118</v>
      </c>
      <c r="Q86" t="s">
        <v>161</v>
      </c>
      <c r="R86" t="s">
        <v>165</v>
      </c>
      <c r="S86" s="18" t="s">
        <v>164</v>
      </c>
    </row>
    <row r="87" spans="11:19" x14ac:dyDescent="0.25">
      <c r="K87" s="17" t="s">
        <v>68</v>
      </c>
      <c r="L87">
        <f>COUNTIF(Scenario4[winner1-ability1],HighlanderAbilities1Scenario4[[#This Row],[ability]])+COUNTIF(Scenario4[loser1-ability1],HighlanderAbilities1Scenario4[[#This Row],[ability]])+COUNTIF(Scenario4[loser2-ability1],HighlanderAbilities1Scenario4[[#This Row],[ability]])+COUNTIF(Scenario4[loser3-ability1],HighlanderAbilities1Scenario4[[#This Row],[ability]])</f>
        <v>2</v>
      </c>
      <c r="M87">
        <f>COUNTIF(Scenario4[winner1-ability1],HighlanderAbilities1Scenario4[[#This Row],[ability]])</f>
        <v>1</v>
      </c>
      <c r="N87" s="3">
        <f>IF(SUM(HighlanderAbilities1Scenario4[[#This Row],[takes]]) &gt; 0,HighlanderAbilities1Scenario4[[#This Row],[takes]]/SUM(HighlanderAbilities1Scenario4[takes]),0)</f>
        <v>3.5714285714285712E-2</v>
      </c>
      <c r="O87" s="3">
        <f>IF(HighlanderAbilities1Scenario4[[#This Row],[takes]]&gt;0,HighlanderAbilities1Scenario4[[#This Row],[wins]]/HighlanderAbilities1Scenario4[[#This Row],[takes]],0)</f>
        <v>0.5</v>
      </c>
      <c r="Q87">
        <v>1</v>
      </c>
      <c r="R87">
        <f>COUNTIFS(Scenario4[winner1],"highlander",Scenario4[winner1-pw],HighlanderEquipScenario4[[#This Row],[level]])+COUNTIFS(Scenario4[loser1],"highlander",Scenario4[loser1-pw],HighlanderEquipScenario4[[#This Row],[level]])+COUNTIFS(Scenario4[loser2],"highlander",Scenario4[loser2-pw],HighlanderEquipScenario4[[#This Row],[level]])+COUNTIFS(Scenario4[loser3],"highlander",Scenario4[loser3-pw],HighlanderEquipScenario4[[#This Row],[level]])</f>
        <v>0</v>
      </c>
      <c r="S87" s="18">
        <f>COUNTIFS(Scenario4[winner1],"highlander",Scenario4[winner1-cp],HighlanderEquipScenario4[[#This Row],[level]])+COUNTIFS(Scenario4[loser1],"highlander",Scenario4[loser1-cp],HighlanderEquipScenario4[[#This Row],[level]])+COUNTIFS(Scenario4[loser2],"highlander",Scenario4[loser2-cp],HighlanderEquipScenario4[[#This Row],[level]])+COUNTIFS(Scenario4[loser3],"highlander",Scenario4[loser3-cp],HighlanderEquipScenario4[[#This Row],[level]])</f>
        <v>3</v>
      </c>
    </row>
    <row r="88" spans="11:19" x14ac:dyDescent="0.25">
      <c r="K88" s="17" t="s">
        <v>120</v>
      </c>
      <c r="L88">
        <f>COUNTIF(Scenario4[winner1-ability1],HighlanderAbilities1Scenario4[[#This Row],[ability]])+COUNTIF(Scenario4[loser1-ability1],HighlanderAbilities1Scenario4[[#This Row],[ability]])+COUNTIF(Scenario4[loser2-ability1],HighlanderAbilities1Scenario4[[#This Row],[ability]])+COUNTIF(Scenario4[loser3-ability1],HighlanderAbilities1Scenario4[[#This Row],[ability]])</f>
        <v>48</v>
      </c>
      <c r="M88">
        <f>COUNTIF(Scenario4[winner1-ability1],HighlanderAbilities1Scenario4[[#This Row],[ability]])</f>
        <v>10</v>
      </c>
      <c r="N88" s="3">
        <f>IF(SUM(HighlanderAbilities1Scenario4[[#This Row],[takes]]) &gt; 0,HighlanderAbilities1Scenario4[[#This Row],[takes]]/SUM(HighlanderAbilities1Scenario4[takes]),0)</f>
        <v>0.8571428571428571</v>
      </c>
      <c r="O88" s="3">
        <f>IF(HighlanderAbilities1Scenario4[[#This Row],[takes]]&gt;0,HighlanderAbilities1Scenario4[[#This Row],[wins]]/HighlanderAbilities1Scenario4[[#This Row],[takes]],0)</f>
        <v>0.20833333333333334</v>
      </c>
      <c r="Q88">
        <v>2</v>
      </c>
      <c r="R88">
        <f>COUNTIFS(Scenario4[winner1],"highlander",Scenario4[winner1-pw],HighlanderEquipScenario4[[#This Row],[level]])+COUNTIFS(Scenario4[loser1],"highlander",Scenario4[loser1-pw],HighlanderEquipScenario4[[#This Row],[level]])+COUNTIFS(Scenario4[loser2],"highlander",Scenario4[loser2-pw],HighlanderEquipScenario4[[#This Row],[level]])+COUNTIFS(Scenario4[loser3],"highlander",Scenario4[loser3-pw],HighlanderEquipScenario4[[#This Row],[level]])</f>
        <v>5</v>
      </c>
      <c r="S88" s="18">
        <f>COUNTIFS(Scenario4[winner1],"highlander",Scenario4[winner1-cp],HighlanderEquipScenario4[[#This Row],[level]])+COUNTIFS(Scenario4[loser1],"highlander",Scenario4[loser1-cp],HighlanderEquipScenario4[[#This Row],[level]])+COUNTIFS(Scenario4[loser2],"highlander",Scenario4[loser2-cp],HighlanderEquipScenario4[[#This Row],[level]])+COUNTIFS(Scenario4[loser3],"highlander",Scenario4[loser3-cp],HighlanderEquipScenario4[[#This Row],[level]])</f>
        <v>4</v>
      </c>
    </row>
    <row r="89" spans="11:19" x14ac:dyDescent="0.25">
      <c r="K89" s="17" t="s">
        <v>57</v>
      </c>
      <c r="L89">
        <f>COUNTIF(Scenario4[winner1-ability1],HighlanderAbilities1Scenario4[[#This Row],[ability]])+COUNTIF(Scenario4[loser1-ability1],HighlanderAbilities1Scenario4[[#This Row],[ability]])+COUNTIF(Scenario4[loser2-ability1],HighlanderAbilities1Scenario4[[#This Row],[ability]])+COUNTIF(Scenario4[loser3-ability1],HighlanderAbilities1Scenario4[[#This Row],[ability]])</f>
        <v>6</v>
      </c>
      <c r="M89">
        <f>COUNTIF(Scenario4[winner1-ability1],HighlanderAbilities1Scenario4[[#This Row],[ability]])</f>
        <v>2</v>
      </c>
      <c r="N89" s="3">
        <f>IF(SUM(HighlanderAbilities1Scenario4[[#This Row],[takes]]) &gt; 0,HighlanderAbilities1Scenario4[[#This Row],[takes]]/SUM(HighlanderAbilities1Scenario4[takes]),0)</f>
        <v>0.10714285714285714</v>
      </c>
      <c r="O89" s="3">
        <f>IF(HighlanderAbilities1Scenario4[[#This Row],[takes]]&gt;0,HighlanderAbilities1Scenario4[[#This Row],[wins]]/HighlanderAbilities1Scenario4[[#This Row],[takes]],0)</f>
        <v>0.33333333333333331</v>
      </c>
      <c r="Q89">
        <v>3</v>
      </c>
      <c r="R89">
        <f>COUNTIFS(Scenario4[winner1],"highlander",Scenario4[winner1-pw],HighlanderEquipScenario4[[#This Row],[level]])+COUNTIFS(Scenario4[loser1],"highlander",Scenario4[loser1-pw],HighlanderEquipScenario4[[#This Row],[level]])+COUNTIFS(Scenario4[loser2],"highlander",Scenario4[loser2-pw],HighlanderEquipScenario4[[#This Row],[level]])+COUNTIFS(Scenario4[loser3],"highlander",Scenario4[loser3-pw],HighlanderEquipScenario4[[#This Row],[level]])</f>
        <v>51</v>
      </c>
      <c r="S89" s="18">
        <f>COUNTIFS(Scenario4[winner1],"highlander",Scenario4[winner1-cp],HighlanderEquipScenario4[[#This Row],[level]])+COUNTIFS(Scenario4[loser1],"highlander",Scenario4[loser1-cp],HighlanderEquipScenario4[[#This Row],[level]])+COUNTIFS(Scenario4[loser2],"highlander",Scenario4[loser2-cp],HighlanderEquipScenario4[[#This Row],[level]])+COUNTIFS(Scenario4[loser3],"highlander",Scenario4[loser3-cp],HighlanderEquipScenario4[[#This Row],[level]])</f>
        <v>49</v>
      </c>
    </row>
    <row r="90" spans="11:19" x14ac:dyDescent="0.25">
      <c r="K90" s="17"/>
      <c r="N90" s="3"/>
      <c r="O90" s="3"/>
      <c r="S90" s="18"/>
    </row>
    <row r="91" spans="11:19" x14ac:dyDescent="0.25">
      <c r="K91" s="19" t="s">
        <v>109</v>
      </c>
      <c r="L91" s="8" t="s">
        <v>110</v>
      </c>
      <c r="M91" s="8" t="s">
        <v>79</v>
      </c>
      <c r="N91" s="9" t="s">
        <v>117</v>
      </c>
      <c r="O91" s="9" t="s">
        <v>118</v>
      </c>
      <c r="S91" s="18"/>
    </row>
    <row r="92" spans="11:19" x14ac:dyDescent="0.25">
      <c r="K92" s="20" t="s">
        <v>69</v>
      </c>
      <c r="L92" s="2">
        <f>COUNTIF(Scenario4[winner1-ability2],HighlanderAbilities2Scenario4[[#This Row],[ability]])+COUNTIF(Scenario4[loser1-ability2],HighlanderAbilities2Scenario4[[#This Row],[ability]])+COUNTIF(Scenario4[loser2-ability2],HighlanderAbilities2Scenario4[[#This Row],[ability]])+COUNTIF(Scenario4[loser3-ability2],HighlanderAbilities2Scenario4[[#This Row],[ability]])</f>
        <v>41</v>
      </c>
      <c r="M92" s="2">
        <f>COUNTIF(Scenario4[winner1-ability2],HighlanderAbilities2Scenario4[[#This Row],[ability]])</f>
        <v>7</v>
      </c>
      <c r="N92" s="12">
        <f>IF(SUM(HighlanderAbilities2Scenario4[[#This Row],[takes]]) &gt; 0,HighlanderAbilities2Scenario4[[#This Row],[takes]]/SUM(HighlanderAbilities2Scenario4[takes]),0)</f>
        <v>0.74545454545454548</v>
      </c>
      <c r="O92" s="12">
        <f>IF(HighlanderAbilities2Scenario4[[#This Row],[takes]]&gt;0,HighlanderAbilities2Scenario4[[#This Row],[wins]]/HighlanderAbilities2Scenario4[[#This Row],[takes]],0)</f>
        <v>0.17073170731707318</v>
      </c>
      <c r="S92" s="18"/>
    </row>
    <row r="93" spans="11:19" x14ac:dyDescent="0.25">
      <c r="K93" s="17" t="s">
        <v>121</v>
      </c>
      <c r="L93" s="2">
        <f>COUNTIF(Scenario4[winner1-ability2],HighlanderAbilities2Scenario4[[#This Row],[ability]])+COUNTIF(Scenario4[loser1-ability2],HighlanderAbilities2Scenario4[[#This Row],[ability]])+COUNTIF(Scenario4[loser2-ability2],HighlanderAbilities2Scenario4[[#This Row],[ability]])+COUNTIF(Scenario4[loser3-ability2],HighlanderAbilities2Scenario4[[#This Row],[ability]])</f>
        <v>8</v>
      </c>
      <c r="M93" s="2">
        <f>COUNTIF(Scenario4[winner1-ability2],HighlanderAbilities2Scenario4[[#This Row],[ability]])</f>
        <v>2</v>
      </c>
      <c r="N93" s="3">
        <f>IF(SUM(HighlanderAbilities2Scenario4[[#This Row],[takes]]) &gt; 0,HighlanderAbilities2Scenario4[[#This Row],[takes]]/SUM(HighlanderAbilities2Scenario4[takes]),0)</f>
        <v>0.14545454545454545</v>
      </c>
      <c r="O93" s="3">
        <f>IF(HighlanderAbilities2Scenario4[[#This Row],[takes]]&gt;0,HighlanderAbilities2Scenario4[[#This Row],[wins]]/HighlanderAbilities2Scenario4[[#This Row],[takes]],0)</f>
        <v>0.25</v>
      </c>
      <c r="S93" s="18"/>
    </row>
    <row r="94" spans="11:19" x14ac:dyDescent="0.25">
      <c r="K94" s="21" t="s">
        <v>122</v>
      </c>
      <c r="L94" s="2">
        <f>COUNTIF(Scenario4[winner1-ability2],HighlanderAbilities2Scenario4[[#This Row],[ability]])+COUNTIF(Scenario4[loser1-ability2],HighlanderAbilities2Scenario4[[#This Row],[ability]])+COUNTIF(Scenario4[loser2-ability2],HighlanderAbilities2Scenario4[[#This Row],[ability]])+COUNTIF(Scenario4[loser3-ability2],HighlanderAbilities2Scenario4[[#This Row],[ability]])</f>
        <v>6</v>
      </c>
      <c r="M94" s="2">
        <f>COUNTIF(Scenario4[winner1-ability2],HighlanderAbilities2Scenario4[[#This Row],[ability]])</f>
        <v>4</v>
      </c>
      <c r="N94" s="13">
        <f>IF(SUM(HighlanderAbilities2Scenario4[[#This Row],[takes]]) &gt; 0,HighlanderAbilities2Scenario4[[#This Row],[takes]]/SUM(HighlanderAbilities2Scenario4[takes]),0)</f>
        <v>0.10909090909090909</v>
      </c>
      <c r="O94" s="13">
        <f>IF(HighlanderAbilities2Scenario4[[#This Row],[takes]]&gt;0,HighlanderAbilities2Scenario4[[#This Row],[wins]]/HighlanderAbilities2Scenario4[[#This Row],[takes]],0)</f>
        <v>0.66666666666666663</v>
      </c>
      <c r="S94" s="18"/>
    </row>
    <row r="95" spans="11:19" x14ac:dyDescent="0.25">
      <c r="K95" s="17"/>
      <c r="N95" s="3"/>
      <c r="O95" s="3"/>
      <c r="S95" s="18"/>
    </row>
    <row r="96" spans="11:19" x14ac:dyDescent="0.25">
      <c r="K96" s="19" t="s">
        <v>109</v>
      </c>
      <c r="L96" s="8" t="s">
        <v>110</v>
      </c>
      <c r="M96" s="8" t="s">
        <v>79</v>
      </c>
      <c r="N96" s="9" t="s">
        <v>117</v>
      </c>
      <c r="O96" s="9" t="s">
        <v>118</v>
      </c>
      <c r="S96" s="18"/>
    </row>
    <row r="97" spans="11:19" x14ac:dyDescent="0.25">
      <c r="K97" s="22" t="s">
        <v>123</v>
      </c>
      <c r="L97" s="1">
        <f>COUNTIF(Scenario4[winner1-ability3],HighlanderAbilities3Scenario4[[#This Row],[ability]])+COUNTIF(Scenario4[loser1-ability3],HighlanderAbilities3Scenario4[[#This Row],[ability]])+COUNTIF(Scenario4[loser2-ability3],HighlanderAbilities3Scenario4[[#This Row],[ability]])+COUNTIF(Scenario4[loser3-ability3],HighlanderAbilities3Scenario4[[#This Row],[ability]])</f>
        <v>7</v>
      </c>
      <c r="M97" s="1">
        <f>COUNTIF(Scenario4[winner1-ability3],HighlanderAbilities3Scenario4[[#This Row],[ability]])</f>
        <v>1</v>
      </c>
      <c r="N97" s="14">
        <f>IF(SUM(HighlanderAbilities3Scenario4[[#This Row],[takes]]) &gt; 0,HighlanderAbilities3Scenario4[[#This Row],[takes]]/SUM(HighlanderAbilities3Scenario4[takes]),0)</f>
        <v>0.13461538461538461</v>
      </c>
      <c r="O97" s="14">
        <f>IF(HighlanderAbilities3Scenario4[[#This Row],[takes]]&gt;0,HighlanderAbilities3Scenario4[[#This Row],[wins]]/HighlanderAbilities3Scenario4[[#This Row],[takes]],0)</f>
        <v>0.14285714285714285</v>
      </c>
      <c r="S97" s="18"/>
    </row>
    <row r="98" spans="11:19" x14ac:dyDescent="0.25">
      <c r="K98" s="20" t="s">
        <v>87</v>
      </c>
      <c r="L98" s="2">
        <f>COUNTIF(Scenario4[winner1-ability3],HighlanderAbilities3Scenario4[[#This Row],[ability]])+COUNTIF(Scenario4[loser1-ability3],HighlanderAbilities3Scenario4[[#This Row],[ability]])+COUNTIF(Scenario4[loser2-ability3],HighlanderAbilities3Scenario4[[#This Row],[ability]])+COUNTIF(Scenario4[loser3-ability3],HighlanderAbilities3Scenario4[[#This Row],[ability]])</f>
        <v>34</v>
      </c>
      <c r="M98" s="2">
        <f>COUNTIF(Scenario4[winner1-ability3],HighlanderAbilities3Scenario4[[#This Row],[ability]])</f>
        <v>6</v>
      </c>
      <c r="N98" s="12">
        <f>IF(SUM(HighlanderAbilities3Scenario4[[#This Row],[takes]]) &gt; 0,HighlanderAbilities3Scenario4[[#This Row],[takes]]/SUM(HighlanderAbilities3Scenario4[takes]),0)</f>
        <v>0.65384615384615385</v>
      </c>
      <c r="O98" s="12">
        <f>IF(HighlanderAbilities3Scenario4[[#This Row],[takes]]&gt;0,HighlanderAbilities3Scenario4[[#This Row],[wins]]/HighlanderAbilities3Scenario4[[#This Row],[takes]],0)</f>
        <v>0.17647058823529413</v>
      </c>
      <c r="S98" s="18"/>
    </row>
    <row r="99" spans="11:19" x14ac:dyDescent="0.25">
      <c r="K99" s="23" t="s">
        <v>85</v>
      </c>
      <c r="L99" s="1">
        <f>COUNTIF(Scenario4[winner1-ability3],HighlanderAbilities3Scenario4[[#This Row],[ability]])+COUNTIF(Scenario4[loser1-ability3],HighlanderAbilities3Scenario4[[#This Row],[ability]])+COUNTIF(Scenario4[loser2-ability3],HighlanderAbilities3Scenario4[[#This Row],[ability]])+COUNTIF(Scenario4[loser3-ability3],HighlanderAbilities3Scenario4[[#This Row],[ability]])</f>
        <v>11</v>
      </c>
      <c r="M99" s="1">
        <f>COUNTIF(Scenario4[winner1-ability3],HighlanderAbilities3Scenario4[[#This Row],[ability]])</f>
        <v>4</v>
      </c>
      <c r="N99" s="15">
        <f>IF(SUM(HighlanderAbilities3Scenario4[[#This Row],[takes]]) &gt; 0,HighlanderAbilities3Scenario4[[#This Row],[takes]]/SUM(HighlanderAbilities3Scenario4[takes]),0)</f>
        <v>0.21153846153846154</v>
      </c>
      <c r="O99" s="15">
        <f>IF(HighlanderAbilities3Scenario4[[#This Row],[takes]]&gt;0,HighlanderAbilities3Scenario4[[#This Row],[wins]]/HighlanderAbilities3Scenario4[[#This Row],[takes]],0)</f>
        <v>0.36363636363636365</v>
      </c>
      <c r="S99" s="18"/>
    </row>
    <row r="100" spans="11:19" x14ac:dyDescent="0.25">
      <c r="K100" s="17"/>
      <c r="N100" s="3"/>
      <c r="O100" s="3"/>
      <c r="S100" s="18"/>
    </row>
    <row r="101" spans="11:19" x14ac:dyDescent="0.25">
      <c r="K101" s="19" t="s">
        <v>109</v>
      </c>
      <c r="L101" s="8" t="s">
        <v>110</v>
      </c>
      <c r="M101" s="8" t="s">
        <v>79</v>
      </c>
      <c r="N101" s="9" t="s">
        <v>117</v>
      </c>
      <c r="O101" s="9" t="s">
        <v>118</v>
      </c>
      <c r="S101" s="18"/>
    </row>
    <row r="102" spans="11:19" x14ac:dyDescent="0.25">
      <c r="K102" s="20" t="s">
        <v>88</v>
      </c>
      <c r="L102" s="2">
        <f>COUNTIF(Scenario4[winner1-ability4],HighlanderAbilities4Scenario4[[#This Row],[ability]])+COUNTIF(Scenario4[loser1-ability4],HighlanderAbilities4Scenario4[[#This Row],[ability]])+COUNTIF(Scenario4[loser2-ability4],HighlanderAbilities4Scenario4[[#This Row],[ability]])+COUNTIF(Scenario4[loser3-ability4],HighlanderAbilities4Scenario4[[#This Row],[ability]])</f>
        <v>17</v>
      </c>
      <c r="M102" s="2">
        <f>COUNTIF(Scenario4[winner1-ability4],HighlanderAbilities4Scenario4[[#This Row],[ability]])</f>
        <v>3</v>
      </c>
      <c r="N102" s="12">
        <f>IF(SUM(HighlanderAbilities4Scenario4[[#This Row],[takes]]) &gt; 0,HighlanderAbilities4Scenario4[[#This Row],[takes]]/SUM(HighlanderAbilities4Scenario4[takes]),0)</f>
        <v>0.35416666666666669</v>
      </c>
      <c r="O102" s="12">
        <f>IF(HighlanderAbilities4Scenario4[[#This Row],[takes]]&gt;0,HighlanderAbilities4Scenario4[[#This Row],[wins]]/HighlanderAbilities4Scenario4[[#This Row],[takes]],0)</f>
        <v>0.17647058823529413</v>
      </c>
      <c r="S102" s="18"/>
    </row>
    <row r="103" spans="11:19" x14ac:dyDescent="0.25">
      <c r="K103" s="20" t="s">
        <v>124</v>
      </c>
      <c r="L103" s="2">
        <f>COUNTIF(Scenario4[winner1-ability4],HighlanderAbilities4Scenario4[[#This Row],[ability]])+COUNTIF(Scenario4[loser1-ability4],HighlanderAbilities4Scenario4[[#This Row],[ability]])+COUNTIF(Scenario4[loser2-ability4],HighlanderAbilities4Scenario4[[#This Row],[ability]])+COUNTIF(Scenario4[loser3-ability4],HighlanderAbilities4Scenario4[[#This Row],[ability]])</f>
        <v>9</v>
      </c>
      <c r="M103" s="2">
        <f>COUNTIF(Scenario4[winner1-ability4],HighlanderAbilities4Scenario4[[#This Row],[ability]])</f>
        <v>1</v>
      </c>
      <c r="N103" s="12">
        <f>IF(SUM(HighlanderAbilities4Scenario4[[#This Row],[takes]]) &gt; 0,HighlanderAbilities4Scenario4[[#This Row],[takes]]/SUM(HighlanderAbilities4Scenario4[takes]),0)</f>
        <v>0.1875</v>
      </c>
      <c r="O103" s="12">
        <f>IF(HighlanderAbilities4Scenario4[[#This Row],[takes]]&gt;0,HighlanderAbilities4Scenario4[[#This Row],[wins]]/HighlanderAbilities4Scenario4[[#This Row],[takes]],0)</f>
        <v>0.1111111111111111</v>
      </c>
      <c r="S103" s="18"/>
    </row>
    <row r="104" spans="11:19" ht="15.75" thickBot="1" x14ac:dyDescent="0.3">
      <c r="K104" s="24" t="s">
        <v>125</v>
      </c>
      <c r="L104" s="2">
        <f>COUNTIF(Scenario4[winner1-ability4],HighlanderAbilities4Scenario4[[#This Row],[ability]])+COUNTIF(Scenario4[loser1-ability4],HighlanderAbilities4Scenario4[[#This Row],[ability]])+COUNTIF(Scenario4[loser2-ability4],HighlanderAbilities4Scenario4[[#This Row],[ability]])+COUNTIF(Scenario4[loser3-ability4],HighlanderAbilities4Scenario4[[#This Row],[ability]])</f>
        <v>22</v>
      </c>
      <c r="M104" s="2">
        <f>COUNTIF(Scenario4[winner1-ability4],HighlanderAbilities4Scenario4[[#This Row],[ability]])</f>
        <v>6</v>
      </c>
      <c r="N104" s="26">
        <f>IF(SUM(HighlanderAbilities4Scenario4[[#This Row],[takes]]) &gt; 0,HighlanderAbilities4Scenario4[[#This Row],[takes]]/SUM(HighlanderAbilities4Scenario4[takes]),0)</f>
        <v>0.45833333333333331</v>
      </c>
      <c r="O104" s="26">
        <f>IF(HighlanderAbilities4Scenario4[[#This Row],[takes]]&gt;0,HighlanderAbilities4Scenario4[[#This Row],[wins]]/HighlanderAbilities4Scenario4[[#This Row],[takes]],0)</f>
        <v>0.27272727272727271</v>
      </c>
      <c r="P104" s="27"/>
      <c r="Q104" s="27"/>
      <c r="R104" s="27"/>
      <c r="S104" s="28"/>
    </row>
    <row r="105" spans="11:19" ht="15.75" thickBot="1" x14ac:dyDescent="0.3"/>
    <row r="106" spans="11:19" ht="15.75" thickBot="1" x14ac:dyDescent="0.3">
      <c r="K106" s="36" t="s">
        <v>220</v>
      </c>
      <c r="L106" s="37"/>
      <c r="M106" s="37"/>
      <c r="N106" s="37"/>
      <c r="O106" s="37"/>
      <c r="P106" s="37"/>
      <c r="Q106" s="37"/>
      <c r="R106" s="37"/>
      <c r="S106" s="38"/>
    </row>
    <row r="107" spans="11:19" x14ac:dyDescent="0.25">
      <c r="K107" s="17" t="s">
        <v>109</v>
      </c>
      <c r="L107" t="s">
        <v>110</v>
      </c>
      <c r="M107" t="s">
        <v>79</v>
      </c>
      <c r="N107" s="3" t="s">
        <v>117</v>
      </c>
      <c r="O107" s="3" t="s">
        <v>118</v>
      </c>
      <c r="Q107" t="s">
        <v>161</v>
      </c>
      <c r="R107" t="s">
        <v>165</v>
      </c>
      <c r="S107" s="18" t="s">
        <v>164</v>
      </c>
    </row>
    <row r="108" spans="11:19" x14ac:dyDescent="0.25">
      <c r="K108" s="17" t="s">
        <v>68</v>
      </c>
      <c r="L108">
        <f>COUNTIF(Scenario5[winner1-ability1],HighlanderAbilities1Scenario5[[#This Row],[ability]])+COUNTIF(Scenario5[winner2-ability1],HighlanderAbilities1Scenario5[[#This Row],[ability]])+COUNTIF(Scenario5[loser1-ability1],HighlanderAbilities1Scenario5[[#This Row],[ability]])+COUNTIF(Scenario5[loser2-ability1],HighlanderAbilities1Scenario5[[#This Row],[ability]])</f>
        <v>17</v>
      </c>
      <c r="M108">
        <f>COUNTIF(Scenario5[winner1-ability1],HighlanderAbilities1Scenario5[[#This Row],[ability]])+COUNTIF(Scenario5[winner2-ability1],HighlanderAbilities1Scenario5[[#This Row],[ability]])</f>
        <v>10</v>
      </c>
      <c r="N108" s="3">
        <f>IF(SUM(HighlanderAbilities1Scenario5[[#This Row],[takes]]) &gt; 0,HighlanderAbilities1Scenario5[[#This Row],[takes]]/SUM(HighlanderAbilities1Scenario5[takes]),0)</f>
        <v>0.10119047619047619</v>
      </c>
      <c r="O108" s="3">
        <f>IF(HighlanderAbilities1Scenario5[[#This Row],[takes]]&gt;0,HighlanderAbilities1Scenario5[[#This Row],[wins]]/HighlanderAbilities1Scenario5[[#This Row],[takes]],0)</f>
        <v>0.58823529411764708</v>
      </c>
      <c r="Q108">
        <v>1</v>
      </c>
      <c r="R108">
        <f>COUNTIFS(Scenario5[winner1],"highlander",Scenario5[winner1-pw],HighlanderEquipScenario5[[#This Row],[level]])+COUNTIFS(Scenario5[winner2],"highlander",Scenario5[winner2-pw],HighlanderEquipScenario5[[#This Row],[level]])+COUNTIFS(Scenario5[loser1],"highlander",Scenario5[loser1-pw],HighlanderEquipScenario5[[#This Row],[level]])+COUNTIFS(Scenario5[loser2],"highlander",Scenario5[loser2-pw],HighlanderEquipScenario5[[#This Row],[level]])</f>
        <v>15</v>
      </c>
      <c r="S108" s="18">
        <f>COUNTIFS(Scenario5[winner1],"highlander",Scenario5[winner1-cp],HighlanderEquipScenario5[[#This Row],[level]])+COUNTIFS(Scenario5[winner2],"highlander",Scenario5[winner2-cp],HighlanderEquipScenario5[[#This Row],[level]])+COUNTIFS(Scenario5[loser1],"highlander",Scenario5[loser1-cp],HighlanderEquipScenario5[[#This Row],[level]])+COUNTIFS(Scenario5[loser2],"highlander",Scenario5[loser2-cp],HighlanderEquipScenario5[[#This Row],[level]])</f>
        <v>88</v>
      </c>
    </row>
    <row r="109" spans="11:19" x14ac:dyDescent="0.25">
      <c r="K109" s="17" t="s">
        <v>120</v>
      </c>
      <c r="L109">
        <f>COUNTIF(Scenario5[winner1-ability1],HighlanderAbilities1Scenario5[[#This Row],[ability]])+COUNTIF(Scenario5[winner2-ability1],HighlanderAbilities1Scenario5[[#This Row],[ability]])+COUNTIF(Scenario5[loser1-ability1],HighlanderAbilities1Scenario5[[#This Row],[ability]])+COUNTIF(Scenario5[loser2-ability1],HighlanderAbilities1Scenario5[[#This Row],[ability]])</f>
        <v>69</v>
      </c>
      <c r="M109">
        <f>COUNTIF(Scenario5[winner1-ability1],HighlanderAbilities1Scenario5[[#This Row],[ability]])+COUNTIF(Scenario5[winner2-ability1],HighlanderAbilities1Scenario5[[#This Row],[ability]])</f>
        <v>30</v>
      </c>
      <c r="N109" s="3">
        <f>IF(SUM(HighlanderAbilities1Scenario5[[#This Row],[takes]]) &gt; 0,HighlanderAbilities1Scenario5[[#This Row],[takes]]/SUM(HighlanderAbilities1Scenario5[takes]),0)</f>
        <v>0.4107142857142857</v>
      </c>
      <c r="O109" s="3">
        <f>IF(HighlanderAbilities1Scenario5[[#This Row],[takes]]&gt;0,HighlanderAbilities1Scenario5[[#This Row],[wins]]/HighlanderAbilities1Scenario5[[#This Row],[takes]],0)</f>
        <v>0.43478260869565216</v>
      </c>
      <c r="Q109">
        <v>2</v>
      </c>
      <c r="R109">
        <f>COUNTIFS(Scenario5[winner1],"highlander",Scenario5[winner1-pw],HighlanderEquipScenario5[[#This Row],[level]])+COUNTIFS(Scenario5[winner2],"highlander",Scenario5[winner2-pw],HighlanderEquipScenario5[[#This Row],[level]])+COUNTIFS(Scenario5[loser1],"highlander",Scenario5[loser1-pw],HighlanderEquipScenario5[[#This Row],[level]])+COUNTIFS(Scenario5[loser2],"highlander",Scenario5[loser2-pw],HighlanderEquipScenario5[[#This Row],[level]])</f>
        <v>46</v>
      </c>
      <c r="S109" s="18">
        <f>COUNTIFS(Scenario5[winner1],"highlander",Scenario5[winner1-cp],HighlanderEquipScenario5[[#This Row],[level]])+COUNTIFS(Scenario5[winner2],"highlander",Scenario5[winner2-cp],HighlanderEquipScenario5[[#This Row],[level]])+COUNTIFS(Scenario5[loser1],"highlander",Scenario5[loser1-cp],HighlanderEquipScenario5[[#This Row],[level]])+COUNTIFS(Scenario5[loser2],"highlander",Scenario5[loser2-cp],HighlanderEquipScenario5[[#This Row],[level]])</f>
        <v>35</v>
      </c>
    </row>
    <row r="110" spans="11:19" x14ac:dyDescent="0.25">
      <c r="K110" s="17" t="s">
        <v>57</v>
      </c>
      <c r="L110">
        <f>COUNTIF(Scenario5[winner1-ability1],HighlanderAbilities1Scenario5[[#This Row],[ability]])+COUNTIF(Scenario5[winner2-ability1],HighlanderAbilities1Scenario5[[#This Row],[ability]])+COUNTIF(Scenario5[loser1-ability1],HighlanderAbilities1Scenario5[[#This Row],[ability]])+COUNTIF(Scenario5[loser2-ability1],HighlanderAbilities1Scenario5[[#This Row],[ability]])</f>
        <v>82</v>
      </c>
      <c r="M110">
        <f>COUNTIF(Scenario5[winner1-ability1],HighlanderAbilities1Scenario5[[#This Row],[ability]])+COUNTIF(Scenario5[winner2-ability1],HighlanderAbilities1Scenario5[[#This Row],[ability]])</f>
        <v>50</v>
      </c>
      <c r="N110" s="3">
        <f>IF(SUM(HighlanderAbilities1Scenario5[[#This Row],[takes]]) &gt; 0,HighlanderAbilities1Scenario5[[#This Row],[takes]]/SUM(HighlanderAbilities1Scenario5[takes]),0)</f>
        <v>0.48809523809523808</v>
      </c>
      <c r="O110" s="3">
        <f>IF(HighlanderAbilities1Scenario5[[#This Row],[takes]]&gt;0,HighlanderAbilities1Scenario5[[#This Row],[wins]]/HighlanderAbilities1Scenario5[[#This Row],[takes]],0)</f>
        <v>0.6097560975609756</v>
      </c>
      <c r="Q110">
        <v>3</v>
      </c>
      <c r="R110">
        <f>COUNTIFS(Scenario5[winner1],"highlander",Scenario5[winner1-pw],HighlanderEquipScenario5[[#This Row],[level]])+COUNTIFS(Scenario5[winner2],"highlander",Scenario5[winner2-pw],HighlanderEquipScenario5[[#This Row],[level]])+COUNTIFS(Scenario5[loser1],"highlander",Scenario5[loser1-pw],HighlanderEquipScenario5[[#This Row],[level]])+COUNTIFS(Scenario5[loser2],"highlander",Scenario5[loser2-pw],HighlanderEquipScenario5[[#This Row],[level]])</f>
        <v>107</v>
      </c>
      <c r="S110" s="18">
        <f>COUNTIFS(Scenario5[winner1],"highlander",Scenario5[winner1-cp],HighlanderEquipScenario5[[#This Row],[level]])+COUNTIFS(Scenario5[winner2],"highlander",Scenario5[winner2-cp],HighlanderEquipScenario5[[#This Row],[level]])+COUNTIFS(Scenario5[loser1],"highlander",Scenario5[loser1-cp],HighlanderEquipScenario5[[#This Row],[level]])+COUNTIFS(Scenario5[loser2],"highlander",Scenario5[loser2-cp],HighlanderEquipScenario5[[#This Row],[level]])</f>
        <v>45</v>
      </c>
    </row>
    <row r="111" spans="11:19" x14ac:dyDescent="0.25">
      <c r="K111" s="17"/>
      <c r="N111" s="3"/>
      <c r="O111" s="3"/>
      <c r="S111" s="18"/>
    </row>
    <row r="112" spans="11:19" x14ac:dyDescent="0.25">
      <c r="K112" s="19" t="s">
        <v>109</v>
      </c>
      <c r="L112" s="8" t="s">
        <v>110</v>
      </c>
      <c r="M112" s="8" t="s">
        <v>79</v>
      </c>
      <c r="N112" s="9" t="s">
        <v>117</v>
      </c>
      <c r="O112" s="9" t="s">
        <v>118</v>
      </c>
      <c r="S112" s="18"/>
    </row>
    <row r="113" spans="11:19" x14ac:dyDescent="0.25">
      <c r="K113" s="20" t="s">
        <v>69</v>
      </c>
      <c r="L113" s="2">
        <f>COUNTIF(Scenario5[winner1-ability2],HighlanderAbilities2Scenario5[[#This Row],[ability]])+COUNTIF(Scenario5[winner2-ability2],HighlanderAbilities2Scenario5[[#This Row],[ability]])+COUNTIF(Scenario5[loser1-ability2],HighlanderAbilities2Scenario5[[#This Row],[ability]])+COUNTIF(Scenario5[loser2-ability2],HighlanderAbilities2Scenario5[[#This Row],[ability]])</f>
        <v>42</v>
      </c>
      <c r="M113" s="2">
        <f>COUNTIF(Scenario5[winner1-ability2],HighlanderAbilities2Scenario5[[#This Row],[ability]])+COUNTIF(Scenario5[winner2-ability2],HighlanderAbilities2Scenario5[[#This Row],[ability]])</f>
        <v>19</v>
      </c>
      <c r="N113" s="12">
        <f>IF(SUM(HighlanderAbilities2Scenario5[[#This Row],[takes]]) &gt; 0,HighlanderAbilities2Scenario5[[#This Row],[takes]]/SUM(HighlanderAbilities2Scenario5[takes]),0)</f>
        <v>0.28000000000000003</v>
      </c>
      <c r="O113" s="12">
        <f>IF(HighlanderAbilities2Scenario5[[#This Row],[takes]]&gt;0,HighlanderAbilities2Scenario5[[#This Row],[wins]]/HighlanderAbilities2Scenario5[[#This Row],[takes]],0)</f>
        <v>0.45238095238095238</v>
      </c>
      <c r="S113" s="18"/>
    </row>
    <row r="114" spans="11:19" x14ac:dyDescent="0.25">
      <c r="K114" s="17" t="s">
        <v>121</v>
      </c>
      <c r="L114" s="2">
        <f>COUNTIF(Scenario5[winner1-ability2],HighlanderAbilities2Scenario5[[#This Row],[ability]])+COUNTIF(Scenario5[winner2-ability2],HighlanderAbilities2Scenario5[[#This Row],[ability]])+COUNTIF(Scenario5[loser1-ability2],HighlanderAbilities2Scenario5[[#This Row],[ability]])+COUNTIF(Scenario5[loser2-ability2],HighlanderAbilities2Scenario5[[#This Row],[ability]])</f>
        <v>16</v>
      </c>
      <c r="M114" s="2">
        <f>COUNTIF(Scenario5[winner1-ability2],HighlanderAbilities2Scenario5[[#This Row],[ability]])+COUNTIF(Scenario5[winner2-ability2],HighlanderAbilities2Scenario5[[#This Row],[ability]])</f>
        <v>9</v>
      </c>
      <c r="N114" s="3">
        <f>IF(SUM(HighlanderAbilities2Scenario5[[#This Row],[takes]]) &gt; 0,HighlanderAbilities2Scenario5[[#This Row],[takes]]/SUM(HighlanderAbilities2Scenario5[takes]),0)</f>
        <v>0.10666666666666667</v>
      </c>
      <c r="O114" s="3">
        <f>IF(HighlanderAbilities2Scenario5[[#This Row],[takes]]&gt;0,HighlanderAbilities2Scenario5[[#This Row],[wins]]/HighlanderAbilities2Scenario5[[#This Row],[takes]],0)</f>
        <v>0.5625</v>
      </c>
      <c r="S114" s="18"/>
    </row>
    <row r="115" spans="11:19" x14ac:dyDescent="0.25">
      <c r="K115" s="21" t="s">
        <v>122</v>
      </c>
      <c r="L115" s="2">
        <f>COUNTIF(Scenario5[winner1-ability2],HighlanderAbilities2Scenario5[[#This Row],[ability]])+COUNTIF(Scenario5[winner2-ability2],HighlanderAbilities2Scenario5[[#This Row],[ability]])+COUNTIF(Scenario5[loser1-ability2],HighlanderAbilities2Scenario5[[#This Row],[ability]])+COUNTIF(Scenario5[loser2-ability2],HighlanderAbilities2Scenario5[[#This Row],[ability]])</f>
        <v>92</v>
      </c>
      <c r="M115" s="2">
        <f>COUNTIF(Scenario5[winner1-ability2],HighlanderAbilities2Scenario5[[#This Row],[ability]])+COUNTIF(Scenario5[winner2-ability2],HighlanderAbilities2Scenario5[[#This Row],[ability]])</f>
        <v>58</v>
      </c>
      <c r="N115" s="13">
        <f>IF(SUM(HighlanderAbilities2Scenario5[[#This Row],[takes]]) &gt; 0,HighlanderAbilities2Scenario5[[#This Row],[takes]]/SUM(HighlanderAbilities2Scenario5[takes]),0)</f>
        <v>0.61333333333333329</v>
      </c>
      <c r="O115" s="13">
        <f>IF(HighlanderAbilities2Scenario5[[#This Row],[takes]]&gt;0,HighlanderAbilities2Scenario5[[#This Row],[wins]]/HighlanderAbilities2Scenario5[[#This Row],[takes]],0)</f>
        <v>0.63043478260869568</v>
      </c>
      <c r="S115" s="18"/>
    </row>
    <row r="116" spans="11:19" x14ac:dyDescent="0.25">
      <c r="K116" s="17"/>
      <c r="N116" s="3"/>
      <c r="O116" s="3"/>
      <c r="S116" s="18"/>
    </row>
    <row r="117" spans="11:19" x14ac:dyDescent="0.25">
      <c r="K117" s="19" t="s">
        <v>109</v>
      </c>
      <c r="L117" s="8" t="s">
        <v>110</v>
      </c>
      <c r="M117" s="8" t="s">
        <v>79</v>
      </c>
      <c r="N117" s="9" t="s">
        <v>117</v>
      </c>
      <c r="O117" s="9" t="s">
        <v>118</v>
      </c>
      <c r="S117" s="18"/>
    </row>
    <row r="118" spans="11:19" x14ac:dyDescent="0.25">
      <c r="K118" s="22" t="s">
        <v>123</v>
      </c>
      <c r="L118" s="1">
        <f>COUNTIF(Scenario5[winner1-ability3],HighlanderAbilities3Scenario5[[#This Row],[ability]])+COUNTIF(Scenario5[winner2-ability3],HighlanderAbilities3Scenario5[[#This Row],[ability]])+COUNTIF(Scenario5[loser1-ability3],HighlanderAbilities3Scenario5[[#This Row],[ability]])+COUNTIF(Scenario5[loser2-ability3],HighlanderAbilities3Scenario5[[#This Row],[ability]])</f>
        <v>40</v>
      </c>
      <c r="M118" s="1">
        <f>COUNTIF(Scenario5[winner1-ability3],HighlanderAbilities3Scenario5[[#This Row],[ability]])+COUNTIF(Scenario5[winner2-ability3],HighlanderAbilities3Scenario5[[#This Row],[ability]])</f>
        <v>21</v>
      </c>
      <c r="N118" s="14">
        <f>IF(SUM(HighlanderAbilities3Scenario5[[#This Row],[takes]]) &gt; 0,HighlanderAbilities3Scenario5[[#This Row],[takes]]/SUM(HighlanderAbilities3Scenario5[takes]),0)</f>
        <v>0.3669724770642202</v>
      </c>
      <c r="O118" s="14">
        <f>IF(HighlanderAbilities3Scenario5[[#This Row],[takes]]&gt;0,HighlanderAbilities3Scenario5[[#This Row],[wins]]/HighlanderAbilities3Scenario5[[#This Row],[takes]],0)</f>
        <v>0.52500000000000002</v>
      </c>
      <c r="S118" s="18"/>
    </row>
    <row r="119" spans="11:19" x14ac:dyDescent="0.25">
      <c r="K119" s="20" t="s">
        <v>87</v>
      </c>
      <c r="L119" s="2">
        <f>COUNTIF(Scenario5[winner1-ability3],HighlanderAbilities3Scenario5[[#This Row],[ability]])+COUNTIF(Scenario5[winner2-ability3],HighlanderAbilities3Scenario5[[#This Row],[ability]])+COUNTIF(Scenario5[loser1-ability3],HighlanderAbilities3Scenario5[[#This Row],[ability]])+COUNTIF(Scenario5[loser2-ability3],HighlanderAbilities3Scenario5[[#This Row],[ability]])</f>
        <v>35</v>
      </c>
      <c r="M119" s="2">
        <f>COUNTIF(Scenario5[winner1-ability3],HighlanderAbilities3Scenario5[[#This Row],[ability]])+COUNTIF(Scenario5[winner2-ability3],HighlanderAbilities3Scenario5[[#This Row],[ability]])</f>
        <v>19</v>
      </c>
      <c r="N119" s="12">
        <f>IF(SUM(HighlanderAbilities3Scenario5[[#This Row],[takes]]) &gt; 0,HighlanderAbilities3Scenario5[[#This Row],[takes]]/SUM(HighlanderAbilities3Scenario5[takes]),0)</f>
        <v>0.32110091743119268</v>
      </c>
      <c r="O119" s="12">
        <f>IF(HighlanderAbilities3Scenario5[[#This Row],[takes]]&gt;0,HighlanderAbilities3Scenario5[[#This Row],[wins]]/HighlanderAbilities3Scenario5[[#This Row],[takes]],0)</f>
        <v>0.54285714285714282</v>
      </c>
      <c r="S119" s="18"/>
    </row>
    <row r="120" spans="11:19" x14ac:dyDescent="0.25">
      <c r="K120" s="23" t="s">
        <v>85</v>
      </c>
      <c r="L120" s="1">
        <f>COUNTIF(Scenario5[winner1-ability3],HighlanderAbilities3Scenario5[[#This Row],[ability]])+COUNTIF(Scenario5[winner2-ability3],HighlanderAbilities3Scenario5[[#This Row],[ability]])+COUNTIF(Scenario5[loser1-ability3],HighlanderAbilities3Scenario5[[#This Row],[ability]])+COUNTIF(Scenario5[loser2-ability3],HighlanderAbilities3Scenario5[[#This Row],[ability]])</f>
        <v>34</v>
      </c>
      <c r="M120" s="1">
        <f>COUNTIF(Scenario5[winner1-ability3],HighlanderAbilities3Scenario5[[#This Row],[ability]])+COUNTIF(Scenario5[winner2-ability3],HighlanderAbilities3Scenario5[[#This Row],[ability]])</f>
        <v>29</v>
      </c>
      <c r="N120" s="15">
        <f>IF(SUM(HighlanderAbilities3Scenario5[[#This Row],[takes]]) &gt; 0,HighlanderAbilities3Scenario5[[#This Row],[takes]]/SUM(HighlanderAbilities3Scenario5[takes]),0)</f>
        <v>0.31192660550458717</v>
      </c>
      <c r="O120" s="15">
        <f>IF(HighlanderAbilities3Scenario5[[#This Row],[takes]]&gt;0,HighlanderAbilities3Scenario5[[#This Row],[wins]]/HighlanderAbilities3Scenario5[[#This Row],[takes]],0)</f>
        <v>0.8529411764705882</v>
      </c>
      <c r="S120" s="18"/>
    </row>
    <row r="121" spans="11:19" x14ac:dyDescent="0.25">
      <c r="K121" s="17"/>
      <c r="N121" s="3"/>
      <c r="O121" s="3"/>
      <c r="S121" s="18"/>
    </row>
    <row r="122" spans="11:19" x14ac:dyDescent="0.25">
      <c r="K122" s="19" t="s">
        <v>109</v>
      </c>
      <c r="L122" s="8" t="s">
        <v>110</v>
      </c>
      <c r="M122" s="8" t="s">
        <v>79</v>
      </c>
      <c r="N122" s="9" t="s">
        <v>117</v>
      </c>
      <c r="O122" s="9" t="s">
        <v>118</v>
      </c>
      <c r="S122" s="18"/>
    </row>
    <row r="123" spans="11:19" x14ac:dyDescent="0.25">
      <c r="K123" s="20" t="s">
        <v>88</v>
      </c>
      <c r="L123" s="2">
        <f>COUNTIF(Scenario5[winner1-ability4],HighlanderAbilities4Scenario5[[#This Row],[ability]])+COUNTIF(Scenario5[winner2-ability4],HighlanderAbilities4Scenario5[[#This Row],[ability]])+COUNTIF(Scenario5[loser1-ability4],HighlanderAbilities4Scenario5[[#This Row],[ability]])+COUNTIF(Scenario5[loser2-ability4],HighlanderAbilities4Scenario5[[#This Row],[ability]])</f>
        <v>14</v>
      </c>
      <c r="M123" s="2">
        <f>COUNTIF(Scenario5[winner1-ability4],HighlanderAbilities4Scenario5[[#This Row],[ability]])+COUNTIF(Scenario5[winner2-ability4],HighlanderAbilities4Scenario5[[#This Row],[ability]])</f>
        <v>6</v>
      </c>
      <c r="N123" s="12">
        <f>IF(SUM(HighlanderAbilities4Scenario5[[#This Row],[takes]]) &gt; 0,HighlanderAbilities4Scenario5[[#This Row],[takes]]/SUM(HighlanderAbilities4Scenario5[takes]),0)</f>
        <v>0.20289855072463769</v>
      </c>
      <c r="O123" s="12">
        <f>IF(HighlanderAbilities4Scenario5[[#This Row],[takes]]&gt;0,HighlanderAbilities4Scenario5[[#This Row],[wins]]/HighlanderAbilities4Scenario5[[#This Row],[takes]],0)</f>
        <v>0.42857142857142855</v>
      </c>
      <c r="S123" s="18"/>
    </row>
    <row r="124" spans="11:19" x14ac:dyDescent="0.25">
      <c r="K124" s="20" t="s">
        <v>124</v>
      </c>
      <c r="L124" s="2">
        <f>COUNTIF(Scenario5[winner1-ability4],HighlanderAbilities4Scenario5[[#This Row],[ability]])+COUNTIF(Scenario5[winner2-ability4],HighlanderAbilities4Scenario5[[#This Row],[ability]])+COUNTIF(Scenario5[loser1-ability4],HighlanderAbilities4Scenario5[[#This Row],[ability]])+COUNTIF(Scenario5[loser2-ability4],HighlanderAbilities4Scenario5[[#This Row],[ability]])</f>
        <v>29</v>
      </c>
      <c r="M124" s="2">
        <f>COUNTIF(Scenario5[winner1-ability4],HighlanderAbilities4Scenario5[[#This Row],[ability]])+COUNTIF(Scenario5[winner2-ability4],HighlanderAbilities4Scenario5[[#This Row],[ability]])</f>
        <v>14</v>
      </c>
      <c r="N124" s="12">
        <f>IF(SUM(HighlanderAbilities4Scenario5[[#This Row],[takes]]) &gt; 0,HighlanderAbilities4Scenario5[[#This Row],[takes]]/SUM(HighlanderAbilities4Scenario5[takes]),0)</f>
        <v>0.42028985507246375</v>
      </c>
      <c r="O124" s="12">
        <f>IF(HighlanderAbilities4Scenario5[[#This Row],[takes]]&gt;0,HighlanderAbilities4Scenario5[[#This Row],[wins]]/HighlanderAbilities4Scenario5[[#This Row],[takes]],0)</f>
        <v>0.48275862068965519</v>
      </c>
      <c r="S124" s="18"/>
    </row>
    <row r="125" spans="11:19" ht="15.75" thickBot="1" x14ac:dyDescent="0.3">
      <c r="K125" s="24" t="s">
        <v>125</v>
      </c>
      <c r="L125" s="2">
        <f>COUNTIF(Scenario5[winner1-ability4],HighlanderAbilities4Scenario5[[#This Row],[ability]])+COUNTIF(Scenario5[winner2-ability4],HighlanderAbilities4Scenario5[[#This Row],[ability]])+COUNTIF(Scenario5[loser1-ability4],HighlanderAbilities4Scenario5[[#This Row],[ability]])+COUNTIF(Scenario5[loser2-ability4],HighlanderAbilities4Scenario5[[#This Row],[ability]])</f>
        <v>26</v>
      </c>
      <c r="M125" s="2">
        <f>COUNTIF(Scenario5[winner1-ability4],HighlanderAbilities4Scenario5[[#This Row],[ability]])+COUNTIF(Scenario5[winner2-ability4],HighlanderAbilities4Scenario5[[#This Row],[ability]])</f>
        <v>24</v>
      </c>
      <c r="N125" s="26">
        <f>IF(SUM(HighlanderAbilities4Scenario5[[#This Row],[takes]]) &gt; 0,HighlanderAbilities4Scenario5[[#This Row],[takes]]/SUM(HighlanderAbilities4Scenario5[takes]),0)</f>
        <v>0.37681159420289856</v>
      </c>
      <c r="O125" s="26">
        <f>IF(HighlanderAbilities4Scenario5[[#This Row],[takes]]&gt;0,HighlanderAbilities4Scenario5[[#This Row],[wins]]/HighlanderAbilities4Scenario5[[#This Row],[takes]],0)</f>
        <v>0.92307692307692313</v>
      </c>
      <c r="P125" s="27"/>
      <c r="Q125" s="27"/>
      <c r="R125" s="27"/>
      <c r="S125" s="28"/>
    </row>
  </sheetData>
  <mergeCells count="7">
    <mergeCell ref="K106:S106"/>
    <mergeCell ref="K85:S85"/>
    <mergeCell ref="K22:S22"/>
    <mergeCell ref="K43:S43"/>
    <mergeCell ref="A1:I1"/>
    <mergeCell ref="K1:S1"/>
    <mergeCell ref="K64:S64"/>
  </mergeCells>
  <pageMargins left="0.7" right="0.7" top="0.75" bottom="0.75" header="0.3" footer="0.3"/>
  <pageSetup paperSize="9" orientation="portrait" r:id="rId1"/>
  <tableParts count="3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4CD7-D4B8-4C37-8254-E2666DEEF2DE}">
  <dimension ref="A1:V125"/>
  <sheetViews>
    <sheetView workbookViewId="0">
      <selection activeCell="U12" sqref="U12"/>
    </sheetView>
  </sheetViews>
  <sheetFormatPr defaultRowHeight="15" x14ac:dyDescent="0.25"/>
  <cols>
    <col min="1" max="1" width="20.7109375" bestFit="1" customWidth="1"/>
    <col min="2" max="2" width="8" bestFit="1" customWidth="1"/>
    <col min="3" max="3" width="7.42578125" bestFit="1" customWidth="1"/>
    <col min="4" max="4" width="18.42578125" style="3" bestFit="1" customWidth="1"/>
    <col min="5" max="5" width="15.5703125" style="3" bestFit="1" customWidth="1"/>
    <col min="6" max="6" width="3.5703125" customWidth="1"/>
    <col min="7" max="7" width="7.7109375" bestFit="1" customWidth="1"/>
    <col min="8" max="8" width="7.28515625" bestFit="1" customWidth="1"/>
    <col min="9" max="9" width="12.85546875" bestFit="1" customWidth="1"/>
    <col min="10" max="10" width="3.85546875" customWidth="1"/>
    <col min="11" max="11" width="20.7109375" bestFit="1" customWidth="1"/>
    <col min="12" max="12" width="8" bestFit="1" customWidth="1"/>
    <col min="13" max="13" width="7.42578125" bestFit="1" customWidth="1"/>
    <col min="14" max="14" width="18.42578125" bestFit="1" customWidth="1"/>
    <col min="15" max="15" width="15.5703125" bestFit="1" customWidth="1"/>
    <col min="16" max="16" width="3.42578125" customWidth="1"/>
    <col min="17" max="17" width="7.7109375" bestFit="1" customWidth="1"/>
    <col min="18" max="18" width="7.28515625" bestFit="1" customWidth="1"/>
    <col min="19" max="19" width="12.85546875" bestFit="1" customWidth="1"/>
    <col min="20" max="20" width="11.85546875" bestFit="1" customWidth="1"/>
    <col min="21" max="21" width="16.85546875" bestFit="1" customWidth="1"/>
    <col min="22" max="22" width="7.140625" bestFit="1" customWidth="1"/>
  </cols>
  <sheetData>
    <row r="1" spans="1:22" ht="15.75" thickBot="1" x14ac:dyDescent="0.3">
      <c r="A1" s="36" t="s">
        <v>181</v>
      </c>
      <c r="B1" s="37"/>
      <c r="C1" s="37"/>
      <c r="D1" s="37"/>
      <c r="E1" s="37"/>
      <c r="F1" s="37"/>
      <c r="G1" s="37"/>
      <c r="H1" s="37"/>
      <c r="I1" s="38"/>
      <c r="K1" s="36" t="s">
        <v>182</v>
      </c>
      <c r="L1" s="37"/>
      <c r="M1" s="37"/>
      <c r="N1" s="37"/>
      <c r="O1" s="37"/>
      <c r="P1" s="37"/>
      <c r="Q1" s="37"/>
      <c r="R1" s="37"/>
      <c r="S1" s="38"/>
      <c r="T1" s="29"/>
      <c r="U1" t="s">
        <v>174</v>
      </c>
      <c r="V1" s="3" t="s">
        <v>175</v>
      </c>
    </row>
    <row r="2" spans="1:22" x14ac:dyDescent="0.25">
      <c r="A2" s="17" t="s">
        <v>109</v>
      </c>
      <c r="B2" t="s">
        <v>110</v>
      </c>
      <c r="C2" t="s">
        <v>79</v>
      </c>
      <c r="D2" s="3" t="s">
        <v>117</v>
      </c>
      <c r="E2" s="3" t="s">
        <v>118</v>
      </c>
      <c r="G2" t="s">
        <v>161</v>
      </c>
      <c r="H2" t="s">
        <v>166</v>
      </c>
      <c r="I2" s="18" t="s">
        <v>164</v>
      </c>
      <c r="K2" s="17" t="s">
        <v>109</v>
      </c>
      <c r="L2" t="s">
        <v>110</v>
      </c>
      <c r="M2" t="s">
        <v>79</v>
      </c>
      <c r="N2" s="3" t="s">
        <v>117</v>
      </c>
      <c r="O2" s="3" t="s">
        <v>118</v>
      </c>
      <c r="Q2" t="s">
        <v>161</v>
      </c>
      <c r="R2" t="s">
        <v>166</v>
      </c>
      <c r="S2" s="18" t="s">
        <v>164</v>
      </c>
      <c r="U2" t="s">
        <v>195</v>
      </c>
      <c r="V2" s="3">
        <f>H4/SUM(DruidEquip[staff])</f>
        <v>0.22350993377483444</v>
      </c>
    </row>
    <row r="3" spans="1:22" x14ac:dyDescent="0.25">
      <c r="A3" t="s">
        <v>49</v>
      </c>
      <c r="B3">
        <f>L3+L24+L45+L66+L87+L108</f>
        <v>183</v>
      </c>
      <c r="C3">
        <f>M3+M24+M45+M66+M87+M108</f>
        <v>108</v>
      </c>
      <c r="D3" s="3">
        <f>IF(SUM(DruidAbilities1[[#This Row],[takes]]) &gt; 0,DruidAbilities1[[#This Row],[takes]]/SUM(DruidAbilities1[takes]),0)</f>
        <v>0.30298013245033112</v>
      </c>
      <c r="E3" s="3">
        <f>IF(DruidAbilities1[[#This Row],[takes]]&gt;0,DruidAbilities1[[#This Row],[wins]]/DruidAbilities1[[#This Row],[takes]],0)</f>
        <v>0.5901639344262295</v>
      </c>
      <c r="G3">
        <v>1</v>
      </c>
      <c r="H3">
        <f>R3+R24+R45+R66+R87+R108</f>
        <v>170</v>
      </c>
      <c r="I3" s="18">
        <f>S3+S24+S45+S66+S87+S108</f>
        <v>351</v>
      </c>
      <c r="K3" t="s">
        <v>49</v>
      </c>
      <c r="L3">
        <f>COUNTIF(Scenario0[winner1-ability1],DruidAbilities1Scenario0[[#This Row],[ability]])+COUNTIF(Scenario0[winner2-ability1],DruidAbilities1Scenario0[[#This Row],[ability]])+COUNTIF(Scenario0[loser1-ability1],DruidAbilities1Scenario0[[#This Row],[ability]])+COUNTIF(Scenario0[loser2-ability1],DruidAbilities1Scenario0[[#This Row],[ability]])</f>
        <v>92</v>
      </c>
      <c r="M3">
        <f>COUNTIF(Scenario0[winner1-ability1],DruidAbilities1Scenario0[[#This Row],[ability]])+COUNTIF(Scenario0[winner2-ability1],DruidAbilities1Scenario0[[#This Row],[ability]])</f>
        <v>57</v>
      </c>
      <c r="N3" s="3">
        <f>IF(SUM(DruidAbilities1Scenario0[[#This Row],[takes]]) &gt; 0,DruidAbilities1Scenario0[[#This Row],[takes]]/SUM(DruidAbilities1Scenario0[takes]),0)</f>
        <v>0.54761904761904767</v>
      </c>
      <c r="O3" s="3">
        <f>IF(DruidAbilities1Scenario0[[#This Row],[takes]]&gt;0,DruidAbilities1Scenario0[[#This Row],[wins]]/DruidAbilities1Scenario0[[#This Row],[takes]],0)</f>
        <v>0.61956521739130432</v>
      </c>
      <c r="Q3">
        <v>1</v>
      </c>
      <c r="R3">
        <f>COUNTIFS(Scenario0[winner1],"druid",Scenario0[winner1-pw],DruidEquipScenario0[[#This Row],[level]])+COUNTIFS(Scenario0[winner2],"druid",Scenario0[winner2-pw],DruidEquipScenario0[[#This Row],[level]])+COUNTIFS(Scenario0[loser1],"druid",Scenario0[loser1-pw],DruidEquipScenario0[[#This Row],[level]])+COUNTIFS(Scenario0[loser2],"druid",Scenario0[loser2-pw],DruidEquipScenario0[[#This Row],[level]])</f>
        <v>62</v>
      </c>
      <c r="S3" s="18">
        <f>COUNTIFS(Scenario0[winner1],"druid",Scenario0[winner1-cp],DruidEquipScenario0[[#This Row],[level]])+COUNTIFS(Scenario0[winner2],"druid",Scenario0[winner2-cp],DruidEquipScenario0[[#This Row],[level]])+COUNTIFS(Scenario0[loser1],"druid",Scenario0[loser1-cp],DruidEquipScenario0[[#This Row],[level]])+COUNTIFS(Scenario0[loser2],"druid",Scenario0[loser2-cp],DruidEquipScenario0[[#This Row],[level]])</f>
        <v>141</v>
      </c>
      <c r="U3" t="s">
        <v>196</v>
      </c>
      <c r="V3" s="16">
        <f>H5/SUM(DruidEquip[staff])</f>
        <v>0.49503311258278143</v>
      </c>
    </row>
    <row r="4" spans="1:22" x14ac:dyDescent="0.25">
      <c r="A4" t="s">
        <v>89</v>
      </c>
      <c r="B4">
        <f t="shared" ref="B4:B5" si="0">L4+L25+L46+L67+L88+L109</f>
        <v>242</v>
      </c>
      <c r="C4">
        <f t="shared" ref="C4:C5" si="1">M4+M25+M46+M67+M88+M109</f>
        <v>133</v>
      </c>
      <c r="D4" s="3">
        <f>IF(SUM(DruidAbilities1[[#This Row],[takes]]) &gt; 0,DruidAbilities1[[#This Row],[takes]]/SUM(DruidAbilities1[takes]),0)</f>
        <v>0.40066225165562913</v>
      </c>
      <c r="E4" s="3">
        <f>IF(DruidAbilities1[[#This Row],[takes]]&gt;0,DruidAbilities1[[#This Row],[wins]]/DruidAbilities1[[#This Row],[takes]],0)</f>
        <v>0.54958677685950408</v>
      </c>
      <c r="G4">
        <v>2</v>
      </c>
      <c r="H4">
        <f t="shared" ref="H4:H5" si="2">R4+R25+R46+R67+R88+R109</f>
        <v>135</v>
      </c>
      <c r="I4" s="18">
        <f t="shared" ref="I4:I5" si="3">S4+S25+S46+S67+S88+S109</f>
        <v>96</v>
      </c>
      <c r="K4" t="s">
        <v>89</v>
      </c>
      <c r="L4">
        <f>COUNTIF(Scenario0[winner1-ability1],DruidAbilities1Scenario0[[#This Row],[ability]])+COUNTIF(Scenario0[winner2-ability1],DruidAbilities1Scenario0[[#This Row],[ability]])+COUNTIF(Scenario0[loser1-ability1],DruidAbilities1Scenario0[[#This Row],[ability]])+COUNTIF(Scenario0[loser2-ability1],DruidAbilities1Scenario0[[#This Row],[ability]])</f>
        <v>76</v>
      </c>
      <c r="M4">
        <f>COUNTIF(Scenario0[winner1-ability1],DruidAbilities1Scenario0[[#This Row],[ability]])+COUNTIF(Scenario0[winner2-ability1],DruidAbilities1Scenario0[[#This Row],[ability]])</f>
        <v>34</v>
      </c>
      <c r="N4" s="3">
        <f>IF(SUM(DruidAbilities1Scenario0[[#This Row],[takes]]) &gt; 0,DruidAbilities1Scenario0[[#This Row],[takes]]/SUM(DruidAbilities1Scenario0[takes]),0)</f>
        <v>0.45238095238095238</v>
      </c>
      <c r="O4" s="3">
        <f>IF(DruidAbilities1Scenario0[[#This Row],[takes]]&gt;0,DruidAbilities1Scenario0[[#This Row],[wins]]/DruidAbilities1Scenario0[[#This Row],[takes]],0)</f>
        <v>0.44736842105263158</v>
      </c>
      <c r="Q4">
        <v>2</v>
      </c>
      <c r="R4">
        <f>COUNTIFS(Scenario0[winner1],"druid",Scenario0[winner1-pw],DruidEquipScenario0[[#This Row],[level]])+COUNTIFS(Scenario0[winner2],"druid",Scenario0[winner2-pw],DruidEquipScenario0[[#This Row],[level]])+COUNTIFS(Scenario0[loser1],"druid",Scenario0[loser1-pw],DruidEquipScenario0[[#This Row],[level]])+COUNTIFS(Scenario0[loser2],"druid",Scenario0[loser2-pw],DruidEquipScenario0[[#This Row],[level]])</f>
        <v>58</v>
      </c>
      <c r="S4" s="18">
        <f>COUNTIFS(Scenario0[winner1],"druid",Scenario0[winner1-cp],DruidEquipScenario0[[#This Row],[level]])+COUNTIFS(Scenario0[winner2],"druid",Scenario0[winner2-cp],DruidEquipScenario0[[#This Row],[level]])+COUNTIFS(Scenario0[loser1],"druid",Scenario0[loser1-cp],DruidEquipScenario0[[#This Row],[level]])+COUNTIFS(Scenario0[loser2],"druid",Scenario0[loser2-cp],DruidEquipScenario0[[#This Row],[level]])</f>
        <v>23</v>
      </c>
      <c r="U4" t="s">
        <v>179</v>
      </c>
      <c r="V4" s="3">
        <f>DruidEquip[[#This Row],[chestpiece]]/SUM(DruidEquip[chestpiece])</f>
        <v>0.15894039735099338</v>
      </c>
    </row>
    <row r="5" spans="1:22" x14ac:dyDescent="0.25">
      <c r="A5" t="s">
        <v>126</v>
      </c>
      <c r="B5">
        <f t="shared" si="0"/>
        <v>179</v>
      </c>
      <c r="C5">
        <f t="shared" si="1"/>
        <v>69</v>
      </c>
      <c r="D5" s="3">
        <f>IF(SUM(DruidAbilities1[[#This Row],[takes]]) &gt; 0,DruidAbilities1[[#This Row],[takes]]/SUM(DruidAbilities1[takes]),0)</f>
        <v>0.29635761589403975</v>
      </c>
      <c r="E5" s="3">
        <f>IF(DruidAbilities1[[#This Row],[takes]]&gt;0,DruidAbilities1[[#This Row],[wins]]/DruidAbilities1[[#This Row],[takes]],0)</f>
        <v>0.38547486033519551</v>
      </c>
      <c r="G5">
        <v>3</v>
      </c>
      <c r="H5">
        <f t="shared" si="2"/>
        <v>299</v>
      </c>
      <c r="I5" s="18">
        <f t="shared" si="3"/>
        <v>157</v>
      </c>
      <c r="K5" t="s">
        <v>126</v>
      </c>
      <c r="L5">
        <f>COUNTIF(Scenario0[winner1-ability1],DruidAbilities1Scenario0[[#This Row],[ability]])+COUNTIF(Scenario0[winner2-ability1],DruidAbilities1Scenario0[[#This Row],[ability]])+COUNTIF(Scenario0[loser1-ability1],DruidAbilities1Scenario0[[#This Row],[ability]])+COUNTIF(Scenario0[loser2-ability1],DruidAbilities1Scenario0[[#This Row],[ability]])</f>
        <v>0</v>
      </c>
      <c r="M5">
        <f>COUNTIF(Scenario0[winner1-ability1],DruidAbilities1Scenario0[[#This Row],[ability]])+COUNTIF(Scenario0[winner2-ability1],DruidAbilities1Scenario0[[#This Row],[ability]])</f>
        <v>0</v>
      </c>
      <c r="N5" s="3">
        <f>IF(SUM(DruidAbilities1Scenario0[[#This Row],[takes]]) &gt; 0,DruidAbilities1Scenario0[[#This Row],[takes]]/SUM(DruidAbilities1Scenario0[takes]),0)</f>
        <v>0</v>
      </c>
      <c r="O5" s="3">
        <f>IF(DruidAbilities1Scenario0[[#This Row],[takes]]&gt;0,DruidAbilities1Scenario0[[#This Row],[wins]]/DruidAbilities1Scenario0[[#This Row],[takes]],0)</f>
        <v>0</v>
      </c>
      <c r="Q5">
        <v>3</v>
      </c>
      <c r="R5">
        <f>COUNTIFS(Scenario0[winner1],"druid",Scenario0[winner1-pw],DruidEquipScenario0[[#This Row],[level]])+COUNTIFS(Scenario0[winner2],"druid",Scenario0[winner2-pw],DruidEquipScenario0[[#This Row],[level]])+COUNTIFS(Scenario0[loser1],"druid",Scenario0[loser1-pw],DruidEquipScenario0[[#This Row],[level]])+COUNTIFS(Scenario0[loser2],"druid",Scenario0[loser2-pw],DruidEquipScenario0[[#This Row],[level]])</f>
        <v>48</v>
      </c>
      <c r="S5" s="18">
        <f>COUNTIFS(Scenario0[winner1],"druid",Scenario0[winner1-cp],DruidEquipScenario0[[#This Row],[level]])+COUNTIFS(Scenario0[winner2],"druid",Scenario0[winner2-cp],DruidEquipScenario0[[#This Row],[level]])+COUNTIFS(Scenario0[loser1],"druid",Scenario0[loser1-cp],DruidEquipScenario0[[#This Row],[level]])+COUNTIFS(Scenario0[loser2],"druid",Scenario0[loser2-cp],DruidEquipScenario0[[#This Row],[level]])</f>
        <v>4</v>
      </c>
      <c r="U5" t="s">
        <v>180</v>
      </c>
      <c r="V5" s="16">
        <f>DruidEquip[[#This Row],[chestpiece]]/SUM(DruidEquip[chestpiece])</f>
        <v>0.25993377483443708</v>
      </c>
    </row>
    <row r="6" spans="1:22" x14ac:dyDescent="0.25">
      <c r="A6" s="17"/>
      <c r="I6" s="18"/>
      <c r="K6" s="17"/>
      <c r="N6" s="3"/>
      <c r="O6" s="3"/>
      <c r="S6" s="18"/>
      <c r="U6" t="s">
        <v>176</v>
      </c>
      <c r="V6" s="3">
        <f>SUM(DruidAbilities2[takes])/SUM(DruidAbilities1[takes])</f>
        <v>0.66059602649006621</v>
      </c>
    </row>
    <row r="7" spans="1:22" x14ac:dyDescent="0.25">
      <c r="A7" s="19" t="s">
        <v>109</v>
      </c>
      <c r="B7" s="8" t="s">
        <v>110</v>
      </c>
      <c r="C7" s="8" t="s">
        <v>79</v>
      </c>
      <c r="D7" s="9" t="s">
        <v>117</v>
      </c>
      <c r="E7" s="9" t="s">
        <v>118</v>
      </c>
      <c r="I7" s="18"/>
      <c r="K7" s="19" t="s">
        <v>109</v>
      </c>
      <c r="L7" s="8" t="s">
        <v>110</v>
      </c>
      <c r="M7" s="8" t="s">
        <v>79</v>
      </c>
      <c r="N7" s="9" t="s">
        <v>117</v>
      </c>
      <c r="O7" s="9" t="s">
        <v>118</v>
      </c>
      <c r="S7" s="18"/>
      <c r="U7" t="s">
        <v>177</v>
      </c>
      <c r="V7" s="3">
        <f>SUM(DruidAbilities3[takes])/SUM(DruidAbilities1[takes])</f>
        <v>0.50993377483443714</v>
      </c>
    </row>
    <row r="8" spans="1:22" x14ac:dyDescent="0.25">
      <c r="A8" s="2" t="s">
        <v>71</v>
      </c>
      <c r="B8" s="2">
        <f>L8+L29+L50+L71+L92+L113</f>
        <v>76</v>
      </c>
      <c r="C8" s="2">
        <f>M8+M29+M50+M71+M92+M113</f>
        <v>65</v>
      </c>
      <c r="D8" s="12">
        <f>IF(SUM(DruidAbilities2[[#This Row],[takes]]) &gt; 0,DruidAbilities2[[#This Row],[takes]]/SUM(DruidAbilities2[takes]),0)</f>
        <v>0.19047619047619047</v>
      </c>
      <c r="E8" s="12">
        <f>IF(DruidAbilities2[[#This Row],[takes]]&gt;0,DruidAbilities2[[#This Row],[wins]]/DruidAbilities2[[#This Row],[takes]],0)</f>
        <v>0.85526315789473684</v>
      </c>
      <c r="I8" s="18"/>
      <c r="K8" s="2" t="s">
        <v>71</v>
      </c>
      <c r="L8" s="2">
        <f>COUNTIF(Scenario0[winner1-ability2],DruidAbilities2Scenario0[[#This Row],[ability]])+COUNTIF(Scenario0[winner2-ability2],DruidAbilities2Scenario0[[#This Row],[ability]])+COUNTIF(Scenario0[loser1-ability2],DruidAbilities2Scenario0[[#This Row],[ability]])+COUNTIF(Scenario0[loser2-ability2],DruidAbilities2Scenario0[[#This Row],[ability]])</f>
        <v>22</v>
      </c>
      <c r="M8" s="2">
        <f>COUNTIF(Scenario0[winner1-ability2],DruidAbilities2Scenario0[[#This Row],[ability]])+COUNTIF(Scenario0[winner2-ability2],DruidAbilities2Scenario0[[#This Row],[ability]])</f>
        <v>18</v>
      </c>
      <c r="N8" s="12">
        <f>IF(SUM(DruidAbilities2Scenario0[[#This Row],[takes]]) &gt; 0,DruidAbilities2Scenario0[[#This Row],[takes]]/SUM(DruidAbilities2Scenario0[takes]),0)</f>
        <v>0.45833333333333331</v>
      </c>
      <c r="O8" s="12">
        <f>IF(DruidAbilities2Scenario0[[#This Row],[takes]]&gt;0,DruidAbilities2Scenario0[[#This Row],[wins]]/DruidAbilities2Scenario0[[#This Row],[takes]],0)</f>
        <v>0.81818181818181823</v>
      </c>
      <c r="S8" s="18"/>
      <c r="U8" t="s">
        <v>178</v>
      </c>
      <c r="V8" s="16">
        <f>SUM(DruidAbilities4[takes])/SUM(DruidAbilities1[takes])</f>
        <v>0.36920529801324503</v>
      </c>
    </row>
    <row r="9" spans="1:22" x14ac:dyDescent="0.25">
      <c r="A9" t="s">
        <v>50</v>
      </c>
      <c r="B9" s="2">
        <f t="shared" ref="B9:B10" si="4">L9+L30+L51+L72+L93+L114</f>
        <v>97</v>
      </c>
      <c r="C9" s="2">
        <f t="shared" ref="C9:C10" si="5">M9+M30+M51+M72+M93+M114</f>
        <v>48</v>
      </c>
      <c r="D9" s="3">
        <f>IF(SUM(DruidAbilities2[[#This Row],[takes]]) &gt; 0,DruidAbilities2[[#This Row],[takes]]/SUM(DruidAbilities2[takes]),0)</f>
        <v>0.24310776942355888</v>
      </c>
      <c r="E9" s="3">
        <f>IF(DruidAbilities2[[#This Row],[takes]]&gt;0,DruidAbilities2[[#This Row],[wins]]/DruidAbilities2[[#This Row],[takes]],0)</f>
        <v>0.49484536082474229</v>
      </c>
      <c r="I9" s="18"/>
      <c r="K9" t="s">
        <v>50</v>
      </c>
      <c r="L9" s="2">
        <f>COUNTIF(Scenario0[winner1-ability2],DruidAbilities2Scenario0[[#This Row],[ability]])+COUNTIF(Scenario0[winner2-ability2],DruidAbilities2Scenario0[[#This Row],[ability]])+COUNTIF(Scenario0[loser1-ability2],DruidAbilities2Scenario0[[#This Row],[ability]])+COUNTIF(Scenario0[loser2-ability2],DruidAbilities2Scenario0[[#This Row],[ability]])</f>
        <v>11</v>
      </c>
      <c r="M9" s="2">
        <f>COUNTIF(Scenario0[winner1-ability2],DruidAbilities2Scenario0[[#This Row],[ability]])+COUNTIF(Scenario0[winner2-ability2],DruidAbilities2Scenario0[[#This Row],[ability]])</f>
        <v>8</v>
      </c>
      <c r="N9" s="3">
        <f>IF(SUM(DruidAbilities2Scenario0[[#This Row],[takes]]) &gt; 0,DruidAbilities2Scenario0[[#This Row],[takes]]/SUM(DruidAbilities2Scenario0[takes]),0)</f>
        <v>0.22916666666666666</v>
      </c>
      <c r="O9" s="3">
        <f>IF(DruidAbilities2Scenario0[[#This Row],[takes]]&gt;0,DruidAbilities2Scenario0[[#This Row],[wins]]/DruidAbilities2Scenario0[[#This Row],[takes]],0)</f>
        <v>0.72727272727272729</v>
      </c>
      <c r="S9" s="18"/>
      <c r="U9" t="s">
        <v>194</v>
      </c>
      <c r="V9" s="33">
        <f>(SUM(DruidAbilities2[takes])+SUM(DruidAbilities3[takes])+SUM(DruidAbilities4[takes])+SUM(H4:H5)+SUM(I4:I5))/SUM(DruidAbilities1[takes])</f>
        <v>2.6771523178807946</v>
      </c>
    </row>
    <row r="10" spans="1:22" x14ac:dyDescent="0.25">
      <c r="A10" s="10" t="s">
        <v>84</v>
      </c>
      <c r="B10" s="2">
        <f t="shared" si="4"/>
        <v>226</v>
      </c>
      <c r="C10" s="2">
        <f t="shared" si="5"/>
        <v>109</v>
      </c>
      <c r="D10" s="13">
        <f>IF(SUM(DruidAbilities2[[#This Row],[takes]]) &gt; 0,DruidAbilities2[[#This Row],[takes]]/SUM(DruidAbilities2[takes]),0)</f>
        <v>0.5664160401002506</v>
      </c>
      <c r="E10" s="13">
        <f>IF(DruidAbilities2[[#This Row],[takes]]&gt;0,DruidAbilities2[[#This Row],[wins]]/DruidAbilities2[[#This Row],[takes]],0)</f>
        <v>0.48230088495575218</v>
      </c>
      <c r="I10" s="18"/>
      <c r="K10" s="10" t="s">
        <v>84</v>
      </c>
      <c r="L10" s="2">
        <f>COUNTIF(Scenario0[winner1-ability2],DruidAbilities2Scenario0[[#This Row],[ability]])+COUNTIF(Scenario0[winner2-ability2],DruidAbilities2Scenario0[[#This Row],[ability]])+COUNTIF(Scenario0[loser1-ability2],DruidAbilities2Scenario0[[#This Row],[ability]])+COUNTIF(Scenario0[loser2-ability2],DruidAbilities2Scenario0[[#This Row],[ability]])</f>
        <v>15</v>
      </c>
      <c r="M10" s="2">
        <f>COUNTIF(Scenario0[winner1-ability2],DruidAbilities2Scenario0[[#This Row],[ability]])+COUNTIF(Scenario0[winner2-ability2],DruidAbilities2Scenario0[[#This Row],[ability]])</f>
        <v>9</v>
      </c>
      <c r="N10" s="13">
        <f>IF(SUM(DruidAbilities2Scenario0[[#This Row],[takes]]) &gt; 0,DruidAbilities2Scenario0[[#This Row],[takes]]/SUM(DruidAbilities2Scenario0[takes]),0)</f>
        <v>0.3125</v>
      </c>
      <c r="O10" s="13">
        <f>IF(DruidAbilities2Scenario0[[#This Row],[takes]]&gt;0,DruidAbilities2Scenario0[[#This Row],[wins]]/DruidAbilities2Scenario0[[#This Row],[takes]],0)</f>
        <v>0.6</v>
      </c>
      <c r="S10" s="18"/>
    </row>
    <row r="11" spans="1:22" x14ac:dyDescent="0.25">
      <c r="A11" s="17"/>
      <c r="I11" s="18"/>
      <c r="K11" s="17"/>
      <c r="N11" s="3"/>
      <c r="O11" s="3"/>
      <c r="S11" s="18"/>
    </row>
    <row r="12" spans="1:22" x14ac:dyDescent="0.25">
      <c r="A12" s="19" t="s">
        <v>109</v>
      </c>
      <c r="B12" s="8" t="s">
        <v>110</v>
      </c>
      <c r="C12" s="8" t="s">
        <v>79</v>
      </c>
      <c r="D12" s="9" t="s">
        <v>117</v>
      </c>
      <c r="E12" s="9" t="s">
        <v>118</v>
      </c>
      <c r="I12" s="18"/>
      <c r="K12" s="19" t="s">
        <v>109</v>
      </c>
      <c r="L12" s="8" t="s">
        <v>110</v>
      </c>
      <c r="M12" s="8" t="s">
        <v>79</v>
      </c>
      <c r="N12" s="9" t="s">
        <v>117</v>
      </c>
      <c r="O12" s="9" t="s">
        <v>118</v>
      </c>
      <c r="S12" s="18"/>
    </row>
    <row r="13" spans="1:22" x14ac:dyDescent="0.25">
      <c r="A13" s="1" t="s">
        <v>51</v>
      </c>
      <c r="B13" s="1">
        <f>L13+L34+L55+L76+L97+L118</f>
        <v>37</v>
      </c>
      <c r="C13" s="1">
        <f>M13+M34+M55+M76+M97+M118</f>
        <v>32</v>
      </c>
      <c r="D13" s="14">
        <f>IF(SUM(DruidAbilities3[[#This Row],[takes]]) &gt; 0,DruidAbilities3[[#This Row],[takes]]/SUM(DruidAbilities3[takes]),0)</f>
        <v>0.12012987012987013</v>
      </c>
      <c r="E13" s="14">
        <f>IF(DruidAbilities3[[#This Row],[takes]]&gt;0,DruidAbilities3[[#This Row],[wins]]/DruidAbilities3[[#This Row],[takes]],0)</f>
        <v>0.86486486486486491</v>
      </c>
      <c r="I13" s="18"/>
      <c r="K13" s="1" t="s">
        <v>51</v>
      </c>
      <c r="L13" s="1">
        <f>COUNTIF(Scenario0[winner1-ability3],DruidAbilities3Scenario0[[#This Row],[ability]])+COUNTIF(Scenario0[winner2-ability3],DruidAbilities3Scenario0[[#This Row],[ability]])+COUNTIF(Scenario0[loser1-ability3],DruidAbilities3Scenario0[[#This Row],[ability]])+COUNTIF(Scenario0[loser2-ability3],DruidAbilities3Scenario0[[#This Row],[ability]])</f>
        <v>1</v>
      </c>
      <c r="M13" s="1">
        <f>COUNTIF(Scenario0[winner1-ability3],DruidAbilities3Scenario0[[#This Row],[ability]])+COUNTIF(Scenario0[winner2-ability3],DruidAbilities3Scenario0[[#This Row],[ability]])</f>
        <v>1</v>
      </c>
      <c r="N13" s="14">
        <f>IF(SUM(DruidAbilities3Scenario0[[#This Row],[takes]]) &gt; 0,DruidAbilities3Scenario0[[#This Row],[takes]]/SUM(DruidAbilities3Scenario0[takes]),0)</f>
        <v>4.7619047619047616E-2</v>
      </c>
      <c r="O13" s="14">
        <f>IF(DruidAbilities3Scenario0[[#This Row],[takes]]&gt;0,DruidAbilities3Scenario0[[#This Row],[wins]]/DruidAbilities3Scenario0[[#This Row],[takes]],0)</f>
        <v>1</v>
      </c>
      <c r="S13" s="18"/>
    </row>
    <row r="14" spans="1:22" x14ac:dyDescent="0.25">
      <c r="A14" s="2" t="s">
        <v>127</v>
      </c>
      <c r="B14" s="2">
        <f t="shared" ref="B14:B15" si="6">L14+L35+L56+L77+L98+L119</f>
        <v>171</v>
      </c>
      <c r="C14" s="2">
        <f t="shared" ref="C14:C15" si="7">M14+M35+M56+M77+M98+M119</f>
        <v>103</v>
      </c>
      <c r="D14" s="12">
        <f>IF(SUM(DruidAbilities3[[#This Row],[takes]]) &gt; 0,DruidAbilities3[[#This Row],[takes]]/SUM(DruidAbilities3[takes]),0)</f>
        <v>0.55519480519480524</v>
      </c>
      <c r="E14" s="12">
        <f>IF(DruidAbilities3[[#This Row],[takes]]&gt;0,DruidAbilities3[[#This Row],[wins]]/DruidAbilities3[[#This Row],[takes]],0)</f>
        <v>0.60233918128654973</v>
      </c>
      <c r="I14" s="18"/>
      <c r="K14" s="2" t="s">
        <v>127</v>
      </c>
      <c r="L14" s="2">
        <f>COUNTIF(Scenario0[winner1-ability3],DruidAbilities3Scenario0[[#This Row],[ability]])+COUNTIF(Scenario0[winner2-ability3],DruidAbilities3Scenario0[[#This Row],[ability]])+COUNTIF(Scenario0[loser1-ability3],DruidAbilities3Scenario0[[#This Row],[ability]])+COUNTIF(Scenario0[loser2-ability3],DruidAbilities3Scenario0[[#This Row],[ability]])</f>
        <v>16</v>
      </c>
      <c r="M14" s="2">
        <f>COUNTIF(Scenario0[winner1-ability3],DruidAbilities3Scenario0[[#This Row],[ability]])+COUNTIF(Scenario0[winner2-ability3],DruidAbilities3Scenario0[[#This Row],[ability]])</f>
        <v>15</v>
      </c>
      <c r="N14" s="12">
        <f>IF(SUM(DruidAbilities3Scenario0[[#This Row],[takes]]) &gt; 0,DruidAbilities3Scenario0[[#This Row],[takes]]/SUM(DruidAbilities3Scenario0[takes]),0)</f>
        <v>0.76190476190476186</v>
      </c>
      <c r="O14" s="12">
        <f>IF(DruidAbilities3Scenario0[[#This Row],[takes]]&gt;0,DruidAbilities3Scenario0[[#This Row],[wins]]/DruidAbilities3Scenario0[[#This Row],[takes]],0)</f>
        <v>0.9375</v>
      </c>
      <c r="S14" s="18"/>
    </row>
    <row r="15" spans="1:22" x14ac:dyDescent="0.25">
      <c r="A15" s="11" t="s">
        <v>90</v>
      </c>
      <c r="B15" s="1">
        <f t="shared" si="6"/>
        <v>100</v>
      </c>
      <c r="C15" s="1">
        <f t="shared" si="7"/>
        <v>46</v>
      </c>
      <c r="D15" s="15">
        <f>IF(SUM(DruidAbilities3[[#This Row],[takes]]) &gt; 0,DruidAbilities3[[#This Row],[takes]]/SUM(DruidAbilities3[takes]),0)</f>
        <v>0.32467532467532467</v>
      </c>
      <c r="E15" s="15">
        <f>IF(DruidAbilities3[[#This Row],[takes]]&gt;0,DruidAbilities3[[#This Row],[wins]]/DruidAbilities3[[#This Row],[takes]],0)</f>
        <v>0.46</v>
      </c>
      <c r="I15" s="18"/>
      <c r="K15" s="11" t="s">
        <v>90</v>
      </c>
      <c r="L15" s="1">
        <f>COUNTIF(Scenario0[winner1-ability3],DruidAbilities3Scenario0[[#This Row],[ability]])+COUNTIF(Scenario0[winner2-ability3],DruidAbilities3Scenario0[[#This Row],[ability]])+COUNTIF(Scenario0[loser1-ability3],DruidAbilities3Scenario0[[#This Row],[ability]])+COUNTIF(Scenario0[loser2-ability3],DruidAbilities3Scenario0[[#This Row],[ability]])</f>
        <v>4</v>
      </c>
      <c r="M15" s="1">
        <f>COUNTIF(Scenario0[winner1-ability3],DruidAbilities3Scenario0[[#This Row],[ability]])+COUNTIF(Scenario0[winner2-ability3],DruidAbilities3Scenario0[[#This Row],[ability]])</f>
        <v>4</v>
      </c>
      <c r="N15" s="15">
        <f>IF(SUM(DruidAbilities3Scenario0[[#This Row],[takes]]) &gt; 0,DruidAbilities3Scenario0[[#This Row],[takes]]/SUM(DruidAbilities3Scenario0[takes]),0)</f>
        <v>0.19047619047619047</v>
      </c>
      <c r="O15" s="15">
        <f>IF(DruidAbilities3Scenario0[[#This Row],[takes]]&gt;0,DruidAbilities3Scenario0[[#This Row],[wins]]/DruidAbilities3Scenario0[[#This Row],[takes]],0)</f>
        <v>1</v>
      </c>
      <c r="S15" s="18"/>
    </row>
    <row r="16" spans="1:22" x14ac:dyDescent="0.25">
      <c r="A16" s="17"/>
      <c r="I16" s="18"/>
      <c r="K16" s="17"/>
      <c r="N16" s="3"/>
      <c r="O16" s="3"/>
      <c r="S16" s="18"/>
    </row>
    <row r="17" spans="1:20" x14ac:dyDescent="0.25">
      <c r="A17" s="19" t="s">
        <v>109</v>
      </c>
      <c r="B17" s="8" t="s">
        <v>110</v>
      </c>
      <c r="C17" s="8" t="s">
        <v>79</v>
      </c>
      <c r="D17" s="9" t="s">
        <v>117</v>
      </c>
      <c r="E17" s="9" t="s">
        <v>118</v>
      </c>
      <c r="I17" s="18"/>
      <c r="K17" s="19" t="s">
        <v>109</v>
      </c>
      <c r="L17" s="8" t="s">
        <v>110</v>
      </c>
      <c r="M17" s="8" t="s">
        <v>79</v>
      </c>
      <c r="N17" s="9" t="s">
        <v>117</v>
      </c>
      <c r="O17" s="9" t="s">
        <v>118</v>
      </c>
      <c r="S17" s="18"/>
    </row>
    <row r="18" spans="1:20" x14ac:dyDescent="0.25">
      <c r="A18" s="2" t="s">
        <v>128</v>
      </c>
      <c r="B18" s="2">
        <f>L18+L39+L60+L81+L102+L123</f>
        <v>79</v>
      </c>
      <c r="C18" s="2">
        <f>M18+M39+M60+M81+M102+M123</f>
        <v>46</v>
      </c>
      <c r="D18" s="12">
        <f>IF(SUM(DruidAbilities4[[#This Row],[takes]]) &gt; 0,DruidAbilities4[[#This Row],[takes]]/SUM(DruidAbilities4[takes]),0)</f>
        <v>0.35426008968609868</v>
      </c>
      <c r="E18" s="12">
        <f>IF(DruidAbilities4[[#This Row],[takes]]&gt;0,DruidAbilities4[[#This Row],[wins]]/DruidAbilities4[[#This Row],[takes]],0)</f>
        <v>0.58227848101265822</v>
      </c>
      <c r="I18" s="18"/>
      <c r="K18" s="2" t="s">
        <v>128</v>
      </c>
      <c r="L18" s="2">
        <f>COUNTIF(Scenario0[winner1-ability4],DruidAbilities4Scenario0[[#This Row],[ability]])+COUNTIF(Scenario0[winner2-ability4],DruidAbilities4Scenario0[[#This Row],[ability]])+COUNTIF(Scenario0[loser1-ability4],DruidAbilities4Scenario0[[#This Row],[ability]])+COUNTIF(Scenario0[loser2-ability4],DruidAbilities4Scenario0[[#This Row],[ability]])</f>
        <v>3</v>
      </c>
      <c r="M18" s="2">
        <f>COUNTIF(Scenario0[winner1-ability4],DruidAbilities4Scenario0[[#This Row],[ability]])+COUNTIF(Scenario0[winner2-ability4],DruidAbilities4Scenario0[[#This Row],[ability]])</f>
        <v>2</v>
      </c>
      <c r="N18" s="12">
        <f>IF(SUM(DruidAbilities4Scenario0[[#This Row],[takes]]) &gt; 0,DruidAbilities4Scenario0[[#This Row],[takes]]/SUM(DruidAbilities4Scenario0[takes]),0)</f>
        <v>0.33333333333333331</v>
      </c>
      <c r="O18" s="12">
        <f>IF(DruidAbilities4Scenario0[[#This Row],[takes]]&gt;0,DruidAbilities4Scenario0[[#This Row],[wins]]/DruidAbilities4Scenario0[[#This Row],[takes]],0)</f>
        <v>0.66666666666666663</v>
      </c>
      <c r="S18" s="18"/>
    </row>
    <row r="19" spans="1:20" x14ac:dyDescent="0.25">
      <c r="A19" s="2" t="s">
        <v>52</v>
      </c>
      <c r="B19" s="2">
        <f t="shared" ref="B19:B20" si="8">L19+L40+L61+L82+L103+L124</f>
        <v>53</v>
      </c>
      <c r="C19" s="2">
        <f t="shared" ref="C19:C20" si="9">M19+M40+M61+M82+M103+M124</f>
        <v>28</v>
      </c>
      <c r="D19" s="12">
        <f>IF(SUM(DruidAbilities4[[#This Row],[takes]]) &gt; 0,DruidAbilities4[[#This Row],[takes]]/SUM(DruidAbilities4[takes]),0)</f>
        <v>0.23766816143497757</v>
      </c>
      <c r="E19" s="12">
        <f>IF(DruidAbilities4[[#This Row],[takes]]&gt;0,DruidAbilities4[[#This Row],[wins]]/DruidAbilities4[[#This Row],[takes]],0)</f>
        <v>0.52830188679245282</v>
      </c>
      <c r="I19" s="18"/>
      <c r="K19" s="2" t="s">
        <v>52</v>
      </c>
      <c r="L19" s="2">
        <f>COUNTIF(Scenario0[winner1-ability4],DruidAbilities4Scenario0[[#This Row],[ability]])+COUNTIF(Scenario0[winner2-ability4],DruidAbilities4Scenario0[[#This Row],[ability]])+COUNTIF(Scenario0[loser1-ability4],DruidAbilities4Scenario0[[#This Row],[ability]])+COUNTIF(Scenario0[loser2-ability4],DruidAbilities4Scenario0[[#This Row],[ability]])</f>
        <v>5</v>
      </c>
      <c r="M19" s="2">
        <f>COUNTIF(Scenario0[winner1-ability4],DruidAbilities4Scenario0[[#This Row],[ability]])+COUNTIF(Scenario0[winner2-ability4],DruidAbilities4Scenario0[[#This Row],[ability]])</f>
        <v>5</v>
      </c>
      <c r="N19" s="12">
        <f>IF(SUM(DruidAbilities4Scenario0[[#This Row],[takes]]) &gt; 0,DruidAbilities4Scenario0[[#This Row],[takes]]/SUM(DruidAbilities4Scenario0[takes]),0)</f>
        <v>0.55555555555555558</v>
      </c>
      <c r="O19" s="12">
        <f>IF(DruidAbilities4Scenario0[[#This Row],[takes]]&gt;0,DruidAbilities4Scenario0[[#This Row],[wins]]/DruidAbilities4Scenario0[[#This Row],[takes]],0)</f>
        <v>1</v>
      </c>
      <c r="S19" s="18"/>
    </row>
    <row r="20" spans="1:20" ht="15.75" thickBot="1" x14ac:dyDescent="0.3">
      <c r="A20" s="10" t="s">
        <v>129</v>
      </c>
      <c r="B20" s="2">
        <f t="shared" si="8"/>
        <v>91</v>
      </c>
      <c r="C20" s="2">
        <f t="shared" si="9"/>
        <v>60</v>
      </c>
      <c r="D20" s="26">
        <f>IF(SUM(DruidAbilities4[[#This Row],[takes]]) &gt; 0,DruidAbilities4[[#This Row],[takes]]/SUM(DruidAbilities4[takes]),0)</f>
        <v>0.40807174887892378</v>
      </c>
      <c r="E20" s="26">
        <f>IF(DruidAbilities4[[#This Row],[takes]]&gt;0,DruidAbilities4[[#This Row],[wins]]/DruidAbilities4[[#This Row],[takes]],0)</f>
        <v>0.65934065934065933</v>
      </c>
      <c r="F20" s="27"/>
      <c r="G20" s="27"/>
      <c r="H20" s="27"/>
      <c r="I20" s="28"/>
      <c r="K20" s="10" t="s">
        <v>129</v>
      </c>
      <c r="L20" s="25">
        <f>COUNTIF(Scenario0[winner1-ability4],DruidAbilities4Scenario0[[#This Row],[ability]])+COUNTIF(Scenario0[winner2-ability4],DruidAbilities4Scenario0[[#This Row],[ability]])+COUNTIF(Scenario0[loser1-ability4],DruidAbilities4Scenario0[[#This Row],[ability]])+COUNTIF(Scenario0[loser2-ability4],DruidAbilities4Scenario0[[#This Row],[ability]])</f>
        <v>1</v>
      </c>
      <c r="M20" s="25">
        <f>COUNTIF(Scenario0[winner1-ability4],DruidAbilities4Scenario0[[#This Row],[ability]])+COUNTIF(Scenario0[winner2-ability4],DruidAbilities4Scenario0[[#This Row],[ability]])</f>
        <v>1</v>
      </c>
      <c r="N20" s="26">
        <f>IF(SUM(DruidAbilities4Scenario0[[#This Row],[takes]]) &gt; 0,DruidAbilities4Scenario0[[#This Row],[takes]]/SUM(DruidAbilities4Scenario0[takes]),0)</f>
        <v>0.1111111111111111</v>
      </c>
      <c r="O20" s="26">
        <f>IF(DruidAbilities4Scenario0[[#This Row],[takes]]&gt;0,DruidAbilities4Scenario0[[#This Row],[wins]]/DruidAbilities4Scenario0[[#This Row],[takes]],0)</f>
        <v>1</v>
      </c>
      <c r="P20" s="27"/>
      <c r="Q20" s="27"/>
      <c r="R20" s="27"/>
      <c r="S20" s="28"/>
    </row>
    <row r="21" spans="1:20" ht="15.75" thickBot="1" x14ac:dyDescent="0.3"/>
    <row r="22" spans="1:20" ht="15.75" thickBot="1" x14ac:dyDescent="0.3">
      <c r="K22" s="36" t="s">
        <v>183</v>
      </c>
      <c r="L22" s="37"/>
      <c r="M22" s="37"/>
      <c r="N22" s="37"/>
      <c r="O22" s="37"/>
      <c r="P22" s="37"/>
      <c r="Q22" s="37"/>
      <c r="R22" s="37"/>
      <c r="S22" s="38"/>
      <c r="T22" s="29"/>
    </row>
    <row r="23" spans="1:20" x14ac:dyDescent="0.25">
      <c r="K23" s="17" t="s">
        <v>109</v>
      </c>
      <c r="L23" t="s">
        <v>110</v>
      </c>
      <c r="M23" t="s">
        <v>79</v>
      </c>
      <c r="N23" s="3" t="s">
        <v>117</v>
      </c>
      <c r="O23" s="3" t="s">
        <v>118</v>
      </c>
      <c r="Q23" t="s">
        <v>161</v>
      </c>
      <c r="R23" t="s">
        <v>166</v>
      </c>
      <c r="S23" s="18" t="s">
        <v>164</v>
      </c>
    </row>
    <row r="24" spans="1:20" x14ac:dyDescent="0.25">
      <c r="K24" t="s">
        <v>49</v>
      </c>
      <c r="L24">
        <f>COUNTIF(Scenario1[winner1-ability1],DruidAbilities1Scenario1[[#This Row],[ability]])+COUNTIF(Scenario1[winner2-ability1],DruidAbilities1Scenario1[[#This Row],[ability]])+COUNTIF(Scenario1[loser1-ability1],DruidAbilities1Scenario1[[#This Row],[ability]])+COUNTIF(Scenario1[loser2-ability1],DruidAbilities1Scenario1[[#This Row],[ability]])</f>
        <v>55</v>
      </c>
      <c r="M24">
        <f>COUNTIF(Scenario1[winner1-ability1],DruidAbilities1Scenario1[[#This Row],[ability]])+COUNTIF(Scenario1[winner2-ability1],DruidAbilities1Scenario1[[#This Row],[ability]])</f>
        <v>33</v>
      </c>
      <c r="N24" s="3">
        <f>IF(SUM(DruidAbilities1Scenario1[[#This Row],[takes]]) &gt; 0,DruidAbilities1Scenario1[[#This Row],[takes]]/SUM(DruidAbilities1Scenario1[takes]),0)</f>
        <v>0.32738095238095238</v>
      </c>
      <c r="O24" s="3">
        <f>IF(DruidAbilities1Scenario1[[#This Row],[takes]]&gt;0,DruidAbilities1Scenario1[[#This Row],[wins]]/DruidAbilities1Scenario1[[#This Row],[takes]],0)</f>
        <v>0.6</v>
      </c>
      <c r="Q24">
        <v>1</v>
      </c>
      <c r="R24">
        <f>COUNTIFS(Scenario1[winner1],"druid",Scenario1[winner1-pw],DruidEquipScenario1[[#This Row],[level]])+COUNTIFS(Scenario1[winner2],"druid",Scenario1[winner2-pw],DruidEquipScenario1[[#This Row],[level]])+COUNTIFS(Scenario1[loser1],"druid",Scenario1[loser1-pw],DruidEquipScenario1[[#This Row],[level]])+COUNTIFS(Scenario1[loser2],"druid",Scenario1[loser2-pw],DruidEquipScenario1[[#This Row],[level]])</f>
        <v>37</v>
      </c>
      <c r="S24" s="18">
        <f>COUNTIFS(Scenario1[winner1],"druid",Scenario1[winner1-cp],DruidEquipScenario1[[#This Row],[level]])+COUNTIFS(Scenario1[winner2],"druid",Scenario1[winner2-cp],DruidEquipScenario1[[#This Row],[level]])+COUNTIFS(Scenario1[loser1],"druid",Scenario1[loser1-cp],DruidEquipScenario1[[#This Row],[level]])+COUNTIFS(Scenario1[loser2],"druid",Scenario1[loser2-cp],DruidEquipScenario1[[#This Row],[level]])</f>
        <v>109</v>
      </c>
    </row>
    <row r="25" spans="1:20" x14ac:dyDescent="0.25">
      <c r="K25" t="s">
        <v>89</v>
      </c>
      <c r="L25">
        <f>COUNTIF(Scenario1[winner1-ability1],DruidAbilities1Scenario1[[#This Row],[ability]])+COUNTIF(Scenario1[winner2-ability1],DruidAbilities1Scenario1[[#This Row],[ability]])+COUNTIF(Scenario1[loser1-ability1],DruidAbilities1Scenario1[[#This Row],[ability]])+COUNTIF(Scenario1[loser2-ability1],DruidAbilities1Scenario1[[#This Row],[ability]])</f>
        <v>113</v>
      </c>
      <c r="M25">
        <f>COUNTIF(Scenario1[winner1-ability1],DruidAbilities1Scenario1[[#This Row],[ability]])+COUNTIF(Scenario1[winner2-ability1],DruidAbilities1Scenario1[[#This Row],[ability]])</f>
        <v>63</v>
      </c>
      <c r="N25" s="3">
        <f>IF(SUM(DruidAbilities1Scenario1[[#This Row],[takes]]) &gt; 0,DruidAbilities1Scenario1[[#This Row],[takes]]/SUM(DruidAbilities1Scenario1[takes]),0)</f>
        <v>0.67261904761904767</v>
      </c>
      <c r="O25" s="3">
        <f>IF(DruidAbilities1Scenario1[[#This Row],[takes]]&gt;0,DruidAbilities1Scenario1[[#This Row],[wins]]/DruidAbilities1Scenario1[[#This Row],[takes]],0)</f>
        <v>0.55752212389380529</v>
      </c>
      <c r="Q25">
        <v>2</v>
      </c>
      <c r="R25">
        <f>COUNTIFS(Scenario1[winner1],"druid",Scenario1[winner1-pw],DruidEquipScenario1[[#This Row],[level]])+COUNTIFS(Scenario1[winner2],"druid",Scenario1[winner2-pw],DruidEquipScenario1[[#This Row],[level]])+COUNTIFS(Scenario1[loser1],"druid",Scenario1[loser1-pw],DruidEquipScenario1[[#This Row],[level]])+COUNTIFS(Scenario1[loser2],"druid",Scenario1[loser2-pw],DruidEquipScenario1[[#This Row],[level]])</f>
        <v>34</v>
      </c>
      <c r="S25" s="18">
        <f>COUNTIFS(Scenario1[winner1],"druid",Scenario1[winner1-cp],DruidEquipScenario1[[#This Row],[level]])+COUNTIFS(Scenario1[winner2],"druid",Scenario1[winner2-cp],DruidEquipScenario1[[#This Row],[level]])+COUNTIFS(Scenario1[loser1],"druid",Scenario1[loser1-cp],DruidEquipScenario1[[#This Row],[level]])+COUNTIFS(Scenario1[loser2],"druid",Scenario1[loser2-cp],DruidEquipScenario1[[#This Row],[level]])</f>
        <v>37</v>
      </c>
    </row>
    <row r="26" spans="1:20" x14ac:dyDescent="0.25">
      <c r="K26" t="s">
        <v>126</v>
      </c>
      <c r="L26">
        <f>COUNTIF(Scenario1[winner1-ability1],DruidAbilities1Scenario1[[#This Row],[ability]])+COUNTIF(Scenario1[winner2-ability1],DruidAbilities1Scenario1[[#This Row],[ability]])+COUNTIF(Scenario1[loser1-ability1],DruidAbilities1Scenario1[[#This Row],[ability]])+COUNTIF(Scenario1[loser2-ability1],DruidAbilities1Scenario1[[#This Row],[ability]])</f>
        <v>0</v>
      </c>
      <c r="M26">
        <f>COUNTIF(Scenario1[winner1-ability1],DruidAbilities1Scenario1[[#This Row],[ability]])+COUNTIF(Scenario1[winner2-ability1],DruidAbilities1Scenario1[[#This Row],[ability]])</f>
        <v>0</v>
      </c>
      <c r="N26" s="3">
        <f>IF(SUM(DruidAbilities1Scenario1[[#This Row],[takes]]) &gt; 0,DruidAbilities1Scenario1[[#This Row],[takes]]/SUM(DruidAbilities1Scenario1[takes]),0)</f>
        <v>0</v>
      </c>
      <c r="O26" s="3">
        <f>IF(DruidAbilities1Scenario1[[#This Row],[takes]]&gt;0,DruidAbilities1Scenario1[[#This Row],[wins]]/DruidAbilities1Scenario1[[#This Row],[takes]],0)</f>
        <v>0</v>
      </c>
      <c r="Q26">
        <v>3</v>
      </c>
      <c r="R26">
        <f>COUNTIFS(Scenario1[winner1],"druid",Scenario1[winner1-pw],DruidEquipScenario1[[#This Row],[level]])+COUNTIFS(Scenario1[winner2],"druid",Scenario1[winner2-pw],DruidEquipScenario1[[#This Row],[level]])+COUNTIFS(Scenario1[loser1],"druid",Scenario1[loser1-pw],DruidEquipScenario1[[#This Row],[level]])+COUNTIFS(Scenario1[loser2],"druid",Scenario1[loser2-pw],DruidEquipScenario1[[#This Row],[level]])</f>
        <v>97</v>
      </c>
      <c r="S26" s="18">
        <f>COUNTIFS(Scenario1[winner1],"druid",Scenario1[winner1-cp],DruidEquipScenario1[[#This Row],[level]])+COUNTIFS(Scenario1[winner2],"druid",Scenario1[winner2-cp],DruidEquipScenario1[[#This Row],[level]])+COUNTIFS(Scenario1[loser1],"druid",Scenario1[loser1-cp],DruidEquipScenario1[[#This Row],[level]])+COUNTIFS(Scenario1[loser2],"druid",Scenario1[loser2-cp],DruidEquipScenario1[[#This Row],[level]])</f>
        <v>22</v>
      </c>
    </row>
    <row r="27" spans="1:20" x14ac:dyDescent="0.25">
      <c r="K27" s="17"/>
      <c r="N27" s="3"/>
      <c r="O27" s="3"/>
      <c r="S27" s="18"/>
    </row>
    <row r="28" spans="1:20" x14ac:dyDescent="0.25">
      <c r="K28" s="19" t="s">
        <v>109</v>
      </c>
      <c r="L28" s="8" t="s">
        <v>110</v>
      </c>
      <c r="M28" s="8" t="s">
        <v>79</v>
      </c>
      <c r="N28" s="9" t="s">
        <v>117</v>
      </c>
      <c r="O28" s="9" t="s">
        <v>118</v>
      </c>
      <c r="S28" s="18"/>
    </row>
    <row r="29" spans="1:20" x14ac:dyDescent="0.25">
      <c r="K29" s="2" t="s">
        <v>71</v>
      </c>
      <c r="L29" s="2">
        <f>COUNTIF(Scenario1[winner1-ability2],DruidAbilities2Scenario1[[#This Row],[ability]])+COUNTIF(Scenario1[winner2-ability2],DruidAbilities2Scenario1[[#This Row],[ability]])+COUNTIF(Scenario1[loser1-ability2],DruidAbilities2Scenario1[[#This Row],[ability]])+COUNTIF(Scenario1[loser2-ability2],DruidAbilities2Scenario1[[#This Row],[ability]])</f>
        <v>30</v>
      </c>
      <c r="M29" s="2">
        <f>COUNTIF(Scenario1[winner1-ability2],DruidAbilities2Scenario1[[#This Row],[ability]])+COUNTIF(Scenario1[winner2-ability2],DruidAbilities2Scenario1[[#This Row],[ability]])</f>
        <v>26</v>
      </c>
      <c r="N29" s="12">
        <f>IF(SUM(DruidAbilities2Scenario1[[#This Row],[takes]]) &gt; 0,DruidAbilities2Scenario1[[#This Row],[takes]]/SUM(DruidAbilities2Scenario1[takes]),0)</f>
        <v>0.3125</v>
      </c>
      <c r="O29" s="12">
        <f>IF(DruidAbilities2Scenario1[[#This Row],[takes]]&gt;0,DruidAbilities2Scenario1[[#This Row],[wins]]/DruidAbilities2Scenario1[[#This Row],[takes]],0)</f>
        <v>0.8666666666666667</v>
      </c>
      <c r="S29" s="18"/>
    </row>
    <row r="30" spans="1:20" x14ac:dyDescent="0.25">
      <c r="K30" t="s">
        <v>50</v>
      </c>
      <c r="L30" s="2">
        <f>COUNTIF(Scenario1[winner1-ability2],DruidAbilities2Scenario1[[#This Row],[ability]])+COUNTIF(Scenario1[winner2-ability2],DruidAbilities2Scenario1[[#This Row],[ability]])+COUNTIF(Scenario1[loser1-ability2],DruidAbilities2Scenario1[[#This Row],[ability]])+COUNTIF(Scenario1[loser2-ability2],DruidAbilities2Scenario1[[#This Row],[ability]])</f>
        <v>31</v>
      </c>
      <c r="M30" s="2">
        <f>COUNTIF(Scenario1[winner1-ability2],DruidAbilities2Scenario1[[#This Row],[ability]])+COUNTIF(Scenario1[winner2-ability2],DruidAbilities2Scenario1[[#This Row],[ability]])</f>
        <v>16</v>
      </c>
      <c r="N30" s="3">
        <f>IF(SUM(DruidAbilities2Scenario1[[#This Row],[takes]]) &gt; 0,DruidAbilities2Scenario1[[#This Row],[takes]]/SUM(DruidAbilities2Scenario1[takes]),0)</f>
        <v>0.32291666666666669</v>
      </c>
      <c r="O30" s="3">
        <f>IF(DruidAbilities2Scenario1[[#This Row],[takes]]&gt;0,DruidAbilities2Scenario1[[#This Row],[wins]]/DruidAbilities2Scenario1[[#This Row],[takes]],0)</f>
        <v>0.5161290322580645</v>
      </c>
      <c r="S30" s="18"/>
    </row>
    <row r="31" spans="1:20" x14ac:dyDescent="0.25">
      <c r="K31" s="10" t="s">
        <v>84</v>
      </c>
      <c r="L31" s="2">
        <f>COUNTIF(Scenario1[winner1-ability2],DruidAbilities2Scenario1[[#This Row],[ability]])+COUNTIF(Scenario1[winner2-ability2],DruidAbilities2Scenario1[[#This Row],[ability]])+COUNTIF(Scenario1[loser1-ability2],DruidAbilities2Scenario1[[#This Row],[ability]])+COUNTIF(Scenario1[loser2-ability2],DruidAbilities2Scenario1[[#This Row],[ability]])</f>
        <v>35</v>
      </c>
      <c r="M31" s="2">
        <f>COUNTIF(Scenario1[winner1-ability2],DruidAbilities2Scenario1[[#This Row],[ability]])+COUNTIF(Scenario1[winner2-ability2],DruidAbilities2Scenario1[[#This Row],[ability]])</f>
        <v>24</v>
      </c>
      <c r="N31" s="13">
        <f>IF(SUM(DruidAbilities2Scenario1[[#This Row],[takes]]) &gt; 0,DruidAbilities2Scenario1[[#This Row],[takes]]/SUM(DruidAbilities2Scenario1[takes]),0)</f>
        <v>0.36458333333333331</v>
      </c>
      <c r="O31" s="13">
        <f>IF(DruidAbilities2Scenario1[[#This Row],[takes]]&gt;0,DruidAbilities2Scenario1[[#This Row],[wins]]/DruidAbilities2Scenario1[[#This Row],[takes]],0)</f>
        <v>0.68571428571428572</v>
      </c>
      <c r="S31" s="18"/>
    </row>
    <row r="32" spans="1:20" x14ac:dyDescent="0.25">
      <c r="K32" s="17"/>
      <c r="N32" s="3"/>
      <c r="O32" s="3"/>
      <c r="S32" s="18"/>
    </row>
    <row r="33" spans="11:20" x14ac:dyDescent="0.25">
      <c r="K33" s="19" t="s">
        <v>109</v>
      </c>
      <c r="L33" s="8" t="s">
        <v>110</v>
      </c>
      <c r="M33" s="8" t="s">
        <v>79</v>
      </c>
      <c r="N33" s="9" t="s">
        <v>117</v>
      </c>
      <c r="O33" s="9" t="s">
        <v>118</v>
      </c>
      <c r="S33" s="18"/>
    </row>
    <row r="34" spans="11:20" x14ac:dyDescent="0.25">
      <c r="K34" s="1" t="s">
        <v>51</v>
      </c>
      <c r="L34" s="1">
        <f>COUNTIF(Scenario1[winner1-ability3],DruidAbilities3Scenario1[[#This Row],[ability]])+COUNTIF(Scenario1[winner2-ability3],DruidAbilities3Scenario1[[#This Row],[ability]])+COUNTIF(Scenario1[loser1-ability3],DruidAbilities3Scenario1[[#This Row],[ability]])+COUNTIF(Scenario1[loser2-ability3],DruidAbilities3Scenario1[[#This Row],[ability]])</f>
        <v>12</v>
      </c>
      <c r="M34" s="1">
        <f>COUNTIF(Scenario1[winner1-ability3],DruidAbilities3Scenario1[[#This Row],[ability]])+COUNTIF(Scenario1[winner2-ability3],DruidAbilities3Scenario1[[#This Row],[ability]])</f>
        <v>10</v>
      </c>
      <c r="N34" s="14">
        <f>IF(SUM(DruidAbilities3Scenario1[[#This Row],[takes]]) &gt; 0,DruidAbilities3Scenario1[[#This Row],[takes]]/SUM(DruidAbilities3Scenario1[takes]),0)</f>
        <v>0.21052631578947367</v>
      </c>
      <c r="O34" s="14">
        <f>IF(DruidAbilities3Scenario1[[#This Row],[takes]]&gt;0,DruidAbilities3Scenario1[[#This Row],[wins]]/DruidAbilities3Scenario1[[#This Row],[takes]],0)</f>
        <v>0.83333333333333337</v>
      </c>
      <c r="S34" s="18"/>
    </row>
    <row r="35" spans="11:20" x14ac:dyDescent="0.25">
      <c r="K35" s="2" t="s">
        <v>127</v>
      </c>
      <c r="L35" s="2">
        <f>COUNTIF(Scenario1[winner1-ability3],DruidAbilities3Scenario1[[#This Row],[ability]])+COUNTIF(Scenario1[winner2-ability3],DruidAbilities3Scenario1[[#This Row],[ability]])+COUNTIF(Scenario1[loser1-ability3],DruidAbilities3Scenario1[[#This Row],[ability]])+COUNTIF(Scenario1[loser2-ability3],DruidAbilities3Scenario1[[#This Row],[ability]])</f>
        <v>31</v>
      </c>
      <c r="M35" s="2">
        <f>COUNTIF(Scenario1[winner1-ability3],DruidAbilities3Scenario1[[#This Row],[ability]])+COUNTIF(Scenario1[winner2-ability3],DruidAbilities3Scenario1[[#This Row],[ability]])</f>
        <v>25</v>
      </c>
      <c r="N35" s="12">
        <f>IF(SUM(DruidAbilities3Scenario1[[#This Row],[takes]]) &gt; 0,DruidAbilities3Scenario1[[#This Row],[takes]]/SUM(DruidAbilities3Scenario1[takes]),0)</f>
        <v>0.54385964912280704</v>
      </c>
      <c r="O35" s="12">
        <f>IF(DruidAbilities3Scenario1[[#This Row],[takes]]&gt;0,DruidAbilities3Scenario1[[#This Row],[wins]]/DruidAbilities3Scenario1[[#This Row],[takes]],0)</f>
        <v>0.80645161290322576</v>
      </c>
      <c r="S35" s="18"/>
    </row>
    <row r="36" spans="11:20" x14ac:dyDescent="0.25">
      <c r="K36" s="11" t="s">
        <v>90</v>
      </c>
      <c r="L36" s="1">
        <f>COUNTIF(Scenario1[winner1-ability3],DruidAbilities3Scenario1[[#This Row],[ability]])+COUNTIF(Scenario1[winner2-ability3],DruidAbilities3Scenario1[[#This Row],[ability]])+COUNTIF(Scenario1[loser1-ability3],DruidAbilities3Scenario1[[#This Row],[ability]])+COUNTIF(Scenario1[loser2-ability3],DruidAbilities3Scenario1[[#This Row],[ability]])</f>
        <v>14</v>
      </c>
      <c r="M36" s="1">
        <f>COUNTIF(Scenario1[winner1-ability3],DruidAbilities3Scenario1[[#This Row],[ability]])+COUNTIF(Scenario1[winner2-ability3],DruidAbilities3Scenario1[[#This Row],[ability]])</f>
        <v>11</v>
      </c>
      <c r="N36" s="15">
        <f>IF(SUM(DruidAbilities3Scenario1[[#This Row],[takes]]) &gt; 0,DruidAbilities3Scenario1[[#This Row],[takes]]/SUM(DruidAbilities3Scenario1[takes]),0)</f>
        <v>0.24561403508771928</v>
      </c>
      <c r="O36" s="15">
        <f>IF(DruidAbilities3Scenario1[[#This Row],[takes]]&gt;0,DruidAbilities3Scenario1[[#This Row],[wins]]/DruidAbilities3Scenario1[[#This Row],[takes]],0)</f>
        <v>0.7857142857142857</v>
      </c>
      <c r="S36" s="18"/>
    </row>
    <row r="37" spans="11:20" x14ac:dyDescent="0.25">
      <c r="K37" s="17"/>
      <c r="N37" s="3"/>
      <c r="O37" s="3"/>
      <c r="S37" s="18"/>
    </row>
    <row r="38" spans="11:20" x14ac:dyDescent="0.25">
      <c r="K38" s="19" t="s">
        <v>109</v>
      </c>
      <c r="L38" s="8" t="s">
        <v>110</v>
      </c>
      <c r="M38" s="8" t="s">
        <v>79</v>
      </c>
      <c r="N38" s="9" t="s">
        <v>117</v>
      </c>
      <c r="O38" s="9" t="s">
        <v>118</v>
      </c>
      <c r="S38" s="18"/>
    </row>
    <row r="39" spans="11:20" x14ac:dyDescent="0.25">
      <c r="K39" s="2" t="s">
        <v>128</v>
      </c>
      <c r="L39" s="2">
        <f>COUNTIF(Scenario1[winner1-ability4],DruidAbilities4Scenario1[[#This Row],[ability]])+COUNTIF(Scenario1[winner2-ability4],DruidAbilities4Scenario1[[#This Row],[ability]])+COUNTIF(Scenario1[loser1-ability4],DruidAbilities4Scenario1[[#This Row],[ability]])+COUNTIF(Scenario1[loser2-ability4],DruidAbilities4Scenario1[[#This Row],[ability]])</f>
        <v>8</v>
      </c>
      <c r="M39" s="2">
        <f>COUNTIF(Scenario1[winner1-ability4],DruidAbilities4Scenario1[[#This Row],[ability]])+COUNTIF(Scenario1[winner2-ability4],DruidAbilities4Scenario1[[#This Row],[ability]])</f>
        <v>8</v>
      </c>
      <c r="N39" s="12">
        <f>IF(SUM(DruidAbilities4Scenario1[[#This Row],[takes]]) &gt; 0,DruidAbilities4Scenario1[[#This Row],[takes]]/SUM(DruidAbilities4Scenario1[takes]),0)</f>
        <v>0.34782608695652173</v>
      </c>
      <c r="O39" s="12">
        <f>IF(DruidAbilities4Scenario1[[#This Row],[takes]]&gt;0,DruidAbilities4Scenario1[[#This Row],[wins]]/DruidAbilities4Scenario1[[#This Row],[takes]],0)</f>
        <v>1</v>
      </c>
      <c r="S39" s="18"/>
    </row>
    <row r="40" spans="11:20" x14ac:dyDescent="0.25">
      <c r="K40" s="2" t="s">
        <v>52</v>
      </c>
      <c r="L40" s="2">
        <f>COUNTIF(Scenario1[winner1-ability4],DruidAbilities4Scenario1[[#This Row],[ability]])+COUNTIF(Scenario1[winner2-ability4],DruidAbilities4Scenario1[[#This Row],[ability]])+COUNTIF(Scenario1[loser1-ability4],DruidAbilities4Scenario1[[#This Row],[ability]])+COUNTIF(Scenario1[loser2-ability4],DruidAbilities4Scenario1[[#This Row],[ability]])</f>
        <v>4</v>
      </c>
      <c r="M40" s="2">
        <f>COUNTIF(Scenario1[winner1-ability4],DruidAbilities4Scenario1[[#This Row],[ability]])+COUNTIF(Scenario1[winner2-ability4],DruidAbilities4Scenario1[[#This Row],[ability]])</f>
        <v>3</v>
      </c>
      <c r="N40" s="12">
        <f>IF(SUM(DruidAbilities4Scenario1[[#This Row],[takes]]) &gt; 0,DruidAbilities4Scenario1[[#This Row],[takes]]/SUM(DruidAbilities4Scenario1[takes]),0)</f>
        <v>0.17391304347826086</v>
      </c>
      <c r="O40" s="12">
        <f>IF(DruidAbilities4Scenario1[[#This Row],[takes]]&gt;0,DruidAbilities4Scenario1[[#This Row],[wins]]/DruidAbilities4Scenario1[[#This Row],[takes]],0)</f>
        <v>0.75</v>
      </c>
      <c r="S40" s="18"/>
    </row>
    <row r="41" spans="11:20" ht="15.75" thickBot="1" x14ac:dyDescent="0.3">
      <c r="K41" s="10" t="s">
        <v>129</v>
      </c>
      <c r="L41" s="25">
        <f>COUNTIF(Scenario1[winner1-ability4],DruidAbilities4Scenario1[[#This Row],[ability]])+COUNTIF(Scenario1[winner2-ability4],DruidAbilities4Scenario1[[#This Row],[ability]])+COUNTIF(Scenario1[loser1-ability4],DruidAbilities4Scenario1[[#This Row],[ability]])+COUNTIF(Scenario1[loser2-ability4],DruidAbilities4Scenario1[[#This Row],[ability]])</f>
        <v>11</v>
      </c>
      <c r="M41" s="25">
        <f>COUNTIF(Scenario1[winner1-ability4],DruidAbilities4Scenario1[[#This Row],[ability]])+COUNTIF(Scenario1[winner2-ability4],DruidAbilities4Scenario1[[#This Row],[ability]])</f>
        <v>9</v>
      </c>
      <c r="N41" s="26">
        <f>IF(SUM(DruidAbilities4Scenario1[[#This Row],[takes]]) &gt; 0,DruidAbilities4Scenario1[[#This Row],[takes]]/SUM(DruidAbilities4Scenario1[takes]),0)</f>
        <v>0.47826086956521741</v>
      </c>
      <c r="O41" s="26">
        <f>IF(DruidAbilities4Scenario1[[#This Row],[takes]]&gt;0,DruidAbilities4Scenario1[[#This Row],[wins]]/DruidAbilities4Scenario1[[#This Row],[takes]],0)</f>
        <v>0.81818181818181823</v>
      </c>
      <c r="P41" s="27"/>
      <c r="Q41" s="27"/>
      <c r="R41" s="27"/>
      <c r="S41" s="28"/>
    </row>
    <row r="42" spans="11:20" ht="15.75" thickBot="1" x14ac:dyDescent="0.3"/>
    <row r="43" spans="11:20" ht="15.75" thickBot="1" x14ac:dyDescent="0.3">
      <c r="K43" s="36" t="s">
        <v>184</v>
      </c>
      <c r="L43" s="37"/>
      <c r="M43" s="37"/>
      <c r="N43" s="37"/>
      <c r="O43" s="37"/>
      <c r="P43" s="37"/>
      <c r="Q43" s="37"/>
      <c r="R43" s="37"/>
      <c r="S43" s="38"/>
      <c r="T43" s="29"/>
    </row>
    <row r="44" spans="11:20" x14ac:dyDescent="0.25">
      <c r="K44" s="17" t="s">
        <v>109</v>
      </c>
      <c r="L44" t="s">
        <v>110</v>
      </c>
      <c r="M44" t="s">
        <v>79</v>
      </c>
      <c r="N44" s="3" t="s">
        <v>117</v>
      </c>
      <c r="O44" s="3" t="s">
        <v>118</v>
      </c>
      <c r="Q44" t="s">
        <v>161</v>
      </c>
      <c r="R44" t="s">
        <v>166</v>
      </c>
      <c r="S44" s="18" t="s">
        <v>164</v>
      </c>
    </row>
    <row r="45" spans="11:20" x14ac:dyDescent="0.25">
      <c r="K45" t="s">
        <v>49</v>
      </c>
      <c r="L45">
        <f>COUNTIF(Scenario2[winner1-ability1],DruidAbilities1Scenario2[[#This Row],[ability]])+COUNTIF(Scenario2[loser1-ability1],DruidAbilities1Scenario2[[#This Row],[ability]])</f>
        <v>7</v>
      </c>
      <c r="M45">
        <f>COUNTIF(Scenario2[winner1-ability1],DruidAbilities1Scenario2[[#This Row],[ability]])</f>
        <v>5</v>
      </c>
      <c r="N45" s="3">
        <f>IF(SUM(DruidAbilities1Scenario2[[#This Row],[takes]]) &gt; 0,DruidAbilities1Scenario2[[#This Row],[takes]]/SUM(DruidAbilities1Scenario2[takes]),0)</f>
        <v>0.4375</v>
      </c>
      <c r="O45" s="3">
        <f>IF(DruidAbilities1Scenario2[[#This Row],[takes]]&gt;0,DruidAbilities1Scenario2[[#This Row],[wins]]/DruidAbilities1Scenario2[[#This Row],[takes]],0)</f>
        <v>0.7142857142857143</v>
      </c>
      <c r="Q45">
        <v>1</v>
      </c>
      <c r="R45">
        <f>COUNTIFS(Scenario2[winner1],"druid",Scenario2[winner1-pw],DruidEquipScenario2[[#This Row],[level]])+COUNTIFS(Scenario2[loser1],"druid",Scenario2[loser1-pw],DruidEquipScenario2[[#This Row],[level]])</f>
        <v>3</v>
      </c>
      <c r="S45" s="18">
        <f>COUNTIFS(Scenario2[winner1],"druid",Scenario2[winner1-cp],DruidEquipScenario2[[#This Row],[level]])+COUNTIFS(Scenario2[loser1],"druid",Scenario2[loser1-cp],DruidEquipScenario2[[#This Row],[level]])</f>
        <v>7</v>
      </c>
    </row>
    <row r="46" spans="11:20" x14ac:dyDescent="0.25">
      <c r="K46" t="s">
        <v>89</v>
      </c>
      <c r="L46">
        <f>COUNTIF(Scenario2[winner1-ability1],DruidAbilities1Scenario2[[#This Row],[ability]])+COUNTIF(Scenario2[loser1-ability1],DruidAbilities1Scenario2[[#This Row],[ability]])</f>
        <v>4</v>
      </c>
      <c r="M46">
        <f>COUNTIF(Scenario2[winner1-ability1],DruidAbilities1Scenario2[[#This Row],[ability]])</f>
        <v>3</v>
      </c>
      <c r="N46" s="3">
        <f>IF(SUM(DruidAbilities1Scenario2[[#This Row],[takes]]) &gt; 0,DruidAbilities1Scenario2[[#This Row],[takes]]/SUM(DruidAbilities1Scenario2[takes]),0)</f>
        <v>0.25</v>
      </c>
      <c r="O46" s="3">
        <f>IF(DruidAbilities1Scenario2[[#This Row],[takes]]&gt;0,DruidAbilities1Scenario2[[#This Row],[wins]]/DruidAbilities1Scenario2[[#This Row],[takes]],0)</f>
        <v>0.75</v>
      </c>
      <c r="Q46">
        <v>2</v>
      </c>
      <c r="R46">
        <f>COUNTIFS(Scenario2[winner1],"druid",Scenario2[winner1-pw],DruidEquipScenario2[[#This Row],[level]])+COUNTIFS(Scenario2[loser1],"druid",Scenario2[loser1-pw],DruidEquipScenario2[[#This Row],[level]])</f>
        <v>5</v>
      </c>
      <c r="S46" s="18">
        <f>COUNTIFS(Scenario2[winner1],"druid",Scenario2[winner1-cp],DruidEquipScenario2[[#This Row],[level]])+COUNTIFS(Scenario2[loser1],"druid",Scenario2[loser1-cp],DruidEquipScenario2[[#This Row],[level]])</f>
        <v>2</v>
      </c>
    </row>
    <row r="47" spans="11:20" x14ac:dyDescent="0.25">
      <c r="K47" t="s">
        <v>126</v>
      </c>
      <c r="L47">
        <f>COUNTIF(Scenario2[winner1-ability1],DruidAbilities1Scenario2[[#This Row],[ability]])+COUNTIF(Scenario2[loser1-ability1],DruidAbilities1Scenario2[[#This Row],[ability]])</f>
        <v>5</v>
      </c>
      <c r="M47">
        <f>COUNTIF(Scenario2[winner1-ability1],DruidAbilities1Scenario2[[#This Row],[ability]])</f>
        <v>4</v>
      </c>
      <c r="N47" s="3">
        <f>IF(SUM(DruidAbilities1Scenario2[[#This Row],[takes]]) &gt; 0,DruidAbilities1Scenario2[[#This Row],[takes]]/SUM(DruidAbilities1Scenario2[takes]),0)</f>
        <v>0.3125</v>
      </c>
      <c r="O47" s="3">
        <f>IF(DruidAbilities1Scenario2[[#This Row],[takes]]&gt;0,DruidAbilities1Scenario2[[#This Row],[wins]]/DruidAbilities1Scenario2[[#This Row],[takes]],0)</f>
        <v>0.8</v>
      </c>
      <c r="Q47">
        <v>3</v>
      </c>
      <c r="R47">
        <f>COUNTIFS(Scenario2[winner1],"druid",Scenario2[winner1-pw],DruidEquipScenario2[[#This Row],[level]])+COUNTIFS(Scenario2[loser1],"druid",Scenario2[loser1-pw],DruidEquipScenario2[[#This Row],[level]])</f>
        <v>8</v>
      </c>
      <c r="S47" s="18">
        <f>COUNTIFS(Scenario2[winner1],"druid",Scenario2[winner1-cp],DruidEquipScenario2[[#This Row],[level]])+COUNTIFS(Scenario2[loser1],"druid",Scenario2[loser1-cp],DruidEquipScenario2[[#This Row],[level]])</f>
        <v>7</v>
      </c>
    </row>
    <row r="48" spans="11:20" x14ac:dyDescent="0.25">
      <c r="K48" s="17"/>
      <c r="N48" s="3"/>
      <c r="O48" s="3"/>
      <c r="S48" s="18"/>
    </row>
    <row r="49" spans="11:19" x14ac:dyDescent="0.25">
      <c r="K49" s="19" t="s">
        <v>109</v>
      </c>
      <c r="L49" s="8" t="s">
        <v>110</v>
      </c>
      <c r="M49" s="8" t="s">
        <v>79</v>
      </c>
      <c r="N49" s="9" t="s">
        <v>117</v>
      </c>
      <c r="O49" s="9" t="s">
        <v>118</v>
      </c>
      <c r="S49" s="18"/>
    </row>
    <row r="50" spans="11:19" x14ac:dyDescent="0.25">
      <c r="K50" s="2" t="s">
        <v>71</v>
      </c>
      <c r="L50" s="2">
        <f>COUNTIF(Scenario2[winner1-ability2],DruidAbilities2Scenario2[[#This Row],[ability]])+COUNTIF(Scenario2[loser1-ability2],DruidAbilities2Scenario2[[#This Row],[ability]])</f>
        <v>7</v>
      </c>
      <c r="M50" s="2">
        <f>COUNTIF(Scenario2[winner1-ability2],DruidAbilities2Scenario2[[#This Row],[ability]])</f>
        <v>7</v>
      </c>
      <c r="N50" s="12">
        <f>IF(SUM(DruidAbilities2Scenario2[[#This Row],[takes]]) &gt; 0,DruidAbilities2Scenario2[[#This Row],[takes]]/SUM(DruidAbilities2Scenario2[takes]),0)</f>
        <v>0.4375</v>
      </c>
      <c r="O50" s="12">
        <f>IF(DruidAbilities2Scenario2[[#This Row],[takes]]&gt;0,DruidAbilities2Scenario2[[#This Row],[wins]]/DruidAbilities2Scenario2[[#This Row],[takes]],0)</f>
        <v>1</v>
      </c>
      <c r="S50" s="18"/>
    </row>
    <row r="51" spans="11:19" x14ac:dyDescent="0.25">
      <c r="K51" t="s">
        <v>50</v>
      </c>
      <c r="L51" s="2">
        <f>COUNTIF(Scenario2[winner1-ability2],DruidAbilities2Scenario2[[#This Row],[ability]])+COUNTIF(Scenario2[loser1-ability2],DruidAbilities2Scenario2[[#This Row],[ability]])</f>
        <v>1</v>
      </c>
      <c r="M51" s="2">
        <f>COUNTIF(Scenario2[winner1-ability2],DruidAbilities2Scenario2[[#This Row],[ability]])</f>
        <v>0</v>
      </c>
      <c r="N51" s="3">
        <f>IF(SUM(DruidAbilities2Scenario2[[#This Row],[takes]]) &gt; 0,DruidAbilities2Scenario2[[#This Row],[takes]]/SUM(DruidAbilities2Scenario2[takes]),0)</f>
        <v>6.25E-2</v>
      </c>
      <c r="O51" s="3">
        <f>IF(DruidAbilities2Scenario2[[#This Row],[takes]]&gt;0,DruidAbilities2Scenario2[[#This Row],[wins]]/DruidAbilities2Scenario2[[#This Row],[takes]],0)</f>
        <v>0</v>
      </c>
      <c r="S51" s="18"/>
    </row>
    <row r="52" spans="11:19" x14ac:dyDescent="0.25">
      <c r="K52" s="10" t="s">
        <v>84</v>
      </c>
      <c r="L52" s="2">
        <f>COUNTIF(Scenario2[winner1-ability2],DruidAbilities2Scenario2[[#This Row],[ability]])+COUNTIF(Scenario2[loser1-ability2],DruidAbilities2Scenario2[[#This Row],[ability]])</f>
        <v>8</v>
      </c>
      <c r="M52" s="2">
        <f>COUNTIF(Scenario2[winner1-ability2],DruidAbilities2Scenario2[[#This Row],[ability]])</f>
        <v>5</v>
      </c>
      <c r="N52" s="13">
        <f>IF(SUM(DruidAbilities2Scenario2[[#This Row],[takes]]) &gt; 0,DruidAbilities2Scenario2[[#This Row],[takes]]/SUM(DruidAbilities2Scenario2[takes]),0)</f>
        <v>0.5</v>
      </c>
      <c r="O52" s="13">
        <f>IF(DruidAbilities2Scenario2[[#This Row],[takes]]&gt;0,DruidAbilities2Scenario2[[#This Row],[wins]]/DruidAbilities2Scenario2[[#This Row],[takes]],0)</f>
        <v>0.625</v>
      </c>
      <c r="S52" s="18"/>
    </row>
    <row r="53" spans="11:19" x14ac:dyDescent="0.25">
      <c r="K53" s="17"/>
      <c r="N53" s="3"/>
      <c r="O53" s="3"/>
      <c r="S53" s="18"/>
    </row>
    <row r="54" spans="11:19" x14ac:dyDescent="0.25">
      <c r="K54" s="19" t="s">
        <v>109</v>
      </c>
      <c r="L54" s="8" t="s">
        <v>110</v>
      </c>
      <c r="M54" s="8" t="s">
        <v>79</v>
      </c>
      <c r="N54" s="9" t="s">
        <v>117</v>
      </c>
      <c r="O54" s="9" t="s">
        <v>118</v>
      </c>
      <c r="S54" s="18"/>
    </row>
    <row r="55" spans="11:19" x14ac:dyDescent="0.25">
      <c r="K55" s="1" t="s">
        <v>51</v>
      </c>
      <c r="L55" s="1">
        <f>COUNTIF(Scenario2[winner1-ability3],DruidAbilities3Scenario2[[#This Row],[ability]])+COUNTIF(Scenario2[loser1-ability3],DruidAbilities3Scenario2[[#This Row],[ability]])</f>
        <v>2</v>
      </c>
      <c r="M55" s="1">
        <f>COUNTIF(Scenario2[winner1-ability3],DruidAbilities3Scenario2[[#This Row],[ability]])</f>
        <v>1</v>
      </c>
      <c r="N55" s="14">
        <f>IF(SUM(DruidAbilities3Scenario2[[#This Row],[takes]]) &gt; 0,DruidAbilities3Scenario2[[#This Row],[takes]]/SUM(DruidAbilities3Scenario2[takes]),0)</f>
        <v>0.13333333333333333</v>
      </c>
      <c r="O55" s="14">
        <f>IF(DruidAbilities3Scenario2[[#This Row],[takes]]&gt;0,DruidAbilities3Scenario2[[#This Row],[wins]]/DruidAbilities3Scenario2[[#This Row],[takes]],0)</f>
        <v>0.5</v>
      </c>
      <c r="S55" s="18"/>
    </row>
    <row r="56" spans="11:19" x14ac:dyDescent="0.25">
      <c r="K56" s="2" t="s">
        <v>127</v>
      </c>
      <c r="L56" s="2">
        <f>COUNTIF(Scenario2[winner1-ability3],DruidAbilities3Scenario2[[#This Row],[ability]])+COUNTIF(Scenario2[loser1-ability3],DruidAbilities3Scenario2[[#This Row],[ability]])</f>
        <v>7</v>
      </c>
      <c r="M56" s="2">
        <f>COUNTIF(Scenario2[winner1-ability3],DruidAbilities3Scenario2[[#This Row],[ability]])</f>
        <v>5</v>
      </c>
      <c r="N56" s="12">
        <f>IF(SUM(DruidAbilities3Scenario2[[#This Row],[takes]]) &gt; 0,DruidAbilities3Scenario2[[#This Row],[takes]]/SUM(DruidAbilities3Scenario2[takes]),0)</f>
        <v>0.46666666666666667</v>
      </c>
      <c r="O56" s="12">
        <f>IF(DruidAbilities3Scenario2[[#This Row],[takes]]&gt;0,DruidAbilities3Scenario2[[#This Row],[wins]]/DruidAbilities3Scenario2[[#This Row],[takes]],0)</f>
        <v>0.7142857142857143</v>
      </c>
      <c r="S56" s="18"/>
    </row>
    <row r="57" spans="11:19" x14ac:dyDescent="0.25">
      <c r="K57" s="11" t="s">
        <v>90</v>
      </c>
      <c r="L57" s="1">
        <f>COUNTIF(Scenario2[winner1-ability3],DruidAbilities3Scenario2[[#This Row],[ability]])+COUNTIF(Scenario2[loser1-ability3],DruidAbilities3Scenario2[[#This Row],[ability]])</f>
        <v>6</v>
      </c>
      <c r="M57" s="1">
        <f>COUNTIF(Scenario2[winner1-ability3],DruidAbilities3Scenario2[[#This Row],[ability]])</f>
        <v>5</v>
      </c>
      <c r="N57" s="15">
        <f>IF(SUM(DruidAbilities3Scenario2[[#This Row],[takes]]) &gt; 0,DruidAbilities3Scenario2[[#This Row],[takes]]/SUM(DruidAbilities3Scenario2[takes]),0)</f>
        <v>0.4</v>
      </c>
      <c r="O57" s="15">
        <f>IF(DruidAbilities3Scenario2[[#This Row],[takes]]&gt;0,DruidAbilities3Scenario2[[#This Row],[wins]]/DruidAbilities3Scenario2[[#This Row],[takes]],0)</f>
        <v>0.83333333333333337</v>
      </c>
      <c r="S57" s="18"/>
    </row>
    <row r="58" spans="11:19" x14ac:dyDescent="0.25">
      <c r="K58" s="17"/>
      <c r="N58" s="3"/>
      <c r="O58" s="3"/>
      <c r="S58" s="18"/>
    </row>
    <row r="59" spans="11:19" x14ac:dyDescent="0.25">
      <c r="K59" s="19" t="s">
        <v>109</v>
      </c>
      <c r="L59" s="8" t="s">
        <v>110</v>
      </c>
      <c r="M59" s="8" t="s">
        <v>79</v>
      </c>
      <c r="N59" s="9" t="s">
        <v>117</v>
      </c>
      <c r="O59" s="9" t="s">
        <v>118</v>
      </c>
      <c r="S59" s="18"/>
    </row>
    <row r="60" spans="11:19" x14ac:dyDescent="0.25">
      <c r="K60" s="2" t="s">
        <v>128</v>
      </c>
      <c r="L60" s="2">
        <f>COUNTIF(Scenario2[winner1-ability4],DruidAbilities4Scenario2[[#This Row],[ability]])+COUNTIF(Scenario2[loser1-ability4],DruidAbilities4Scenario2[[#This Row],[ability]])</f>
        <v>8</v>
      </c>
      <c r="M60" s="2">
        <f>COUNTIF(Scenario2[winner1-ability4],DruidAbilities4Scenario2[[#This Row],[ability]])</f>
        <v>8</v>
      </c>
      <c r="N60" s="12">
        <f>IF(SUM(DruidAbilities4Scenario2[[#This Row],[takes]]) &gt; 0,DruidAbilities4Scenario2[[#This Row],[takes]]/SUM(DruidAbilities4Scenario2[takes]),0)</f>
        <v>0.61538461538461542</v>
      </c>
      <c r="O60" s="12">
        <f>IF(DruidAbilities4Scenario2[[#This Row],[takes]]&gt;0,DruidAbilities4Scenario2[[#This Row],[wins]]/DruidAbilities4Scenario2[[#This Row],[takes]],0)</f>
        <v>1</v>
      </c>
      <c r="S60" s="18"/>
    </row>
    <row r="61" spans="11:19" x14ac:dyDescent="0.25">
      <c r="K61" s="2" t="s">
        <v>52</v>
      </c>
      <c r="L61" s="2">
        <f>COUNTIF(Scenario2[winner1-ability4],DruidAbilities4Scenario2[[#This Row],[ability]])+COUNTIF(Scenario2[loser1-ability4],DruidAbilities4Scenario2[[#This Row],[ability]])</f>
        <v>5</v>
      </c>
      <c r="M61" s="2">
        <f>COUNTIF(Scenario2[winner1-ability4],DruidAbilities4Scenario2[[#This Row],[ability]])</f>
        <v>2</v>
      </c>
      <c r="N61" s="12">
        <f>IF(SUM(DruidAbilities4Scenario2[[#This Row],[takes]]) &gt; 0,DruidAbilities4Scenario2[[#This Row],[takes]]/SUM(DruidAbilities4Scenario2[takes]),0)</f>
        <v>0.38461538461538464</v>
      </c>
      <c r="O61" s="12">
        <f>IF(DruidAbilities4Scenario2[[#This Row],[takes]]&gt;0,DruidAbilities4Scenario2[[#This Row],[wins]]/DruidAbilities4Scenario2[[#This Row],[takes]],0)</f>
        <v>0.4</v>
      </c>
      <c r="S61" s="18"/>
    </row>
    <row r="62" spans="11:19" ht="15.75" thickBot="1" x14ac:dyDescent="0.3">
      <c r="K62" s="10" t="s">
        <v>129</v>
      </c>
      <c r="L62" s="25">
        <f>COUNTIF(Scenario2[winner1-ability4],DruidAbilities4Scenario2[[#This Row],[ability]])+COUNTIF(Scenario2[loser1-ability4],DruidAbilities4Scenario2[[#This Row],[ability]])</f>
        <v>0</v>
      </c>
      <c r="M62" s="25">
        <f>COUNTIF(Scenario2[winner1-ability4],DruidAbilities4Scenario2[[#This Row],[ability]])</f>
        <v>0</v>
      </c>
      <c r="N62" s="26">
        <f>IF(SUM(DruidAbilities4Scenario2[[#This Row],[takes]]) &gt; 0,DruidAbilities4Scenario2[[#This Row],[takes]]/SUM(DruidAbilities4Scenario2[takes]),0)</f>
        <v>0</v>
      </c>
      <c r="O62" s="26">
        <f>IF(DruidAbilities4Scenario2[[#This Row],[takes]]&gt;0,DruidAbilities4Scenario2[[#This Row],[wins]]/DruidAbilities4Scenario2[[#This Row],[takes]],0)</f>
        <v>0</v>
      </c>
      <c r="P62" s="27"/>
      <c r="Q62" s="27"/>
      <c r="R62" s="27"/>
      <c r="S62" s="28"/>
    </row>
    <row r="63" spans="11:19" ht="15.75" thickBot="1" x14ac:dyDescent="0.3"/>
    <row r="64" spans="11:19" ht="15.75" thickBot="1" x14ac:dyDescent="0.3">
      <c r="K64" s="36" t="s">
        <v>209</v>
      </c>
      <c r="L64" s="37"/>
      <c r="M64" s="37"/>
      <c r="N64" s="37"/>
      <c r="O64" s="37"/>
      <c r="P64" s="37"/>
      <c r="Q64" s="37"/>
      <c r="R64" s="37"/>
      <c r="S64" s="38"/>
    </row>
    <row r="65" spans="11:19" x14ac:dyDescent="0.25">
      <c r="K65" s="17" t="s">
        <v>109</v>
      </c>
      <c r="L65" t="s">
        <v>110</v>
      </c>
      <c r="M65" t="s">
        <v>79</v>
      </c>
      <c r="N65" s="3" t="s">
        <v>117</v>
      </c>
      <c r="O65" s="3" t="s">
        <v>118</v>
      </c>
      <c r="Q65" t="s">
        <v>161</v>
      </c>
      <c r="R65" t="s">
        <v>166</v>
      </c>
      <c r="S65" s="18" t="s">
        <v>164</v>
      </c>
    </row>
    <row r="66" spans="11:19" x14ac:dyDescent="0.25">
      <c r="K66" t="s">
        <v>49</v>
      </c>
      <c r="L66">
        <f>COUNTIF(Scenario3[winner1-ability1],DruidAbilities1Scenario3[[#This Row],[ability]])+COUNTIF(Scenario3[loser1-ability1],DruidAbilities1Scenario3[[#This Row],[ability]])+COUNTIF(Scenario3[loser2-ability1],DruidAbilities1Scenario3[[#This Row],[ability]])</f>
        <v>0</v>
      </c>
      <c r="M66">
        <f>COUNTIF(Scenario3[winner1-ability1],DruidAbilities1Scenario3[[#This Row],[ability]])</f>
        <v>0</v>
      </c>
      <c r="N66" s="3">
        <f>IF(SUM(DruidAbilities1Scenario3[[#This Row],[takes]]) &gt; 0,DruidAbilities1Scenario3[[#This Row],[takes]]/SUM(DruidAbilities1Scenario3[takes]),0)</f>
        <v>0</v>
      </c>
      <c r="O66" s="3">
        <f>IF(DruidAbilities1Scenario3[[#This Row],[takes]]&gt;0,DruidAbilities1Scenario3[[#This Row],[wins]]/DruidAbilities1Scenario3[[#This Row],[takes]],0)</f>
        <v>0</v>
      </c>
      <c r="Q66">
        <v>1</v>
      </c>
      <c r="R66">
        <f>COUNTIFS(Scenario3[winner1],"druid",Scenario3[winner1-pw],DruidEquipScenario3[[#This Row],[level]])+COUNTIFS(Scenario3[loser1],"druid",Scenario3[loser1-pw],DruidEquipScenario3[[#This Row],[level]])+COUNTIFS(Scenario3[loser2],"druid",Scenario3[loser2-pw],DruidEquipScenario3[[#This Row],[level]])</f>
        <v>4</v>
      </c>
      <c r="S66" s="18">
        <f>COUNTIFS(Scenario3[winner1],"druid",Scenario3[winner1-cp],DruidEquipScenario3[[#This Row],[level]])+COUNTIFS(Scenario3[loser1],"druid",Scenario3[loser1-cp],DruidEquipScenario3[[#This Row],[level]])+COUNTIFS(Scenario3[loser2],"druid",Scenario3[loser2-cp],DruidEquipScenario3[[#This Row],[level]])</f>
        <v>10</v>
      </c>
    </row>
    <row r="67" spans="11:19" x14ac:dyDescent="0.25">
      <c r="K67" t="s">
        <v>89</v>
      </c>
      <c r="L67">
        <f>COUNTIF(Scenario3[winner1-ability1],DruidAbilities1Scenario3[[#This Row],[ability]])+COUNTIF(Scenario3[loser1-ability1],DruidAbilities1Scenario3[[#This Row],[ability]])+COUNTIF(Scenario3[loser2-ability1],DruidAbilities1Scenario3[[#This Row],[ability]])</f>
        <v>1</v>
      </c>
      <c r="M67">
        <f>COUNTIF(Scenario3[winner1-ability1],DruidAbilities1Scenario3[[#This Row],[ability]])</f>
        <v>0</v>
      </c>
      <c r="N67" s="3">
        <f>IF(SUM(DruidAbilities1Scenario3[[#This Row],[takes]]) &gt; 0,DruidAbilities1Scenario3[[#This Row],[takes]]/SUM(DruidAbilities1Scenario3[takes]),0)</f>
        <v>3.5714285714285712E-2</v>
      </c>
      <c r="O67" s="3">
        <f>IF(DruidAbilities1Scenario3[[#This Row],[takes]]&gt;0,DruidAbilities1Scenario3[[#This Row],[wins]]/DruidAbilities1Scenario3[[#This Row],[takes]],0)</f>
        <v>0</v>
      </c>
      <c r="Q67">
        <v>2</v>
      </c>
      <c r="R67">
        <f>COUNTIFS(Scenario3[winner1],"druid",Scenario3[winner1-pw],DruidEquipScenario3[[#This Row],[level]])+COUNTIFS(Scenario3[loser1],"druid",Scenario3[loser1-pw],DruidEquipScenario3[[#This Row],[level]])+COUNTIFS(Scenario3[loser2],"druid",Scenario3[loser2-pw],DruidEquipScenario3[[#This Row],[level]])</f>
        <v>2</v>
      </c>
      <c r="S67" s="18">
        <f>COUNTIFS(Scenario3[winner1],"druid",Scenario3[winner1-cp],DruidEquipScenario3[[#This Row],[level]])+COUNTIFS(Scenario3[loser1],"druid",Scenario3[loser1-cp],DruidEquipScenario3[[#This Row],[level]])+COUNTIFS(Scenario3[loser2],"druid",Scenario3[loser2-cp],DruidEquipScenario3[[#This Row],[level]])</f>
        <v>1</v>
      </c>
    </row>
    <row r="68" spans="11:19" x14ac:dyDescent="0.25">
      <c r="K68" t="s">
        <v>126</v>
      </c>
      <c r="L68">
        <f>COUNTIF(Scenario3[winner1-ability1],DruidAbilities1Scenario3[[#This Row],[ability]])+COUNTIF(Scenario3[loser1-ability1],DruidAbilities1Scenario3[[#This Row],[ability]])+COUNTIF(Scenario3[loser2-ability1],DruidAbilities1Scenario3[[#This Row],[ability]])</f>
        <v>27</v>
      </c>
      <c r="M68">
        <f>COUNTIF(Scenario3[winner1-ability1],DruidAbilities1Scenario3[[#This Row],[ability]])</f>
        <v>10</v>
      </c>
      <c r="N68" s="3">
        <f>IF(SUM(DruidAbilities1Scenario3[[#This Row],[takes]]) &gt; 0,DruidAbilities1Scenario3[[#This Row],[takes]]/SUM(DruidAbilities1Scenario3[takes]),0)</f>
        <v>0.9642857142857143</v>
      </c>
      <c r="O68" s="3">
        <f>IF(DruidAbilities1Scenario3[[#This Row],[takes]]&gt;0,DruidAbilities1Scenario3[[#This Row],[wins]]/DruidAbilities1Scenario3[[#This Row],[takes]],0)</f>
        <v>0.37037037037037035</v>
      </c>
      <c r="Q68">
        <v>3</v>
      </c>
      <c r="R68">
        <f>COUNTIFS(Scenario3[winner1],"druid",Scenario3[winner1-pw],DruidEquipScenario3[[#This Row],[level]])+COUNTIFS(Scenario3[loser1],"druid",Scenario3[loser1-pw],DruidEquipScenario3[[#This Row],[level]])+COUNTIFS(Scenario3[loser2],"druid",Scenario3[loser2-pw],DruidEquipScenario3[[#This Row],[level]])</f>
        <v>22</v>
      </c>
      <c r="S68" s="18">
        <f>COUNTIFS(Scenario3[winner1],"druid",Scenario3[winner1-cp],DruidEquipScenario3[[#This Row],[level]])+COUNTIFS(Scenario3[loser1],"druid",Scenario3[loser1-cp],DruidEquipScenario3[[#This Row],[level]])+COUNTIFS(Scenario3[loser2],"druid",Scenario3[loser2-cp],DruidEquipScenario3[[#This Row],[level]])</f>
        <v>17</v>
      </c>
    </row>
    <row r="69" spans="11:19" x14ac:dyDescent="0.25">
      <c r="K69" s="17"/>
      <c r="N69" s="3"/>
      <c r="O69" s="3"/>
      <c r="S69" s="18"/>
    </row>
    <row r="70" spans="11:19" x14ac:dyDescent="0.25">
      <c r="K70" s="19" t="s">
        <v>109</v>
      </c>
      <c r="L70" s="8" t="s">
        <v>110</v>
      </c>
      <c r="M70" s="8" t="s">
        <v>79</v>
      </c>
      <c r="N70" s="9" t="s">
        <v>117</v>
      </c>
      <c r="O70" s="9" t="s">
        <v>118</v>
      </c>
      <c r="S70" s="18"/>
    </row>
    <row r="71" spans="11:19" x14ac:dyDescent="0.25">
      <c r="K71" s="2" t="s">
        <v>71</v>
      </c>
      <c r="L71" s="2">
        <f>COUNTIF(Scenario3[winner1-ability2],DruidAbilities2Scenario3[[#This Row],[ability]])+COUNTIF(Scenario3[loser1-ability2],DruidAbilities2Scenario3[[#This Row],[ability]])+COUNTIF(Scenario3[loser2-ability2],DruidAbilities2Scenario3[[#This Row],[ability]])</f>
        <v>1</v>
      </c>
      <c r="M71" s="2">
        <f>COUNTIF(Scenario3[winner1-ability2],DruidAbilities2Scenario3[[#This Row],[ability]])</f>
        <v>0</v>
      </c>
      <c r="N71" s="12">
        <f>IF(SUM(DruidAbilities2Scenario3[[#This Row],[takes]]) &gt; 0,DruidAbilities2Scenario3[[#This Row],[takes]]/SUM(DruidAbilities2Scenario3[takes]),0)</f>
        <v>0.04</v>
      </c>
      <c r="O71" s="12">
        <f>IF(DruidAbilities2Scenario3[[#This Row],[takes]]&gt;0,DruidAbilities2Scenario3[[#This Row],[wins]]/DruidAbilities2Scenario3[[#This Row],[takes]],0)</f>
        <v>0</v>
      </c>
      <c r="S71" s="18"/>
    </row>
    <row r="72" spans="11:19" x14ac:dyDescent="0.25">
      <c r="K72" t="s">
        <v>50</v>
      </c>
      <c r="L72" s="2">
        <f>COUNTIF(Scenario3[winner1-ability2],DruidAbilities2Scenario3[[#This Row],[ability]])+COUNTIF(Scenario3[loser1-ability2],DruidAbilities2Scenario3[[#This Row],[ability]])+COUNTIF(Scenario3[loser2-ability2],DruidAbilities2Scenario3[[#This Row],[ability]])</f>
        <v>0</v>
      </c>
      <c r="M72" s="2">
        <f>COUNTIF(Scenario3[winner1-ability2],DruidAbilities2Scenario3[[#This Row],[ability]])</f>
        <v>0</v>
      </c>
      <c r="N72" s="3">
        <f>IF(SUM(DruidAbilities2Scenario3[[#This Row],[takes]]) &gt; 0,DruidAbilities2Scenario3[[#This Row],[takes]]/SUM(DruidAbilities2Scenario3[takes]),0)</f>
        <v>0</v>
      </c>
      <c r="O72" s="3">
        <f>IF(DruidAbilities2Scenario3[[#This Row],[takes]]&gt;0,DruidAbilities2Scenario3[[#This Row],[wins]]/DruidAbilities2Scenario3[[#This Row],[takes]],0)</f>
        <v>0</v>
      </c>
      <c r="S72" s="18"/>
    </row>
    <row r="73" spans="11:19" x14ac:dyDescent="0.25">
      <c r="K73" s="10" t="s">
        <v>84</v>
      </c>
      <c r="L73" s="2">
        <f>COUNTIF(Scenario3[winner1-ability2],DruidAbilities2Scenario3[[#This Row],[ability]])+COUNTIF(Scenario3[loser1-ability2],DruidAbilities2Scenario3[[#This Row],[ability]])+COUNTIF(Scenario3[loser2-ability2],DruidAbilities2Scenario3[[#This Row],[ability]])</f>
        <v>24</v>
      </c>
      <c r="M73" s="2">
        <f>COUNTIF(Scenario3[winner1-ability2],DruidAbilities2Scenario3[[#This Row],[ability]])</f>
        <v>10</v>
      </c>
      <c r="N73" s="13">
        <f>IF(SUM(DruidAbilities2Scenario3[[#This Row],[takes]]) &gt; 0,DruidAbilities2Scenario3[[#This Row],[takes]]/SUM(DruidAbilities2Scenario3[takes]),0)</f>
        <v>0.96</v>
      </c>
      <c r="O73" s="13">
        <f>IF(DruidAbilities2Scenario3[[#This Row],[takes]]&gt;0,DruidAbilities2Scenario3[[#This Row],[wins]]/DruidAbilities2Scenario3[[#This Row],[takes]],0)</f>
        <v>0.41666666666666669</v>
      </c>
      <c r="S73" s="18"/>
    </row>
    <row r="74" spans="11:19" x14ac:dyDescent="0.25">
      <c r="K74" s="17"/>
      <c r="N74" s="3"/>
      <c r="O74" s="3"/>
      <c r="S74" s="18"/>
    </row>
    <row r="75" spans="11:19" x14ac:dyDescent="0.25">
      <c r="K75" s="19" t="s">
        <v>109</v>
      </c>
      <c r="L75" s="8" t="s">
        <v>110</v>
      </c>
      <c r="M75" s="8" t="s">
        <v>79</v>
      </c>
      <c r="N75" s="9" t="s">
        <v>117</v>
      </c>
      <c r="O75" s="9" t="s">
        <v>118</v>
      </c>
      <c r="S75" s="18"/>
    </row>
    <row r="76" spans="11:19" x14ac:dyDescent="0.25">
      <c r="K76" s="1" t="s">
        <v>51</v>
      </c>
      <c r="L76" s="1">
        <f>COUNTIF(Scenario3[winner1-ability3],DruidAbilities3Scenario3[[#This Row],[ability]])+COUNTIF(Scenario3[loser1-ability3],DruidAbilities3Scenario3[[#This Row],[ability]])+COUNTIF(Scenario3[loser2-ability3],DruidAbilities3Scenario3[[#This Row],[ability]])</f>
        <v>0</v>
      </c>
      <c r="M76" s="1">
        <f>COUNTIF(Scenario3[winner1-ability3],DruidAbilities3Scenario3[[#This Row],[ability]])</f>
        <v>0</v>
      </c>
      <c r="N76" s="14">
        <f>IF(SUM(DruidAbilities3Scenario3[[#This Row],[takes]]) &gt; 0,DruidAbilities3Scenario3[[#This Row],[takes]]/SUM(DruidAbilities3Scenario3[takes]),0)</f>
        <v>0</v>
      </c>
      <c r="O76" s="14">
        <f>IF(DruidAbilities3Scenario3[[#This Row],[takes]]&gt;0,DruidAbilities3Scenario3[[#This Row],[wins]]/DruidAbilities3Scenario3[[#This Row],[takes]],0)</f>
        <v>0</v>
      </c>
      <c r="S76" s="18"/>
    </row>
    <row r="77" spans="11:19" x14ac:dyDescent="0.25">
      <c r="K77" s="2" t="s">
        <v>127</v>
      </c>
      <c r="L77" s="2">
        <f>COUNTIF(Scenario3[winner1-ability3],DruidAbilities3Scenario3[[#This Row],[ability]])+COUNTIF(Scenario3[loser1-ability3],DruidAbilities3Scenario3[[#This Row],[ability]])+COUNTIF(Scenario3[loser2-ability3],DruidAbilities3Scenario3[[#This Row],[ability]])</f>
        <v>11</v>
      </c>
      <c r="M77" s="2">
        <f>COUNTIF(Scenario3[winner1-ability3],DruidAbilities3Scenario3[[#This Row],[ability]])</f>
        <v>5</v>
      </c>
      <c r="N77" s="12">
        <f>IF(SUM(DruidAbilities3Scenario3[[#This Row],[takes]]) &gt; 0,DruidAbilities3Scenario3[[#This Row],[takes]]/SUM(DruidAbilities3Scenario3[takes]),0)</f>
        <v>0.47826086956521741</v>
      </c>
      <c r="O77" s="12">
        <f>IF(DruidAbilities3Scenario3[[#This Row],[takes]]&gt;0,DruidAbilities3Scenario3[[#This Row],[wins]]/DruidAbilities3Scenario3[[#This Row],[takes]],0)</f>
        <v>0.45454545454545453</v>
      </c>
      <c r="S77" s="18"/>
    </row>
    <row r="78" spans="11:19" x14ac:dyDescent="0.25">
      <c r="K78" s="11" t="s">
        <v>90</v>
      </c>
      <c r="L78" s="1">
        <f>COUNTIF(Scenario3[winner1-ability3],DruidAbilities3Scenario3[[#This Row],[ability]])+COUNTIF(Scenario3[loser1-ability3],DruidAbilities3Scenario3[[#This Row],[ability]])+COUNTIF(Scenario3[loser2-ability3],DruidAbilities3Scenario3[[#This Row],[ability]])</f>
        <v>12</v>
      </c>
      <c r="M78" s="1">
        <f>COUNTIF(Scenario3[winner1-ability3],DruidAbilities3Scenario3[[#This Row],[ability]])</f>
        <v>5</v>
      </c>
      <c r="N78" s="15">
        <f>IF(SUM(DruidAbilities3Scenario3[[#This Row],[takes]]) &gt; 0,DruidAbilities3Scenario3[[#This Row],[takes]]/SUM(DruidAbilities3Scenario3[takes]),0)</f>
        <v>0.52173913043478259</v>
      </c>
      <c r="O78" s="15">
        <f>IF(DruidAbilities3Scenario3[[#This Row],[takes]]&gt;0,DruidAbilities3Scenario3[[#This Row],[wins]]/DruidAbilities3Scenario3[[#This Row],[takes]],0)</f>
        <v>0.41666666666666669</v>
      </c>
      <c r="S78" s="18"/>
    </row>
    <row r="79" spans="11:19" x14ac:dyDescent="0.25">
      <c r="K79" s="17"/>
      <c r="N79" s="3"/>
      <c r="O79" s="3"/>
      <c r="S79" s="18"/>
    </row>
    <row r="80" spans="11:19" x14ac:dyDescent="0.25">
      <c r="K80" s="19" t="s">
        <v>109</v>
      </c>
      <c r="L80" s="8" t="s">
        <v>110</v>
      </c>
      <c r="M80" s="8" t="s">
        <v>79</v>
      </c>
      <c r="N80" s="9" t="s">
        <v>117</v>
      </c>
      <c r="O80" s="9" t="s">
        <v>118</v>
      </c>
      <c r="S80" s="18"/>
    </row>
    <row r="81" spans="11:19" x14ac:dyDescent="0.25">
      <c r="K81" s="2" t="s">
        <v>128</v>
      </c>
      <c r="L81" s="2">
        <f>COUNTIF(Scenario3[winner1-ability4],DruidAbilities4Scenario3[[#This Row],[ability]])+COUNTIF(Scenario3[loser1-ability4],DruidAbilities4Scenario3[[#This Row],[ability]])+COUNTIF(Scenario3[loser2-ability4],DruidAbilities4Scenario3[[#This Row],[ability]])</f>
        <v>15</v>
      </c>
      <c r="M81" s="2">
        <f>COUNTIF(Scenario3[winner1-ability4],DruidAbilities4Scenario3[[#This Row],[ability]])</f>
        <v>9</v>
      </c>
      <c r="N81" s="12">
        <f>IF(SUM(DruidAbilities4Scenario3[[#This Row],[takes]]) &gt; 0,DruidAbilities4Scenario3[[#This Row],[takes]]/SUM(DruidAbilities4Scenario3[takes]),0)</f>
        <v>0.78947368421052633</v>
      </c>
      <c r="O81" s="12">
        <f>IF(DruidAbilities4Scenario3[[#This Row],[takes]]&gt;0,DruidAbilities4Scenario3[[#This Row],[wins]]/DruidAbilities4Scenario3[[#This Row],[takes]],0)</f>
        <v>0.6</v>
      </c>
      <c r="S81" s="18"/>
    </row>
    <row r="82" spans="11:19" x14ac:dyDescent="0.25">
      <c r="K82" s="2" t="s">
        <v>52</v>
      </c>
      <c r="L82" s="2">
        <f>COUNTIF(Scenario3[winner1-ability4],DruidAbilities4Scenario3[[#This Row],[ability]])+COUNTIF(Scenario3[loser1-ability4],DruidAbilities4Scenario3[[#This Row],[ability]])+COUNTIF(Scenario3[loser2-ability4],DruidAbilities4Scenario3[[#This Row],[ability]])</f>
        <v>4</v>
      </c>
      <c r="M82" s="2">
        <f>COUNTIF(Scenario3[winner1-ability4],DruidAbilities4Scenario3[[#This Row],[ability]])</f>
        <v>1</v>
      </c>
      <c r="N82" s="12">
        <f>IF(SUM(DruidAbilities4Scenario3[[#This Row],[takes]]) &gt; 0,DruidAbilities4Scenario3[[#This Row],[takes]]/SUM(DruidAbilities4Scenario3[takes]),0)</f>
        <v>0.21052631578947367</v>
      </c>
      <c r="O82" s="12">
        <f>IF(DruidAbilities4Scenario3[[#This Row],[takes]]&gt;0,DruidAbilities4Scenario3[[#This Row],[wins]]/DruidAbilities4Scenario3[[#This Row],[takes]],0)</f>
        <v>0.25</v>
      </c>
      <c r="S82" s="18"/>
    </row>
    <row r="83" spans="11:19" ht="15.75" thickBot="1" x14ac:dyDescent="0.3">
      <c r="K83" s="10" t="s">
        <v>129</v>
      </c>
      <c r="L83" s="2">
        <f>COUNTIF(Scenario3[winner1-ability4],DruidAbilities4Scenario3[[#This Row],[ability]])+COUNTIF(Scenario3[loser1-ability4],DruidAbilities4Scenario3[[#This Row],[ability]])+COUNTIF(Scenario3[loser2-ability4],DruidAbilities4Scenario3[[#This Row],[ability]])</f>
        <v>0</v>
      </c>
      <c r="M83" s="2">
        <f>COUNTIF(Scenario3[winner1-ability4],DruidAbilities4Scenario3[[#This Row],[ability]])</f>
        <v>0</v>
      </c>
      <c r="N83" s="26">
        <f>IF(SUM(DruidAbilities4Scenario3[[#This Row],[takes]]) &gt; 0,DruidAbilities4Scenario3[[#This Row],[takes]]/SUM(DruidAbilities4Scenario3[takes]),0)</f>
        <v>0</v>
      </c>
      <c r="O83" s="26">
        <f>IF(DruidAbilities4Scenario3[[#This Row],[takes]]&gt;0,DruidAbilities4Scenario3[[#This Row],[wins]]/DruidAbilities4Scenario3[[#This Row],[takes]],0)</f>
        <v>0</v>
      </c>
      <c r="P83" s="27"/>
      <c r="Q83" s="27"/>
      <c r="R83" s="27"/>
      <c r="S83" s="28"/>
    </row>
    <row r="84" spans="11:19" ht="15.75" thickBot="1" x14ac:dyDescent="0.3"/>
    <row r="85" spans="11:19" ht="15.75" thickBot="1" x14ac:dyDescent="0.3">
      <c r="K85" s="36" t="s">
        <v>219</v>
      </c>
      <c r="L85" s="37"/>
      <c r="M85" s="37"/>
      <c r="N85" s="37"/>
      <c r="O85" s="37"/>
      <c r="P85" s="37"/>
      <c r="Q85" s="37"/>
      <c r="R85" s="37"/>
      <c r="S85" s="38"/>
    </row>
    <row r="86" spans="11:19" x14ac:dyDescent="0.25">
      <c r="K86" s="17" t="s">
        <v>109</v>
      </c>
      <c r="L86" t="s">
        <v>110</v>
      </c>
      <c r="M86" t="s">
        <v>79</v>
      </c>
      <c r="N86" s="3" t="s">
        <v>117</v>
      </c>
      <c r="O86" s="3" t="s">
        <v>118</v>
      </c>
      <c r="Q86" t="s">
        <v>161</v>
      </c>
      <c r="R86" t="s">
        <v>166</v>
      </c>
      <c r="S86" s="18" t="s">
        <v>164</v>
      </c>
    </row>
    <row r="87" spans="11:19" x14ac:dyDescent="0.25">
      <c r="K87" t="s">
        <v>49</v>
      </c>
      <c r="L87">
        <f>COUNTIF(Scenario4[winner1-ability1],DruidAbilities1Scenario4[[#This Row],[ability]])+COUNTIF(Scenario4[loser1-ability1],DruidAbilities1Scenario4[[#This Row],[ability]])+COUNTIF(Scenario4[loser2-ability1],DruidAbilities1Scenario4[[#This Row],[ability]])+COUNTIF(Scenario4[loser3-ability1],DruidAbilities1Scenario4[[#This Row],[ability]])</f>
        <v>0</v>
      </c>
      <c r="M87">
        <f>COUNTIF(Scenario4[winner1-ability1],DruidAbilities1Scenario4[[#This Row],[ability]])</f>
        <v>0</v>
      </c>
      <c r="N87" s="3">
        <f>IF(SUM(DruidAbilities1Scenario4[[#This Row],[takes]]) &gt; 0,DruidAbilities1Scenario4[[#This Row],[takes]]/SUM(DruidAbilities1Scenario4[takes]),0)</f>
        <v>0</v>
      </c>
      <c r="O87" s="3">
        <f>IF(DruidAbilities1Scenario4[[#This Row],[takes]]&gt;0,DruidAbilities1Scenario4[[#This Row],[wins]]/DruidAbilities1Scenario4[[#This Row],[takes]],0)</f>
        <v>0</v>
      </c>
      <c r="Q87">
        <v>1</v>
      </c>
      <c r="R87">
        <f>COUNTIFS(Scenario4[winner1],"druid",Scenario4[winner1-pw],DruidEquipScenario4[[#This Row],[level]])+COUNTIFS(Scenario4[loser1],"druid",Scenario4[loser1-pw],DruidEquipScenario4[[#This Row],[level]])+COUNTIFS(Scenario4[loser2],"druid",Scenario4[loser2-pw],DruidEquipScenario4[[#This Row],[level]])+COUNTIFS(Scenario4[loser3],"druid",Scenario4[loser3-pw],DruidEquipScenario4[[#This Row],[level]])</f>
        <v>7</v>
      </c>
      <c r="S87" s="18">
        <f>COUNTIFS(Scenario4[winner1],"druid",Scenario4[winner1-cp],DruidEquipScenario4[[#This Row],[level]])+COUNTIFS(Scenario4[loser1],"druid",Scenario4[loser1-cp],DruidEquipScenario4[[#This Row],[level]])+COUNTIFS(Scenario4[loser2],"druid",Scenario4[loser2-cp],DruidEquipScenario4[[#This Row],[level]])+COUNTIFS(Scenario4[loser3],"druid",Scenario4[loser3-cp],DruidEquipScenario4[[#This Row],[level]])</f>
        <v>14</v>
      </c>
    </row>
    <row r="88" spans="11:19" x14ac:dyDescent="0.25">
      <c r="K88" t="s">
        <v>89</v>
      </c>
      <c r="L88">
        <f>COUNTIF(Scenario4[winner1-ability1],DruidAbilities1Scenario4[[#This Row],[ability]])+COUNTIF(Scenario4[loser1-ability1],DruidAbilities1Scenario4[[#This Row],[ability]])+COUNTIF(Scenario4[loser2-ability1],DruidAbilities1Scenario4[[#This Row],[ability]])+COUNTIF(Scenario4[loser3-ability1],DruidAbilities1Scenario4[[#This Row],[ability]])</f>
        <v>0</v>
      </c>
      <c r="M88">
        <f>COUNTIF(Scenario4[winner1-ability1],DruidAbilities1Scenario4[[#This Row],[ability]])</f>
        <v>0</v>
      </c>
      <c r="N88" s="3">
        <f>IF(SUM(DruidAbilities1Scenario4[[#This Row],[takes]]) &gt; 0,DruidAbilities1Scenario4[[#This Row],[takes]]/SUM(DruidAbilities1Scenario4[takes]),0)</f>
        <v>0</v>
      </c>
      <c r="O88" s="3">
        <f>IF(DruidAbilities1Scenario4[[#This Row],[takes]]&gt;0,DruidAbilities1Scenario4[[#This Row],[wins]]/DruidAbilities1Scenario4[[#This Row],[takes]],0)</f>
        <v>0</v>
      </c>
      <c r="Q88">
        <v>2</v>
      </c>
      <c r="R88">
        <f>COUNTIFS(Scenario4[winner1],"druid",Scenario4[winner1-pw],DruidEquipScenario4[[#This Row],[level]])+COUNTIFS(Scenario4[loser1],"druid",Scenario4[loser1-pw],DruidEquipScenario4[[#This Row],[level]])+COUNTIFS(Scenario4[loser2],"druid",Scenario4[loser2-pw],DruidEquipScenario4[[#This Row],[level]])+COUNTIFS(Scenario4[loser3],"druid",Scenario4[loser3-pw],DruidEquipScenario4[[#This Row],[level]])</f>
        <v>7</v>
      </c>
      <c r="S88" s="18">
        <f>COUNTIFS(Scenario4[winner1],"druid",Scenario4[winner1-cp],DruidEquipScenario4[[#This Row],[level]])+COUNTIFS(Scenario4[loser1],"druid",Scenario4[loser1-cp],DruidEquipScenario4[[#This Row],[level]])+COUNTIFS(Scenario4[loser2],"druid",Scenario4[loser2-cp],DruidEquipScenario4[[#This Row],[level]])+COUNTIFS(Scenario4[loser3],"druid",Scenario4[loser3-cp],DruidEquipScenario4[[#This Row],[level]])</f>
        <v>5</v>
      </c>
    </row>
    <row r="89" spans="11:19" x14ac:dyDescent="0.25">
      <c r="K89" t="s">
        <v>126</v>
      </c>
      <c r="L89">
        <f>COUNTIF(Scenario4[winner1-ability1],DruidAbilities1Scenario4[[#This Row],[ability]])+COUNTIF(Scenario4[loser1-ability1],DruidAbilities1Scenario4[[#This Row],[ability]])+COUNTIF(Scenario4[loser2-ability1],DruidAbilities1Scenario4[[#This Row],[ability]])+COUNTIF(Scenario4[loser3-ability1],DruidAbilities1Scenario4[[#This Row],[ability]])</f>
        <v>56</v>
      </c>
      <c r="M89">
        <f>COUNTIF(Scenario4[winner1-ability1],DruidAbilities1Scenario4[[#This Row],[ability]])</f>
        <v>13</v>
      </c>
      <c r="N89" s="3">
        <f>IF(SUM(DruidAbilities1Scenario4[[#This Row],[takes]]) &gt; 0,DruidAbilities1Scenario4[[#This Row],[takes]]/SUM(DruidAbilities1Scenario4[takes]),0)</f>
        <v>1</v>
      </c>
      <c r="O89" s="3">
        <f>IF(DruidAbilities1Scenario4[[#This Row],[takes]]&gt;0,DruidAbilities1Scenario4[[#This Row],[wins]]/DruidAbilities1Scenario4[[#This Row],[takes]],0)</f>
        <v>0.23214285714285715</v>
      </c>
      <c r="Q89">
        <v>3</v>
      </c>
      <c r="R89">
        <f>COUNTIFS(Scenario4[winner1],"druid",Scenario4[winner1-pw],DruidEquipScenario4[[#This Row],[level]])+COUNTIFS(Scenario4[loser1],"druid",Scenario4[loser1-pw],DruidEquipScenario4[[#This Row],[level]])+COUNTIFS(Scenario4[loser2],"druid",Scenario4[loser2-pw],DruidEquipScenario4[[#This Row],[level]])+COUNTIFS(Scenario4[loser3],"druid",Scenario4[loser3-pw],DruidEquipScenario4[[#This Row],[level]])</f>
        <v>42</v>
      </c>
      <c r="S89" s="18">
        <f>COUNTIFS(Scenario4[winner1],"druid",Scenario4[winner1-cp],DruidEquipScenario4[[#This Row],[level]])+COUNTIFS(Scenario4[loser1],"druid",Scenario4[loser1-cp],DruidEquipScenario4[[#This Row],[level]])+COUNTIFS(Scenario4[loser2],"druid",Scenario4[loser2-cp],DruidEquipScenario4[[#This Row],[level]])+COUNTIFS(Scenario4[loser3],"druid",Scenario4[loser3-cp],DruidEquipScenario4[[#This Row],[level]])</f>
        <v>37</v>
      </c>
    </row>
    <row r="90" spans="11:19" x14ac:dyDescent="0.25">
      <c r="K90" s="17"/>
      <c r="N90" s="3"/>
      <c r="O90" s="3"/>
      <c r="S90" s="18"/>
    </row>
    <row r="91" spans="11:19" x14ac:dyDescent="0.25">
      <c r="K91" s="19" t="s">
        <v>109</v>
      </c>
      <c r="L91" s="8" t="s">
        <v>110</v>
      </c>
      <c r="M91" s="8" t="s">
        <v>79</v>
      </c>
      <c r="N91" s="9" t="s">
        <v>117</v>
      </c>
      <c r="O91" s="9" t="s">
        <v>118</v>
      </c>
      <c r="S91" s="18"/>
    </row>
    <row r="92" spans="11:19" x14ac:dyDescent="0.25">
      <c r="K92" s="2" t="s">
        <v>71</v>
      </c>
      <c r="L92" s="2">
        <f>COUNTIF(Scenario4[winner1-ability2],DruidAbilities2Scenario4[[#This Row],[ability]])+COUNTIF(Scenario4[loser1-ability2],DruidAbilities2Scenario4[[#This Row],[ability]])+COUNTIF(Scenario4[loser2-ability2],DruidAbilities2Scenario4[[#This Row],[ability]])+COUNTIF(Scenario4[loser3-ability2],DruidAbilities2Scenario4[[#This Row],[ability]])</f>
        <v>2</v>
      </c>
      <c r="M92" s="2">
        <f>COUNTIF(Scenario4[winner1-ability2],DruidAbilities2Scenario4[[#This Row],[ability]])</f>
        <v>0</v>
      </c>
      <c r="N92" s="12">
        <f>IF(SUM(DruidAbilities2Scenario4[[#This Row],[takes]]) &gt; 0,DruidAbilities2Scenario4[[#This Row],[takes]]/SUM(DruidAbilities2Scenario4[takes]),0)</f>
        <v>3.5714285714285712E-2</v>
      </c>
      <c r="O92" s="12">
        <f>IF(DruidAbilities2Scenario4[[#This Row],[takes]]&gt;0,DruidAbilities2Scenario4[[#This Row],[wins]]/DruidAbilities2Scenario4[[#This Row],[takes]],0)</f>
        <v>0</v>
      </c>
      <c r="S92" s="18"/>
    </row>
    <row r="93" spans="11:19" x14ac:dyDescent="0.25">
      <c r="K93" t="s">
        <v>50</v>
      </c>
      <c r="L93" s="2">
        <f>COUNTIF(Scenario4[winner1-ability2],DruidAbilities2Scenario4[[#This Row],[ability]])+COUNTIF(Scenario4[loser1-ability2],DruidAbilities2Scenario4[[#This Row],[ability]])+COUNTIF(Scenario4[loser2-ability2],DruidAbilities2Scenario4[[#This Row],[ability]])+COUNTIF(Scenario4[loser3-ability2],DruidAbilities2Scenario4[[#This Row],[ability]])</f>
        <v>0</v>
      </c>
      <c r="M93" s="2">
        <f>COUNTIF(Scenario4[winner1-ability2],DruidAbilities2Scenario4[[#This Row],[ability]])</f>
        <v>0</v>
      </c>
      <c r="N93" s="3">
        <f>IF(SUM(DruidAbilities2Scenario4[[#This Row],[takes]]) &gt; 0,DruidAbilities2Scenario4[[#This Row],[takes]]/SUM(DruidAbilities2Scenario4[takes]),0)</f>
        <v>0</v>
      </c>
      <c r="O93" s="3">
        <f>IF(DruidAbilities2Scenario4[[#This Row],[takes]]&gt;0,DruidAbilities2Scenario4[[#This Row],[wins]]/DruidAbilities2Scenario4[[#This Row],[takes]],0)</f>
        <v>0</v>
      </c>
      <c r="S93" s="18"/>
    </row>
    <row r="94" spans="11:19" x14ac:dyDescent="0.25">
      <c r="K94" s="10" t="s">
        <v>84</v>
      </c>
      <c r="L94" s="2">
        <f>COUNTIF(Scenario4[winner1-ability2],DruidAbilities2Scenario4[[#This Row],[ability]])+COUNTIF(Scenario4[loser1-ability2],DruidAbilities2Scenario4[[#This Row],[ability]])+COUNTIF(Scenario4[loser2-ability2],DruidAbilities2Scenario4[[#This Row],[ability]])+COUNTIF(Scenario4[loser3-ability2],DruidAbilities2Scenario4[[#This Row],[ability]])</f>
        <v>54</v>
      </c>
      <c r="M94" s="2">
        <f>COUNTIF(Scenario4[winner1-ability2],DruidAbilities2Scenario4[[#This Row],[ability]])</f>
        <v>13</v>
      </c>
      <c r="N94" s="13">
        <f>IF(SUM(DruidAbilities2Scenario4[[#This Row],[takes]]) &gt; 0,DruidAbilities2Scenario4[[#This Row],[takes]]/SUM(DruidAbilities2Scenario4[takes]),0)</f>
        <v>0.9642857142857143</v>
      </c>
      <c r="O94" s="13">
        <f>IF(DruidAbilities2Scenario4[[#This Row],[takes]]&gt;0,DruidAbilities2Scenario4[[#This Row],[wins]]/DruidAbilities2Scenario4[[#This Row],[takes]],0)</f>
        <v>0.24074074074074073</v>
      </c>
      <c r="S94" s="18"/>
    </row>
    <row r="95" spans="11:19" x14ac:dyDescent="0.25">
      <c r="K95" s="17"/>
      <c r="N95" s="3"/>
      <c r="O95" s="3"/>
      <c r="S95" s="18"/>
    </row>
    <row r="96" spans="11:19" x14ac:dyDescent="0.25">
      <c r="K96" s="19" t="s">
        <v>109</v>
      </c>
      <c r="L96" s="8" t="s">
        <v>110</v>
      </c>
      <c r="M96" s="8" t="s">
        <v>79</v>
      </c>
      <c r="N96" s="9" t="s">
        <v>117</v>
      </c>
      <c r="O96" s="9" t="s">
        <v>118</v>
      </c>
      <c r="S96" s="18"/>
    </row>
    <row r="97" spans="11:19" x14ac:dyDescent="0.25">
      <c r="K97" s="1" t="s">
        <v>51</v>
      </c>
      <c r="L97" s="1">
        <f>COUNTIF(Scenario4[winner1-ability3],DruidAbilities3Scenario4[[#This Row],[ability]])+COUNTIF(Scenario4[loser1-ability3],DruidAbilities3Scenario4[[#This Row],[ability]])+COUNTIF(Scenario4[loser2-ability3],DruidAbilities3Scenario4[[#This Row],[ability]])+COUNTIF(Scenario4[loser3-ability3],DruidAbilities3Scenario4[[#This Row],[ability]])</f>
        <v>0</v>
      </c>
      <c r="M97" s="1">
        <f>COUNTIF(Scenario4[winner1-ability3],DruidAbilities3Scenario4[[#This Row],[ability]])</f>
        <v>0</v>
      </c>
      <c r="N97" s="14">
        <f>IF(SUM(DruidAbilities3Scenario4[[#This Row],[takes]]) &gt; 0,DruidAbilities3Scenario4[[#This Row],[takes]]/SUM(DruidAbilities3Scenario4[takes]),0)</f>
        <v>0</v>
      </c>
      <c r="O97" s="14">
        <f>IF(DruidAbilities3Scenario4[[#This Row],[takes]]&gt;0,DruidAbilities3Scenario4[[#This Row],[wins]]/DruidAbilities3Scenario4[[#This Row],[takes]],0)</f>
        <v>0</v>
      </c>
      <c r="S97" s="18"/>
    </row>
    <row r="98" spans="11:19" x14ac:dyDescent="0.25">
      <c r="K98" s="2" t="s">
        <v>127</v>
      </c>
      <c r="L98" s="2">
        <f>COUNTIF(Scenario4[winner1-ability3],DruidAbilities3Scenario4[[#This Row],[ability]])+COUNTIF(Scenario4[loser1-ability3],DruidAbilities3Scenario4[[#This Row],[ability]])+COUNTIF(Scenario4[loser2-ability3],DruidAbilities3Scenario4[[#This Row],[ability]])+COUNTIF(Scenario4[loser3-ability3],DruidAbilities3Scenario4[[#This Row],[ability]])</f>
        <v>21</v>
      </c>
      <c r="M98" s="2">
        <f>COUNTIF(Scenario4[winner1-ability3],DruidAbilities3Scenario4[[#This Row],[ability]])</f>
        <v>7</v>
      </c>
      <c r="N98" s="12">
        <f>IF(SUM(DruidAbilities3Scenario4[[#This Row],[takes]]) &gt; 0,DruidAbilities3Scenario4[[#This Row],[takes]]/SUM(DruidAbilities3Scenario4[takes]),0)</f>
        <v>0.3888888888888889</v>
      </c>
      <c r="O98" s="12">
        <f>IF(DruidAbilities3Scenario4[[#This Row],[takes]]&gt;0,DruidAbilities3Scenario4[[#This Row],[wins]]/DruidAbilities3Scenario4[[#This Row],[takes]],0)</f>
        <v>0.33333333333333331</v>
      </c>
      <c r="S98" s="18"/>
    </row>
    <row r="99" spans="11:19" x14ac:dyDescent="0.25">
      <c r="K99" s="11" t="s">
        <v>90</v>
      </c>
      <c r="L99" s="1">
        <f>COUNTIF(Scenario4[winner1-ability3],DruidAbilities3Scenario4[[#This Row],[ability]])+COUNTIF(Scenario4[loser1-ability3],DruidAbilities3Scenario4[[#This Row],[ability]])+COUNTIF(Scenario4[loser2-ability3],DruidAbilities3Scenario4[[#This Row],[ability]])+COUNTIF(Scenario4[loser3-ability3],DruidAbilities3Scenario4[[#This Row],[ability]])</f>
        <v>33</v>
      </c>
      <c r="M99" s="1">
        <f>COUNTIF(Scenario4[winner1-ability3],DruidAbilities3Scenario4[[#This Row],[ability]])</f>
        <v>6</v>
      </c>
      <c r="N99" s="15">
        <f>IF(SUM(DruidAbilities3Scenario4[[#This Row],[takes]]) &gt; 0,DruidAbilities3Scenario4[[#This Row],[takes]]/SUM(DruidAbilities3Scenario4[takes]),0)</f>
        <v>0.61111111111111116</v>
      </c>
      <c r="O99" s="15">
        <f>IF(DruidAbilities3Scenario4[[#This Row],[takes]]&gt;0,DruidAbilities3Scenario4[[#This Row],[wins]]/DruidAbilities3Scenario4[[#This Row],[takes]],0)</f>
        <v>0.18181818181818182</v>
      </c>
      <c r="S99" s="18"/>
    </row>
    <row r="100" spans="11:19" x14ac:dyDescent="0.25">
      <c r="K100" s="17"/>
      <c r="N100" s="3"/>
      <c r="O100" s="3"/>
      <c r="S100" s="18"/>
    </row>
    <row r="101" spans="11:19" x14ac:dyDescent="0.25">
      <c r="K101" s="19" t="s">
        <v>109</v>
      </c>
      <c r="L101" s="8" t="s">
        <v>110</v>
      </c>
      <c r="M101" s="8" t="s">
        <v>79</v>
      </c>
      <c r="N101" s="9" t="s">
        <v>117</v>
      </c>
      <c r="O101" s="9" t="s">
        <v>118</v>
      </c>
      <c r="S101" s="18"/>
    </row>
    <row r="102" spans="11:19" x14ac:dyDescent="0.25">
      <c r="K102" s="2" t="s">
        <v>128</v>
      </c>
      <c r="L102" s="2">
        <f>COUNTIF(Scenario4[winner1-ability4],DruidAbilities4Scenario4[[#This Row],[ability]])+COUNTIF(Scenario4[loser1-ability4],DruidAbilities4Scenario4[[#This Row],[ability]])+COUNTIF(Scenario4[loser2-ability4],DruidAbilities4Scenario4[[#This Row],[ability]])+COUNTIF(Scenario4[loser3-ability4],DruidAbilities4Scenario4[[#This Row],[ability]])</f>
        <v>32</v>
      </c>
      <c r="M102" s="2">
        <f>COUNTIF(Scenario4[winner1-ability4],DruidAbilities4Scenario4[[#This Row],[ability]])</f>
        <v>9</v>
      </c>
      <c r="N102" s="12">
        <f>IF(SUM(DruidAbilities4Scenario4[[#This Row],[takes]]) &gt; 0,DruidAbilities4Scenario4[[#This Row],[takes]]/SUM(DruidAbilities4Scenario4[takes]),0)</f>
        <v>0.76190476190476186</v>
      </c>
      <c r="O102" s="12">
        <f>IF(DruidAbilities4Scenario4[[#This Row],[takes]]&gt;0,DruidAbilities4Scenario4[[#This Row],[wins]]/DruidAbilities4Scenario4[[#This Row],[takes]],0)</f>
        <v>0.28125</v>
      </c>
      <c r="S102" s="18"/>
    </row>
    <row r="103" spans="11:19" x14ac:dyDescent="0.25">
      <c r="K103" s="2" t="s">
        <v>52</v>
      </c>
      <c r="L103" s="2">
        <f>COUNTIF(Scenario4[winner1-ability4],DruidAbilities4Scenario4[[#This Row],[ability]])+COUNTIF(Scenario4[loser1-ability4],DruidAbilities4Scenario4[[#This Row],[ability]])+COUNTIF(Scenario4[loser2-ability4],DruidAbilities4Scenario4[[#This Row],[ability]])+COUNTIF(Scenario4[loser3-ability4],DruidAbilities4Scenario4[[#This Row],[ability]])</f>
        <v>10</v>
      </c>
      <c r="M103" s="2">
        <f>COUNTIF(Scenario4[winner1-ability4],DruidAbilities4Scenario4[[#This Row],[ability]])</f>
        <v>4</v>
      </c>
      <c r="N103" s="12">
        <f>IF(SUM(DruidAbilities4Scenario4[[#This Row],[takes]]) &gt; 0,DruidAbilities4Scenario4[[#This Row],[takes]]/SUM(DruidAbilities4Scenario4[takes]),0)</f>
        <v>0.23809523809523808</v>
      </c>
      <c r="O103" s="12">
        <f>IF(DruidAbilities4Scenario4[[#This Row],[takes]]&gt;0,DruidAbilities4Scenario4[[#This Row],[wins]]/DruidAbilities4Scenario4[[#This Row],[takes]],0)</f>
        <v>0.4</v>
      </c>
      <c r="S103" s="18"/>
    </row>
    <row r="104" spans="11:19" ht="15.75" thickBot="1" x14ac:dyDescent="0.3">
      <c r="K104" s="10" t="s">
        <v>129</v>
      </c>
      <c r="L104" s="2">
        <f>COUNTIF(Scenario4[winner1-ability4],DruidAbilities4Scenario4[[#This Row],[ability]])+COUNTIF(Scenario4[loser1-ability4],DruidAbilities4Scenario4[[#This Row],[ability]])+COUNTIF(Scenario4[loser2-ability4],DruidAbilities4Scenario4[[#This Row],[ability]])+COUNTIF(Scenario4[loser3-ability4],DruidAbilities4Scenario4[[#This Row],[ability]])</f>
        <v>0</v>
      </c>
      <c r="M104" s="2">
        <f>COUNTIF(Scenario4[winner1-ability4],DruidAbilities4Scenario4[[#This Row],[ability]])</f>
        <v>0</v>
      </c>
      <c r="N104" s="26">
        <f>IF(SUM(DruidAbilities4Scenario4[[#This Row],[takes]]) &gt; 0,DruidAbilities4Scenario4[[#This Row],[takes]]/SUM(DruidAbilities4Scenario4[takes]),0)</f>
        <v>0</v>
      </c>
      <c r="O104" s="26">
        <f>IF(DruidAbilities4Scenario4[[#This Row],[takes]]&gt;0,DruidAbilities4Scenario4[[#This Row],[wins]]/DruidAbilities4Scenario4[[#This Row],[takes]],0)</f>
        <v>0</v>
      </c>
      <c r="P104" s="27"/>
      <c r="Q104" s="27"/>
      <c r="R104" s="27"/>
      <c r="S104" s="28"/>
    </row>
    <row r="105" spans="11:19" ht="15.75" thickBot="1" x14ac:dyDescent="0.3"/>
    <row r="106" spans="11:19" ht="15.75" thickBot="1" x14ac:dyDescent="0.3">
      <c r="K106" s="36" t="s">
        <v>220</v>
      </c>
      <c r="L106" s="37"/>
      <c r="M106" s="37"/>
      <c r="N106" s="37"/>
      <c r="O106" s="37"/>
      <c r="P106" s="37"/>
      <c r="Q106" s="37"/>
      <c r="R106" s="37"/>
      <c r="S106" s="38"/>
    </row>
    <row r="107" spans="11:19" x14ac:dyDescent="0.25">
      <c r="K107" s="17" t="s">
        <v>109</v>
      </c>
      <c r="L107" t="s">
        <v>110</v>
      </c>
      <c r="M107" t="s">
        <v>79</v>
      </c>
      <c r="N107" s="3" t="s">
        <v>117</v>
      </c>
      <c r="O107" s="3" t="s">
        <v>118</v>
      </c>
      <c r="Q107" t="s">
        <v>161</v>
      </c>
      <c r="R107" t="s">
        <v>166</v>
      </c>
      <c r="S107" s="18" t="s">
        <v>164</v>
      </c>
    </row>
    <row r="108" spans="11:19" x14ac:dyDescent="0.25">
      <c r="K108" t="s">
        <v>49</v>
      </c>
      <c r="L108">
        <f>COUNTIF(Scenario5[winner1-ability1],DruidAbilities1Scenario5[[#This Row],[ability]])+COUNTIF(Scenario5[winner2-ability1],DruidAbilities1Scenario5[[#This Row],[ability]])+COUNTIF(Scenario5[loser1-ability1],DruidAbilities1Scenario5[[#This Row],[ability]])+COUNTIF(Scenario5[loser2-ability1],DruidAbilities1Scenario5[[#This Row],[ability]])</f>
        <v>29</v>
      </c>
      <c r="M108">
        <f>COUNTIF(Scenario5[winner1-ability1],DruidAbilities1Scenario5[[#This Row],[ability]])+COUNTIF(Scenario5[winner2-ability1],DruidAbilities1Scenario5[[#This Row],[ability]])</f>
        <v>13</v>
      </c>
      <c r="N108" s="3">
        <f>IF(SUM(DruidAbilities1Scenario5[[#This Row],[takes]]) &gt; 0,DruidAbilities1Scenario5[[#This Row],[takes]]/SUM(DruidAbilities1Scenario5[takes]),0)</f>
        <v>0.17261904761904762</v>
      </c>
      <c r="O108" s="3">
        <f>IF(DruidAbilities1Scenario5[[#This Row],[takes]]&gt;0,DruidAbilities1Scenario5[[#This Row],[wins]]/DruidAbilities1Scenario5[[#This Row],[takes]],0)</f>
        <v>0.44827586206896552</v>
      </c>
      <c r="Q108">
        <v>1</v>
      </c>
      <c r="R108">
        <f>COUNTIFS(Scenario5[winner1],"druid",Scenario5[winner1-pw],DruidEquipScenario5[[#This Row],[level]])+COUNTIFS(Scenario5[winner2],"druid",Scenario5[winner2-pw],DruidEquipScenario5[[#This Row],[level]])+COUNTIFS(Scenario5[loser1],"druid",Scenario5[loser1-pw],DruidEquipScenario5[[#This Row],[level]])+COUNTIFS(Scenario5[loser2],"druid",Scenario5[loser2-pw],DruidEquipScenario5[[#This Row],[level]])</f>
        <v>57</v>
      </c>
      <c r="S108" s="18">
        <f>COUNTIFS(Scenario5[winner1],"druid",Scenario5[winner1-cp],DruidEquipScenario5[[#This Row],[level]])+COUNTIFS(Scenario5[winner2],"druid",Scenario5[winner2-cp],DruidEquipScenario5[[#This Row],[level]])+COUNTIFS(Scenario5[loser1],"druid",Scenario5[loser1-cp],DruidEquipScenario5[[#This Row],[level]])+COUNTIFS(Scenario5[loser2],"druid",Scenario5[loser2-cp],DruidEquipScenario5[[#This Row],[level]])</f>
        <v>70</v>
      </c>
    </row>
    <row r="109" spans="11:19" x14ac:dyDescent="0.25">
      <c r="K109" t="s">
        <v>89</v>
      </c>
      <c r="L109">
        <f>COUNTIF(Scenario5[winner1-ability1],DruidAbilities1Scenario5[[#This Row],[ability]])+COUNTIF(Scenario5[winner2-ability1],DruidAbilities1Scenario5[[#This Row],[ability]])+COUNTIF(Scenario5[loser1-ability1],DruidAbilities1Scenario5[[#This Row],[ability]])+COUNTIF(Scenario5[loser2-ability1],DruidAbilities1Scenario5[[#This Row],[ability]])</f>
        <v>48</v>
      </c>
      <c r="M109">
        <f>COUNTIF(Scenario5[winner1-ability1],DruidAbilities1Scenario5[[#This Row],[ability]])+COUNTIF(Scenario5[winner2-ability1],DruidAbilities1Scenario5[[#This Row],[ability]])</f>
        <v>33</v>
      </c>
      <c r="N109" s="3">
        <f>IF(SUM(DruidAbilities1Scenario5[[#This Row],[takes]]) &gt; 0,DruidAbilities1Scenario5[[#This Row],[takes]]/SUM(DruidAbilities1Scenario5[takes]),0)</f>
        <v>0.2857142857142857</v>
      </c>
      <c r="O109" s="3">
        <f>IF(DruidAbilities1Scenario5[[#This Row],[takes]]&gt;0,DruidAbilities1Scenario5[[#This Row],[wins]]/DruidAbilities1Scenario5[[#This Row],[takes]],0)</f>
        <v>0.6875</v>
      </c>
      <c r="Q109">
        <v>2</v>
      </c>
      <c r="R109">
        <f>COUNTIFS(Scenario5[winner1],"druid",Scenario5[winner1-pw],DruidEquipScenario5[[#This Row],[level]])+COUNTIFS(Scenario5[winner2],"druid",Scenario5[winner2-pw],DruidEquipScenario5[[#This Row],[level]])+COUNTIFS(Scenario5[loser1],"druid",Scenario5[loser1-pw],DruidEquipScenario5[[#This Row],[level]])+COUNTIFS(Scenario5[loser2],"druid",Scenario5[loser2-pw],DruidEquipScenario5[[#This Row],[level]])</f>
        <v>29</v>
      </c>
      <c r="S109" s="18">
        <f>COUNTIFS(Scenario5[winner1],"druid",Scenario5[winner1-cp],DruidEquipScenario5[[#This Row],[level]])+COUNTIFS(Scenario5[winner2],"druid",Scenario5[winner2-cp],DruidEquipScenario5[[#This Row],[level]])+COUNTIFS(Scenario5[loser1],"druid",Scenario5[loser1-cp],DruidEquipScenario5[[#This Row],[level]])+COUNTIFS(Scenario5[loser2],"druid",Scenario5[loser2-cp],DruidEquipScenario5[[#This Row],[level]])</f>
        <v>28</v>
      </c>
    </row>
    <row r="110" spans="11:19" x14ac:dyDescent="0.25">
      <c r="K110" t="s">
        <v>126</v>
      </c>
      <c r="L110">
        <f>COUNTIF(Scenario5[winner1-ability1],DruidAbilities1Scenario5[[#This Row],[ability]])+COUNTIF(Scenario5[winner2-ability1],DruidAbilities1Scenario5[[#This Row],[ability]])+COUNTIF(Scenario5[loser1-ability1],DruidAbilities1Scenario5[[#This Row],[ability]])+COUNTIF(Scenario5[loser2-ability1],DruidAbilities1Scenario5[[#This Row],[ability]])</f>
        <v>91</v>
      </c>
      <c r="M110">
        <f>COUNTIF(Scenario5[winner1-ability1],DruidAbilities1Scenario5[[#This Row],[ability]])+COUNTIF(Scenario5[winner2-ability1],DruidAbilities1Scenario5[[#This Row],[ability]])</f>
        <v>42</v>
      </c>
      <c r="N110" s="3">
        <f>IF(SUM(DruidAbilities1Scenario5[[#This Row],[takes]]) &gt; 0,DruidAbilities1Scenario5[[#This Row],[takes]]/SUM(DruidAbilities1Scenario5[takes]),0)</f>
        <v>0.54166666666666663</v>
      </c>
      <c r="O110" s="3">
        <f>IF(DruidAbilities1Scenario5[[#This Row],[takes]]&gt;0,DruidAbilities1Scenario5[[#This Row],[wins]]/DruidAbilities1Scenario5[[#This Row],[takes]],0)</f>
        <v>0.46153846153846156</v>
      </c>
      <c r="Q110">
        <v>3</v>
      </c>
      <c r="R110">
        <f>COUNTIFS(Scenario5[winner1],"druid",Scenario5[winner1-pw],DruidEquipScenario5[[#This Row],[level]])+COUNTIFS(Scenario5[winner2],"druid",Scenario5[winner2-pw],DruidEquipScenario5[[#This Row],[level]])+COUNTIFS(Scenario5[loser1],"druid",Scenario5[loser1-pw],DruidEquipScenario5[[#This Row],[level]])+COUNTIFS(Scenario5[loser2],"druid",Scenario5[loser2-pw],DruidEquipScenario5[[#This Row],[level]])</f>
        <v>82</v>
      </c>
      <c r="S110" s="18">
        <f>COUNTIFS(Scenario5[winner1],"druid",Scenario5[winner1-cp],DruidEquipScenario5[[#This Row],[level]])+COUNTIFS(Scenario5[winner2],"druid",Scenario5[winner2-cp],DruidEquipScenario5[[#This Row],[level]])+COUNTIFS(Scenario5[loser1],"druid",Scenario5[loser1-cp],DruidEquipScenario5[[#This Row],[level]])+COUNTIFS(Scenario5[loser2],"druid",Scenario5[loser2-cp],DruidEquipScenario5[[#This Row],[level]])</f>
        <v>70</v>
      </c>
    </row>
    <row r="111" spans="11:19" x14ac:dyDescent="0.25">
      <c r="K111" s="17"/>
      <c r="N111" s="3"/>
      <c r="O111" s="3"/>
      <c r="S111" s="18"/>
    </row>
    <row r="112" spans="11:19" x14ac:dyDescent="0.25">
      <c r="K112" s="19" t="s">
        <v>109</v>
      </c>
      <c r="L112" s="8" t="s">
        <v>110</v>
      </c>
      <c r="M112" s="8" t="s">
        <v>79</v>
      </c>
      <c r="N112" s="9" t="s">
        <v>117</v>
      </c>
      <c r="O112" s="9" t="s">
        <v>118</v>
      </c>
      <c r="S112" s="18"/>
    </row>
    <row r="113" spans="11:19" x14ac:dyDescent="0.25">
      <c r="K113" s="2" t="s">
        <v>71</v>
      </c>
      <c r="L113" s="2">
        <f>COUNTIF(Scenario5[winner1-ability2],DruidAbilities2Scenario5[[#This Row],[ability]])+COUNTIF(Scenario5[winner2-ability2],DruidAbilities2Scenario5[[#This Row],[ability]])+COUNTIF(Scenario5[loser1-ability2],DruidAbilities2Scenario5[[#This Row],[ability]])+COUNTIF(Scenario5[loser2-ability2],DruidAbilities2Scenario5[[#This Row],[ability]])</f>
        <v>14</v>
      </c>
      <c r="M113" s="2">
        <f>COUNTIF(Scenario5[winner1-ability2],DruidAbilities2Scenario5[[#This Row],[ability]])+COUNTIF(Scenario5[winner2-ability2],DruidAbilities2Scenario5[[#This Row],[ability]])</f>
        <v>14</v>
      </c>
      <c r="N113" s="12">
        <f>IF(SUM(DruidAbilities2Scenario5[[#This Row],[takes]]) &gt; 0,DruidAbilities2Scenario5[[#This Row],[takes]]/SUM(DruidAbilities2Scenario5[takes]),0)</f>
        <v>8.8607594936708861E-2</v>
      </c>
      <c r="O113" s="12">
        <f>IF(DruidAbilities2Scenario5[[#This Row],[takes]]&gt;0,DruidAbilities2Scenario5[[#This Row],[wins]]/DruidAbilities2Scenario5[[#This Row],[takes]],0)</f>
        <v>1</v>
      </c>
      <c r="S113" s="18"/>
    </row>
    <row r="114" spans="11:19" x14ac:dyDescent="0.25">
      <c r="K114" t="s">
        <v>50</v>
      </c>
      <c r="L114" s="2">
        <f>COUNTIF(Scenario5[winner1-ability2],DruidAbilities2Scenario5[[#This Row],[ability]])+COUNTIF(Scenario5[winner2-ability2],DruidAbilities2Scenario5[[#This Row],[ability]])+COUNTIF(Scenario5[loser1-ability2],DruidAbilities2Scenario5[[#This Row],[ability]])+COUNTIF(Scenario5[loser2-ability2],DruidAbilities2Scenario5[[#This Row],[ability]])</f>
        <v>54</v>
      </c>
      <c r="M114" s="2">
        <f>COUNTIF(Scenario5[winner1-ability2],DruidAbilities2Scenario5[[#This Row],[ability]])+COUNTIF(Scenario5[winner2-ability2],DruidAbilities2Scenario5[[#This Row],[ability]])</f>
        <v>24</v>
      </c>
      <c r="N114" s="3">
        <f>IF(SUM(DruidAbilities2Scenario5[[#This Row],[takes]]) &gt; 0,DruidAbilities2Scenario5[[#This Row],[takes]]/SUM(DruidAbilities2Scenario5[takes]),0)</f>
        <v>0.34177215189873417</v>
      </c>
      <c r="O114" s="3">
        <f>IF(DruidAbilities2Scenario5[[#This Row],[takes]]&gt;0,DruidAbilities2Scenario5[[#This Row],[wins]]/DruidAbilities2Scenario5[[#This Row],[takes]],0)</f>
        <v>0.44444444444444442</v>
      </c>
      <c r="S114" s="18"/>
    </row>
    <row r="115" spans="11:19" x14ac:dyDescent="0.25">
      <c r="K115" s="10" t="s">
        <v>84</v>
      </c>
      <c r="L115" s="2">
        <f>COUNTIF(Scenario5[winner1-ability2],DruidAbilities2Scenario5[[#This Row],[ability]])+COUNTIF(Scenario5[winner2-ability2],DruidAbilities2Scenario5[[#This Row],[ability]])+COUNTIF(Scenario5[loser1-ability2],DruidAbilities2Scenario5[[#This Row],[ability]])+COUNTIF(Scenario5[loser2-ability2],DruidAbilities2Scenario5[[#This Row],[ability]])</f>
        <v>90</v>
      </c>
      <c r="M115" s="2">
        <f>COUNTIF(Scenario5[winner1-ability2],DruidAbilities2Scenario5[[#This Row],[ability]])+COUNTIF(Scenario5[winner2-ability2],DruidAbilities2Scenario5[[#This Row],[ability]])</f>
        <v>48</v>
      </c>
      <c r="N115" s="13">
        <f>IF(SUM(DruidAbilities2Scenario5[[#This Row],[takes]]) &gt; 0,DruidAbilities2Scenario5[[#This Row],[takes]]/SUM(DruidAbilities2Scenario5[takes]),0)</f>
        <v>0.569620253164557</v>
      </c>
      <c r="O115" s="13">
        <f>IF(DruidAbilities2Scenario5[[#This Row],[takes]]&gt;0,DruidAbilities2Scenario5[[#This Row],[wins]]/DruidAbilities2Scenario5[[#This Row],[takes]],0)</f>
        <v>0.53333333333333333</v>
      </c>
      <c r="S115" s="18"/>
    </row>
    <row r="116" spans="11:19" x14ac:dyDescent="0.25">
      <c r="K116" s="17"/>
      <c r="N116" s="3"/>
      <c r="O116" s="3"/>
      <c r="S116" s="18"/>
    </row>
    <row r="117" spans="11:19" x14ac:dyDescent="0.25">
      <c r="K117" s="19" t="s">
        <v>109</v>
      </c>
      <c r="L117" s="8" t="s">
        <v>110</v>
      </c>
      <c r="M117" s="8" t="s">
        <v>79</v>
      </c>
      <c r="N117" s="9" t="s">
        <v>117</v>
      </c>
      <c r="O117" s="9" t="s">
        <v>118</v>
      </c>
      <c r="S117" s="18"/>
    </row>
    <row r="118" spans="11:19" x14ac:dyDescent="0.25">
      <c r="K118" s="1" t="s">
        <v>51</v>
      </c>
      <c r="L118" s="1">
        <f>COUNTIF(Scenario5[winner1-ability3],DruidAbilities3Scenario5[[#This Row],[ability]])+COUNTIF(Scenario5[winner2-ability3],DruidAbilities3Scenario5[[#This Row],[ability]])+COUNTIF(Scenario5[loser1-ability3],DruidAbilities3Scenario5[[#This Row],[ability]])+COUNTIF(Scenario5[loser2-ability3],DruidAbilities3Scenario5[[#This Row],[ability]])</f>
        <v>22</v>
      </c>
      <c r="M118" s="1">
        <f>COUNTIF(Scenario5[winner1-ability3],DruidAbilities3Scenario5[[#This Row],[ability]])+COUNTIF(Scenario5[winner2-ability3],DruidAbilities3Scenario5[[#This Row],[ability]])</f>
        <v>20</v>
      </c>
      <c r="N118" s="14">
        <f>IF(SUM(DruidAbilities3Scenario5[[#This Row],[takes]]) &gt; 0,DruidAbilities3Scenario5[[#This Row],[takes]]/SUM(DruidAbilities3Scenario5[takes]),0)</f>
        <v>0.15942028985507245</v>
      </c>
      <c r="O118" s="14">
        <f>IF(DruidAbilities3Scenario5[[#This Row],[takes]]&gt;0,DruidAbilities3Scenario5[[#This Row],[wins]]/DruidAbilities3Scenario5[[#This Row],[takes]],0)</f>
        <v>0.90909090909090906</v>
      </c>
      <c r="S118" s="18"/>
    </row>
    <row r="119" spans="11:19" x14ac:dyDescent="0.25">
      <c r="K119" s="2" t="s">
        <v>127</v>
      </c>
      <c r="L119" s="2">
        <f>COUNTIF(Scenario5[winner1-ability3],DruidAbilities3Scenario5[[#This Row],[ability]])+COUNTIF(Scenario5[winner2-ability3],DruidAbilities3Scenario5[[#This Row],[ability]])+COUNTIF(Scenario5[loser1-ability3],DruidAbilities3Scenario5[[#This Row],[ability]])+COUNTIF(Scenario5[loser2-ability3],DruidAbilities3Scenario5[[#This Row],[ability]])</f>
        <v>85</v>
      </c>
      <c r="M119" s="2">
        <f>COUNTIF(Scenario5[winner1-ability3],DruidAbilities3Scenario5[[#This Row],[ability]])+COUNTIF(Scenario5[winner2-ability3],DruidAbilities3Scenario5[[#This Row],[ability]])</f>
        <v>46</v>
      </c>
      <c r="N119" s="12">
        <f>IF(SUM(DruidAbilities3Scenario5[[#This Row],[takes]]) &gt; 0,DruidAbilities3Scenario5[[#This Row],[takes]]/SUM(DruidAbilities3Scenario5[takes]),0)</f>
        <v>0.61594202898550721</v>
      </c>
      <c r="O119" s="12">
        <f>IF(DruidAbilities3Scenario5[[#This Row],[takes]]&gt;0,DruidAbilities3Scenario5[[#This Row],[wins]]/DruidAbilities3Scenario5[[#This Row],[takes]],0)</f>
        <v>0.54117647058823526</v>
      </c>
      <c r="S119" s="18"/>
    </row>
    <row r="120" spans="11:19" x14ac:dyDescent="0.25">
      <c r="K120" s="11" t="s">
        <v>90</v>
      </c>
      <c r="L120" s="1">
        <f>COUNTIF(Scenario5[winner1-ability3],DruidAbilities3Scenario5[[#This Row],[ability]])+COUNTIF(Scenario5[winner2-ability3],DruidAbilities3Scenario5[[#This Row],[ability]])+COUNTIF(Scenario5[loser1-ability3],DruidAbilities3Scenario5[[#This Row],[ability]])+COUNTIF(Scenario5[loser2-ability3],DruidAbilities3Scenario5[[#This Row],[ability]])</f>
        <v>31</v>
      </c>
      <c r="M120" s="1">
        <f>COUNTIF(Scenario5[winner1-ability3],DruidAbilities3Scenario5[[#This Row],[ability]])+COUNTIF(Scenario5[winner2-ability3],DruidAbilities3Scenario5[[#This Row],[ability]])</f>
        <v>15</v>
      </c>
      <c r="N120" s="15">
        <f>IF(SUM(DruidAbilities3Scenario5[[#This Row],[takes]]) &gt; 0,DruidAbilities3Scenario5[[#This Row],[takes]]/SUM(DruidAbilities3Scenario5[takes]),0)</f>
        <v>0.22463768115942029</v>
      </c>
      <c r="O120" s="15">
        <f>IF(DruidAbilities3Scenario5[[#This Row],[takes]]&gt;0,DruidAbilities3Scenario5[[#This Row],[wins]]/DruidAbilities3Scenario5[[#This Row],[takes]],0)</f>
        <v>0.4838709677419355</v>
      </c>
      <c r="S120" s="18"/>
    </row>
    <row r="121" spans="11:19" x14ac:dyDescent="0.25">
      <c r="K121" s="17"/>
      <c r="N121" s="3"/>
      <c r="O121" s="3"/>
      <c r="S121" s="18"/>
    </row>
    <row r="122" spans="11:19" x14ac:dyDescent="0.25">
      <c r="K122" s="19" t="s">
        <v>109</v>
      </c>
      <c r="L122" s="8" t="s">
        <v>110</v>
      </c>
      <c r="M122" s="8" t="s">
        <v>79</v>
      </c>
      <c r="N122" s="9" t="s">
        <v>117</v>
      </c>
      <c r="O122" s="9" t="s">
        <v>118</v>
      </c>
      <c r="S122" s="18"/>
    </row>
    <row r="123" spans="11:19" x14ac:dyDescent="0.25">
      <c r="K123" s="2" t="s">
        <v>128</v>
      </c>
      <c r="L123" s="2">
        <f>COUNTIF(Scenario5[winner1-ability4],DruidAbilities4Scenario5[[#This Row],[ability]])+COUNTIF(Scenario5[winner2-ability4],DruidAbilities4Scenario5[[#This Row],[ability]])+COUNTIF(Scenario5[loser1-ability4],DruidAbilities4Scenario5[[#This Row],[ability]])+COUNTIF(Scenario5[loser2-ability4],DruidAbilities4Scenario5[[#This Row],[ability]])</f>
        <v>13</v>
      </c>
      <c r="M123" s="2">
        <f>COUNTIF(Scenario5[winner1-ability4],DruidAbilities4Scenario5[[#This Row],[ability]])+COUNTIF(Scenario5[winner2-ability4],DruidAbilities4Scenario5[[#This Row],[ability]])</f>
        <v>10</v>
      </c>
      <c r="N123" s="12">
        <f>IF(SUM(DruidAbilities4Scenario5[[#This Row],[takes]]) &gt; 0,DruidAbilities4Scenario5[[#This Row],[takes]]/SUM(DruidAbilities4Scenario5[takes]),0)</f>
        <v>0.1111111111111111</v>
      </c>
      <c r="O123" s="12">
        <f>IF(DruidAbilities4Scenario5[[#This Row],[takes]]&gt;0,DruidAbilities4Scenario5[[#This Row],[wins]]/DruidAbilities4Scenario5[[#This Row],[takes]],0)</f>
        <v>0.76923076923076927</v>
      </c>
      <c r="S123" s="18"/>
    </row>
    <row r="124" spans="11:19" x14ac:dyDescent="0.25">
      <c r="K124" s="2" t="s">
        <v>52</v>
      </c>
      <c r="L124" s="2">
        <f>COUNTIF(Scenario5[winner1-ability4],DruidAbilities4Scenario5[[#This Row],[ability]])+COUNTIF(Scenario5[winner2-ability4],DruidAbilities4Scenario5[[#This Row],[ability]])+COUNTIF(Scenario5[loser1-ability4],DruidAbilities4Scenario5[[#This Row],[ability]])+COUNTIF(Scenario5[loser2-ability4],DruidAbilities4Scenario5[[#This Row],[ability]])</f>
        <v>25</v>
      </c>
      <c r="M124" s="2">
        <f>COUNTIF(Scenario5[winner1-ability4],DruidAbilities4Scenario5[[#This Row],[ability]])+COUNTIF(Scenario5[winner2-ability4],DruidAbilities4Scenario5[[#This Row],[ability]])</f>
        <v>13</v>
      </c>
      <c r="N124" s="12">
        <f>IF(SUM(DruidAbilities4Scenario5[[#This Row],[takes]]) &gt; 0,DruidAbilities4Scenario5[[#This Row],[takes]]/SUM(DruidAbilities4Scenario5[takes]),0)</f>
        <v>0.21367521367521367</v>
      </c>
      <c r="O124" s="12">
        <f>IF(DruidAbilities4Scenario5[[#This Row],[takes]]&gt;0,DruidAbilities4Scenario5[[#This Row],[wins]]/DruidAbilities4Scenario5[[#This Row],[takes]],0)</f>
        <v>0.52</v>
      </c>
      <c r="S124" s="18"/>
    </row>
    <row r="125" spans="11:19" ht="15.75" thickBot="1" x14ac:dyDescent="0.3">
      <c r="K125" s="10" t="s">
        <v>129</v>
      </c>
      <c r="L125" s="2">
        <f>COUNTIF(Scenario5[winner1-ability4],DruidAbilities4Scenario5[[#This Row],[ability]])+COUNTIF(Scenario5[winner2-ability4],DruidAbilities4Scenario5[[#This Row],[ability]])+COUNTIF(Scenario5[loser1-ability4],DruidAbilities4Scenario5[[#This Row],[ability]])+COUNTIF(Scenario5[loser2-ability4],DruidAbilities4Scenario5[[#This Row],[ability]])</f>
        <v>79</v>
      </c>
      <c r="M125" s="2">
        <f>COUNTIF(Scenario5[winner1-ability4],DruidAbilities4Scenario5[[#This Row],[ability]])+COUNTIF(Scenario5[winner2-ability4],DruidAbilities4Scenario5[[#This Row],[ability]])</f>
        <v>50</v>
      </c>
      <c r="N125" s="26">
        <f>IF(SUM(DruidAbilities4Scenario5[[#This Row],[takes]]) &gt; 0,DruidAbilities4Scenario5[[#This Row],[takes]]/SUM(DruidAbilities4Scenario5[takes]),0)</f>
        <v>0.67521367521367526</v>
      </c>
      <c r="O125" s="26">
        <f>IF(DruidAbilities4Scenario5[[#This Row],[takes]]&gt;0,DruidAbilities4Scenario5[[#This Row],[wins]]/DruidAbilities4Scenario5[[#This Row],[takes]],0)</f>
        <v>0.63291139240506333</v>
      </c>
      <c r="P125" s="27"/>
      <c r="Q125" s="27"/>
      <c r="R125" s="27"/>
      <c r="S125" s="28"/>
    </row>
  </sheetData>
  <mergeCells count="7">
    <mergeCell ref="K106:S106"/>
    <mergeCell ref="K85:S85"/>
    <mergeCell ref="A1:I1"/>
    <mergeCell ref="K1:S1"/>
    <mergeCell ref="K22:S22"/>
    <mergeCell ref="K43:S43"/>
    <mergeCell ref="K64:S64"/>
  </mergeCells>
  <pageMargins left="0.7" right="0.7" top="0.75" bottom="0.75" header="0.3" footer="0.3"/>
  <pageSetup paperSize="9" orientation="portrait" r:id="rId1"/>
  <tableParts count="3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5F09-8118-42F8-A802-F8367D0245CF}">
  <dimension ref="A1:V125"/>
  <sheetViews>
    <sheetView workbookViewId="0">
      <selection activeCell="D25" sqref="D25"/>
    </sheetView>
  </sheetViews>
  <sheetFormatPr defaultRowHeight="15" x14ac:dyDescent="0.25"/>
  <cols>
    <col min="1" max="1" width="24" bestFit="1" customWidth="1"/>
    <col min="2" max="2" width="8" bestFit="1" customWidth="1"/>
    <col min="3" max="3" width="7.42578125" bestFit="1" customWidth="1"/>
    <col min="4" max="4" width="18.42578125" style="3" bestFit="1" customWidth="1"/>
    <col min="5" max="5" width="15.5703125" style="3" bestFit="1" customWidth="1"/>
    <col min="6" max="6" width="3.5703125" customWidth="1"/>
    <col min="7" max="8" width="7.7109375" bestFit="1" customWidth="1"/>
    <col min="9" max="9" width="12.85546875" bestFit="1" customWidth="1"/>
    <col min="10" max="10" width="3.85546875" customWidth="1"/>
    <col min="11" max="11" width="24" bestFit="1" customWidth="1"/>
    <col min="12" max="12" width="8" bestFit="1" customWidth="1"/>
    <col min="13" max="13" width="7.42578125" bestFit="1" customWidth="1"/>
    <col min="14" max="14" width="18.42578125" bestFit="1" customWidth="1"/>
    <col min="15" max="15" width="15.5703125" bestFit="1" customWidth="1"/>
    <col min="16" max="16" width="3.5703125" customWidth="1"/>
    <col min="17" max="18" width="7.7109375" bestFit="1" customWidth="1"/>
    <col min="19" max="19" width="12.85546875" bestFit="1" customWidth="1"/>
    <col min="20" max="20" width="11.85546875" bestFit="1" customWidth="1"/>
    <col min="21" max="21" width="16.85546875" bestFit="1" customWidth="1"/>
    <col min="22" max="22" width="7.140625" bestFit="1" customWidth="1"/>
  </cols>
  <sheetData>
    <row r="1" spans="1:22" ht="15.75" thickBot="1" x14ac:dyDescent="0.3">
      <c r="A1" s="36" t="s">
        <v>181</v>
      </c>
      <c r="B1" s="37"/>
      <c r="C1" s="37"/>
      <c r="D1" s="37"/>
      <c r="E1" s="37"/>
      <c r="F1" s="37"/>
      <c r="G1" s="37"/>
      <c r="H1" s="37"/>
      <c r="I1" s="38"/>
      <c r="K1" s="36" t="s">
        <v>182</v>
      </c>
      <c r="L1" s="37"/>
      <c r="M1" s="37"/>
      <c r="N1" s="37"/>
      <c r="O1" s="37"/>
      <c r="P1" s="37"/>
      <c r="Q1" s="37"/>
      <c r="R1" s="37"/>
      <c r="S1" s="38"/>
      <c r="T1" s="29"/>
      <c r="U1" t="s">
        <v>174</v>
      </c>
      <c r="V1" s="3" t="s">
        <v>175</v>
      </c>
    </row>
    <row r="2" spans="1:22" x14ac:dyDescent="0.25">
      <c r="A2" s="17" t="s">
        <v>109</v>
      </c>
      <c r="B2" t="s">
        <v>110</v>
      </c>
      <c r="C2" t="s">
        <v>79</v>
      </c>
      <c r="D2" s="3" t="s">
        <v>117</v>
      </c>
      <c r="E2" s="3" t="s">
        <v>118</v>
      </c>
      <c r="G2" t="s">
        <v>161</v>
      </c>
      <c r="H2" t="s">
        <v>167</v>
      </c>
      <c r="I2" s="18" t="s">
        <v>164</v>
      </c>
      <c r="K2" s="17" t="s">
        <v>109</v>
      </c>
      <c r="L2" t="s">
        <v>110</v>
      </c>
      <c r="M2" t="s">
        <v>79</v>
      </c>
      <c r="N2" s="3" t="s">
        <v>117</v>
      </c>
      <c r="O2" s="3" t="s">
        <v>118</v>
      </c>
      <c r="Q2" t="s">
        <v>161</v>
      </c>
      <c r="R2" t="s">
        <v>167</v>
      </c>
      <c r="S2" s="18" t="s">
        <v>164</v>
      </c>
      <c r="U2" t="s">
        <v>197</v>
      </c>
      <c r="V2" s="3">
        <f>H4/SUM(OracleEquip[book])</f>
        <v>0.30298013245033112</v>
      </c>
    </row>
    <row r="3" spans="1:22" x14ac:dyDescent="0.25">
      <c r="A3" t="s">
        <v>46</v>
      </c>
      <c r="B3">
        <f>L3+L24+L45+L66+L87+L108</f>
        <v>273</v>
      </c>
      <c r="C3">
        <f>M3+M24+M45+M66+M87+M108</f>
        <v>153</v>
      </c>
      <c r="D3" s="3">
        <f>IF(SUM(OracleAbilities1[[#This Row],[takes]]) &gt; 0,OracleAbilities1[[#This Row],[takes]]/SUM(OracleAbilities1[takes]),0)</f>
        <v>0.45198675496688739</v>
      </c>
      <c r="E3" s="3">
        <f>IF(OracleAbilities1[[#This Row],[takes]]&gt;0,OracleAbilities1[[#This Row],[wins]]/OracleAbilities1[[#This Row],[takes]],0)</f>
        <v>0.56043956043956045</v>
      </c>
      <c r="G3">
        <v>1</v>
      </c>
      <c r="H3">
        <f>R3+R24+R45+R66+R87+R108</f>
        <v>322</v>
      </c>
      <c r="I3" s="18">
        <f>S3+S24+S45+S66+S87+S108</f>
        <v>118</v>
      </c>
      <c r="K3" t="s">
        <v>46</v>
      </c>
      <c r="L3">
        <f>COUNTIF(Scenario0[winner1-ability1],OracleAbilities1Scenario0[[#This Row],[ability]])+COUNTIF(Scenario0[winner2-ability1],OracleAbilities1Scenario0[[#This Row],[ability]])+COUNTIF(Scenario0[loser1-ability1],OracleAbilities1Scenario0[[#This Row],[ability]])+COUNTIF(Scenario0[loser2-ability1],OracleAbilities1Scenario0[[#This Row],[ability]])</f>
        <v>168</v>
      </c>
      <c r="M3">
        <f>COUNTIF(Scenario0[winner1-ability1],OracleAbilities1Scenario0[[#This Row],[ability]])+COUNTIF(Scenario0[winner2-ability1],OracleAbilities1Scenario0[[#This Row],[ability]])</f>
        <v>109</v>
      </c>
      <c r="N3" s="3">
        <f>IF(SUM(OracleAbilities1Scenario0[[#This Row],[takes]]) &gt; 0,OracleAbilities1Scenario0[[#This Row],[takes]]/SUM(OracleAbilities1Scenario0[takes]),0)</f>
        <v>1</v>
      </c>
      <c r="O3" s="3">
        <f>IF(OracleAbilities1Scenario0[[#This Row],[takes]]&gt;0,OracleAbilities1Scenario0[[#This Row],[wins]]/OracleAbilities1Scenario0[[#This Row],[takes]],0)</f>
        <v>0.64880952380952384</v>
      </c>
      <c r="Q3">
        <v>1</v>
      </c>
      <c r="R3">
        <f>COUNTIFS(Scenario0[winner1],"oracle",Scenario0[winner1-pw],OracleEquipScenario0[[#This Row],[level]])+COUNTIFS(Scenario0[winner2],"oracle",Scenario0[winner2-pw],OracleEquipScenario0[[#This Row],[level]])+COUNTIFS(Scenario0[loser1],"oracle",Scenario0[loser1-pw],OracleEquipScenario0[[#This Row],[level]])+COUNTIFS(Scenario0[loser2],"oracle",Scenario0[loser2-pw],OracleEquipScenario0[[#This Row],[level]])</f>
        <v>87</v>
      </c>
      <c r="S3" s="18">
        <f>COUNTIFS(Scenario0[winner1],"oracle",Scenario0[winner1-cp],OracleEquipScenario0[[#This Row],[level]])+COUNTIFS(Scenario0[winner2],"oracle",Scenario0[winner2-cp],OracleEquipScenario0[[#This Row],[level]])+COUNTIFS(Scenario0[loser1],"oracle",Scenario0[loser1-cp],OracleEquipScenario0[[#This Row],[level]])+COUNTIFS(Scenario0[loser2],"oracle",Scenario0[loser2-cp],OracleEquipScenario0[[#This Row],[level]])</f>
        <v>51</v>
      </c>
      <c r="U3" t="s">
        <v>198</v>
      </c>
      <c r="V3" s="16">
        <f>H5/SUM(OracleEquip[book])</f>
        <v>0.16390728476821192</v>
      </c>
    </row>
    <row r="4" spans="1:22" x14ac:dyDescent="0.25">
      <c r="A4" t="s">
        <v>65</v>
      </c>
      <c r="B4">
        <f t="shared" ref="B4:B5" si="0">L4+L25+L46+L67+L88+L109</f>
        <v>24</v>
      </c>
      <c r="C4">
        <f t="shared" ref="C4:C5" si="1">M4+M25+M46+M67+M88+M109</f>
        <v>10</v>
      </c>
      <c r="D4" s="3">
        <f>IF(SUM(OracleAbilities1[[#This Row],[takes]]) &gt; 0,OracleAbilities1[[#This Row],[takes]]/SUM(OracleAbilities1[takes]),0)</f>
        <v>3.9735099337748346E-2</v>
      </c>
      <c r="E4" s="3">
        <f>IF(OracleAbilities1[[#This Row],[takes]]&gt;0,OracleAbilities1[[#This Row],[wins]]/OracleAbilities1[[#This Row],[takes]],0)</f>
        <v>0.41666666666666669</v>
      </c>
      <c r="G4">
        <v>2</v>
      </c>
      <c r="H4">
        <f t="shared" ref="H4:H5" si="2">R4+R25+R46+R67+R88+R109</f>
        <v>183</v>
      </c>
      <c r="I4" s="18">
        <f t="shared" ref="I4:I5" si="3">S4+S25+S46+S67+S88+S109</f>
        <v>248</v>
      </c>
      <c r="K4" t="s">
        <v>65</v>
      </c>
      <c r="L4">
        <f>COUNTIF(Scenario0[winner1-ability1],OracleAbilities1Scenario0[[#This Row],[ability]])+COUNTIF(Scenario0[winner2-ability1],OracleAbilities1Scenario0[[#This Row],[ability]])+COUNTIF(Scenario0[loser1-ability1],OracleAbilities1Scenario0[[#This Row],[ability]])+COUNTIF(Scenario0[loser2-ability1],OracleAbilities1Scenario0[[#This Row],[ability]])</f>
        <v>0</v>
      </c>
      <c r="M4">
        <f>COUNTIF(Scenario0[winner1-ability1],OracleAbilities1Scenario0[[#This Row],[ability]])+COUNTIF(Scenario0[winner2-ability1],OracleAbilities1Scenario0[[#This Row],[ability]])</f>
        <v>0</v>
      </c>
      <c r="N4" s="3">
        <f>IF(SUM(OracleAbilities1Scenario0[[#This Row],[takes]]) &gt; 0,OracleAbilities1Scenario0[[#This Row],[takes]]/SUM(OracleAbilities1Scenario0[takes]),0)</f>
        <v>0</v>
      </c>
      <c r="O4" s="3">
        <f>IF(OracleAbilities1Scenario0[[#This Row],[takes]]&gt;0,OracleAbilities1Scenario0[[#This Row],[wins]]/OracleAbilities1Scenario0[[#This Row],[takes]],0)</f>
        <v>0</v>
      </c>
      <c r="Q4">
        <v>2</v>
      </c>
      <c r="R4">
        <f>COUNTIFS(Scenario0[winner1],"oracle",Scenario0[winner1-pw],OracleEquipScenario0[[#This Row],[level]])+COUNTIFS(Scenario0[winner2],"oracle",Scenario0[winner2-pw],OracleEquipScenario0[[#This Row],[level]])+COUNTIFS(Scenario0[loser1],"oracle",Scenario0[loser1-pw],OracleEquipScenario0[[#This Row],[level]])+COUNTIFS(Scenario0[loser2],"oracle",Scenario0[loser2-pw],OracleEquipScenario0[[#This Row],[level]])</f>
        <v>60</v>
      </c>
      <c r="S4" s="18">
        <f>COUNTIFS(Scenario0[winner1],"oracle",Scenario0[winner1-cp],OracleEquipScenario0[[#This Row],[level]])+COUNTIFS(Scenario0[winner2],"oracle",Scenario0[winner2-cp],OracleEquipScenario0[[#This Row],[level]])+COUNTIFS(Scenario0[loser1],"oracle",Scenario0[loser1-cp],OracleEquipScenario0[[#This Row],[level]])+COUNTIFS(Scenario0[loser2],"oracle",Scenario0[loser2-cp],OracleEquipScenario0[[#This Row],[level]])</f>
        <v>72</v>
      </c>
      <c r="U4" t="s">
        <v>179</v>
      </c>
      <c r="V4" s="3">
        <f>OracleEquip[[#This Row],[chestpiece]]/SUM(OracleEquip[chestpiece])</f>
        <v>0.41059602649006621</v>
      </c>
    </row>
    <row r="5" spans="1:22" x14ac:dyDescent="0.25">
      <c r="A5" t="s">
        <v>34</v>
      </c>
      <c r="B5">
        <f t="shared" si="0"/>
        <v>307</v>
      </c>
      <c r="C5">
        <f t="shared" si="1"/>
        <v>134</v>
      </c>
      <c r="D5" s="3">
        <f>IF(SUM(OracleAbilities1[[#This Row],[takes]]) &gt; 0,OracleAbilities1[[#This Row],[takes]]/SUM(OracleAbilities1[takes]),0)</f>
        <v>0.50827814569536423</v>
      </c>
      <c r="E5" s="3">
        <f>IF(OracleAbilities1[[#This Row],[takes]]&gt;0,OracleAbilities1[[#This Row],[wins]]/OracleAbilities1[[#This Row],[takes]],0)</f>
        <v>0.43648208469055377</v>
      </c>
      <c r="G5">
        <v>3</v>
      </c>
      <c r="H5">
        <f t="shared" si="2"/>
        <v>99</v>
      </c>
      <c r="I5" s="18">
        <f t="shared" si="3"/>
        <v>238</v>
      </c>
      <c r="K5" t="s">
        <v>34</v>
      </c>
      <c r="L5">
        <f>COUNTIF(Scenario0[winner1-ability1],OracleAbilities1Scenario0[[#This Row],[ability]])+COUNTIF(Scenario0[winner2-ability1],OracleAbilities1Scenario0[[#This Row],[ability]])+COUNTIF(Scenario0[loser1-ability1],OracleAbilities1Scenario0[[#This Row],[ability]])+COUNTIF(Scenario0[loser2-ability1],OracleAbilities1Scenario0[[#This Row],[ability]])</f>
        <v>0</v>
      </c>
      <c r="M5">
        <f>COUNTIF(Scenario0[winner1-ability1],OracleAbilities1Scenario0[[#This Row],[ability]])+COUNTIF(Scenario0[winner2-ability1],OracleAbilities1Scenario0[[#This Row],[ability]])</f>
        <v>0</v>
      </c>
      <c r="N5" s="3">
        <f>IF(SUM(OracleAbilities1Scenario0[[#This Row],[takes]]) &gt; 0,OracleAbilities1Scenario0[[#This Row],[takes]]/SUM(OracleAbilities1Scenario0[takes]),0)</f>
        <v>0</v>
      </c>
      <c r="O5" s="3">
        <f>IF(OracleAbilities1Scenario0[[#This Row],[takes]]&gt;0,OracleAbilities1Scenario0[[#This Row],[wins]]/OracleAbilities1Scenario0[[#This Row],[takes]],0)</f>
        <v>0</v>
      </c>
      <c r="Q5">
        <v>3</v>
      </c>
      <c r="R5">
        <f>COUNTIFS(Scenario0[winner1],"oracle",Scenario0[winner1-pw],OracleEquipScenario0[[#This Row],[level]])+COUNTIFS(Scenario0[winner2],"oracle",Scenario0[winner2-pw],OracleEquipScenario0[[#This Row],[level]])+COUNTIFS(Scenario0[loser1],"oracle",Scenario0[loser1-pw],OracleEquipScenario0[[#This Row],[level]])+COUNTIFS(Scenario0[loser2],"oracle",Scenario0[loser2-pw],OracleEquipScenario0[[#This Row],[level]])</f>
        <v>21</v>
      </c>
      <c r="S5" s="18">
        <f>COUNTIFS(Scenario0[winner1],"oracle",Scenario0[winner1-cp],OracleEquipScenario0[[#This Row],[level]])+COUNTIFS(Scenario0[winner2],"oracle",Scenario0[winner2-cp],OracleEquipScenario0[[#This Row],[level]])+COUNTIFS(Scenario0[loser1],"oracle",Scenario0[loser1-cp],OracleEquipScenario0[[#This Row],[level]])+COUNTIFS(Scenario0[loser2],"oracle",Scenario0[loser2-cp],OracleEquipScenario0[[#This Row],[level]])</f>
        <v>45</v>
      </c>
      <c r="U5" t="s">
        <v>180</v>
      </c>
      <c r="V5" s="16">
        <f>OracleEquip[[#This Row],[chestpiece]]/SUM(OracleEquip[chestpiece])</f>
        <v>0.39403973509933776</v>
      </c>
    </row>
    <row r="6" spans="1:22" x14ac:dyDescent="0.25">
      <c r="A6" s="17"/>
      <c r="I6" s="18"/>
      <c r="K6" s="17"/>
      <c r="N6" s="3"/>
      <c r="O6" s="3"/>
      <c r="S6" s="18"/>
      <c r="U6" t="s">
        <v>176</v>
      </c>
      <c r="V6" s="3">
        <f>SUM(OracleAbilities2[takes])/SUM(OracleAbilities1[takes])</f>
        <v>0.3129139072847682</v>
      </c>
    </row>
    <row r="7" spans="1:22" x14ac:dyDescent="0.25">
      <c r="A7" s="19" t="s">
        <v>109</v>
      </c>
      <c r="B7" s="8" t="s">
        <v>110</v>
      </c>
      <c r="C7" s="8" t="s">
        <v>79</v>
      </c>
      <c r="D7" s="9" t="s">
        <v>117</v>
      </c>
      <c r="E7" s="9" t="s">
        <v>118</v>
      </c>
      <c r="I7" s="18"/>
      <c r="K7" s="19" t="s">
        <v>109</v>
      </c>
      <c r="L7" s="8" t="s">
        <v>110</v>
      </c>
      <c r="M7" s="8" t="s">
        <v>79</v>
      </c>
      <c r="N7" s="9" t="s">
        <v>117</v>
      </c>
      <c r="O7" s="9" t="s">
        <v>118</v>
      </c>
      <c r="S7" s="18"/>
      <c r="U7" t="s">
        <v>177</v>
      </c>
      <c r="V7" s="3">
        <f>SUM(OracleAbilities3[takes])/SUM(OracleAbilities1[takes])</f>
        <v>0.17384105960264901</v>
      </c>
    </row>
    <row r="8" spans="1:22" x14ac:dyDescent="0.25">
      <c r="A8" s="2" t="s">
        <v>66</v>
      </c>
      <c r="B8" s="2">
        <f>L8+L29+L50+L71+L92+L113</f>
        <v>64</v>
      </c>
      <c r="C8" s="2">
        <f>M8+M29+M50+M71+M92+M113</f>
        <v>47</v>
      </c>
      <c r="D8" s="12">
        <f>IF(SUM(OracleAbilities2[[#This Row],[takes]]) &gt; 0,OracleAbilities2[[#This Row],[takes]]/SUM(OracleAbilities2[takes]),0)</f>
        <v>0.33862433862433861</v>
      </c>
      <c r="E8" s="12">
        <f>IF(OracleAbilities2[[#This Row],[takes]]&gt;0,OracleAbilities2[[#This Row],[wins]]/OracleAbilities2[[#This Row],[takes]],0)</f>
        <v>0.734375</v>
      </c>
      <c r="I8" s="18"/>
      <c r="K8" s="2" t="s">
        <v>66</v>
      </c>
      <c r="L8" s="2">
        <f>COUNTIF(Scenario0[winner1-ability2],OracleAbilities2Scenario0[[#This Row],[ability]])+COUNTIF(Scenario0[winner2-ability2],OracleAbilities2Scenario0[[#This Row],[ability]])+COUNTIF(Scenario0[loser1-ability2],OracleAbilities2Scenario0[[#This Row],[ability]])+COUNTIF(Scenario0[loser2-ability2],OracleAbilities2Scenario0[[#This Row],[ability]])</f>
        <v>15</v>
      </c>
      <c r="M8" s="2">
        <f>COUNTIF(Scenario0[winner1-ability2],OracleAbilities2Scenario0[[#This Row],[ability]])+COUNTIF(Scenario0[winner2-ability2],OracleAbilities2Scenario0[[#This Row],[ability]])</f>
        <v>14</v>
      </c>
      <c r="N8" s="12">
        <f>IF(SUM(OracleAbilities2Scenario0[[#This Row],[takes]]) &gt; 0,OracleAbilities2Scenario0[[#This Row],[takes]]/SUM(OracleAbilities2Scenario0[takes]),0)</f>
        <v>0.45454545454545453</v>
      </c>
      <c r="O8" s="12">
        <f>IF(OracleAbilities2Scenario0[[#This Row],[takes]]&gt;0,OracleAbilities2Scenario0[[#This Row],[wins]]/OracleAbilities2Scenario0[[#This Row],[takes]],0)</f>
        <v>0.93333333333333335</v>
      </c>
      <c r="S8" s="18"/>
      <c r="U8" t="s">
        <v>178</v>
      </c>
      <c r="V8" s="16">
        <f>SUM(OracleAbilities4[takes])/SUM(OracleAbilities1[takes])</f>
        <v>0.12582781456953643</v>
      </c>
    </row>
    <row r="9" spans="1:22" x14ac:dyDescent="0.25">
      <c r="A9" t="s">
        <v>130</v>
      </c>
      <c r="B9" s="2">
        <f t="shared" ref="B9:B10" si="4">L9+L30+L51+L72+L93+L114</f>
        <v>73</v>
      </c>
      <c r="C9" s="2">
        <f t="shared" ref="C9:C10" si="5">M9+M30+M51+M72+M93+M114</f>
        <v>38</v>
      </c>
      <c r="D9" s="3">
        <f>IF(SUM(OracleAbilities2[[#This Row],[takes]]) &gt; 0,OracleAbilities2[[#This Row],[takes]]/SUM(OracleAbilities2[takes]),0)</f>
        <v>0.38624338624338622</v>
      </c>
      <c r="E9" s="3">
        <f>IF(OracleAbilities2[[#This Row],[takes]]&gt;0,OracleAbilities2[[#This Row],[wins]]/OracleAbilities2[[#This Row],[takes]],0)</f>
        <v>0.52054794520547942</v>
      </c>
      <c r="I9" s="18"/>
      <c r="K9" t="s">
        <v>130</v>
      </c>
      <c r="L9" s="2">
        <f>COUNTIF(Scenario0[winner1-ability2],OracleAbilities2Scenario0[[#This Row],[ability]])+COUNTIF(Scenario0[winner2-ability2],OracleAbilities2Scenario0[[#This Row],[ability]])+COUNTIF(Scenario0[loser1-ability2],OracleAbilities2Scenario0[[#This Row],[ability]])+COUNTIF(Scenario0[loser2-ability2],OracleAbilities2Scenario0[[#This Row],[ability]])</f>
        <v>5</v>
      </c>
      <c r="M9" s="2">
        <f>COUNTIF(Scenario0[winner1-ability2],OracleAbilities2Scenario0[[#This Row],[ability]])+COUNTIF(Scenario0[winner2-ability2],OracleAbilities2Scenario0[[#This Row],[ability]])</f>
        <v>3</v>
      </c>
      <c r="N9" s="3">
        <f>IF(SUM(OracleAbilities2Scenario0[[#This Row],[takes]]) &gt; 0,OracleAbilities2Scenario0[[#This Row],[takes]]/SUM(OracleAbilities2Scenario0[takes]),0)</f>
        <v>0.15151515151515152</v>
      </c>
      <c r="O9" s="3">
        <f>IF(OracleAbilities2Scenario0[[#This Row],[takes]]&gt;0,OracleAbilities2Scenario0[[#This Row],[wins]]/OracleAbilities2Scenario0[[#This Row],[takes]],0)</f>
        <v>0.6</v>
      </c>
      <c r="S9" s="18"/>
      <c r="U9" t="s">
        <v>194</v>
      </c>
      <c r="V9" s="33">
        <f>(SUM(OracleAbilities2[takes])+SUM(OracleAbilities3[takes])+SUM(OracleAbilities4[takes])+SUM(H4:H5)+SUM(I4:I5))/SUM(OracleAbilities1[takes])</f>
        <v>1.8841059602649006</v>
      </c>
    </row>
    <row r="10" spans="1:22" x14ac:dyDescent="0.25">
      <c r="A10" s="10" t="s">
        <v>35</v>
      </c>
      <c r="B10" s="2">
        <f t="shared" si="4"/>
        <v>52</v>
      </c>
      <c r="C10" s="2">
        <f t="shared" si="5"/>
        <v>35</v>
      </c>
      <c r="D10" s="13">
        <f>IF(SUM(OracleAbilities2[[#This Row],[takes]]) &gt; 0,OracleAbilities2[[#This Row],[takes]]/SUM(OracleAbilities2[takes]),0)</f>
        <v>0.27513227513227512</v>
      </c>
      <c r="E10" s="13">
        <f>IF(OracleAbilities2[[#This Row],[takes]]&gt;0,OracleAbilities2[[#This Row],[wins]]/OracleAbilities2[[#This Row],[takes]],0)</f>
        <v>0.67307692307692313</v>
      </c>
      <c r="I10" s="18"/>
      <c r="K10" s="10" t="s">
        <v>35</v>
      </c>
      <c r="L10" s="2">
        <f>COUNTIF(Scenario0[winner1-ability2],OracleAbilities2Scenario0[[#This Row],[ability]])+COUNTIF(Scenario0[winner2-ability2],OracleAbilities2Scenario0[[#This Row],[ability]])+COUNTIF(Scenario0[loser1-ability2],OracleAbilities2Scenario0[[#This Row],[ability]])+COUNTIF(Scenario0[loser2-ability2],OracleAbilities2Scenario0[[#This Row],[ability]])</f>
        <v>13</v>
      </c>
      <c r="M10" s="2">
        <f>COUNTIF(Scenario0[winner1-ability2],OracleAbilities2Scenario0[[#This Row],[ability]])+COUNTIF(Scenario0[winner2-ability2],OracleAbilities2Scenario0[[#This Row],[ability]])</f>
        <v>11</v>
      </c>
      <c r="N10" s="13">
        <f>IF(SUM(OracleAbilities2Scenario0[[#This Row],[takes]]) &gt; 0,OracleAbilities2Scenario0[[#This Row],[takes]]/SUM(OracleAbilities2Scenario0[takes]),0)</f>
        <v>0.39393939393939392</v>
      </c>
      <c r="O10" s="13">
        <f>IF(OracleAbilities2Scenario0[[#This Row],[takes]]&gt;0,OracleAbilities2Scenario0[[#This Row],[wins]]/OracleAbilities2Scenario0[[#This Row],[takes]],0)</f>
        <v>0.84615384615384615</v>
      </c>
      <c r="S10" s="18"/>
    </row>
    <row r="11" spans="1:22" x14ac:dyDescent="0.25">
      <c r="A11" s="17"/>
      <c r="I11" s="18"/>
      <c r="K11" s="17"/>
      <c r="N11" s="3"/>
      <c r="O11" s="3"/>
      <c r="S11" s="18"/>
    </row>
    <row r="12" spans="1:22" x14ac:dyDescent="0.25">
      <c r="A12" s="19" t="s">
        <v>109</v>
      </c>
      <c r="B12" s="8" t="s">
        <v>110</v>
      </c>
      <c r="C12" s="8" t="s">
        <v>79</v>
      </c>
      <c r="D12" s="9" t="s">
        <v>117</v>
      </c>
      <c r="E12" s="9" t="s">
        <v>118</v>
      </c>
      <c r="I12" s="18"/>
      <c r="K12" s="19" t="s">
        <v>109</v>
      </c>
      <c r="L12" s="8" t="s">
        <v>110</v>
      </c>
      <c r="M12" s="8" t="s">
        <v>79</v>
      </c>
      <c r="N12" s="9" t="s">
        <v>117</v>
      </c>
      <c r="O12" s="9" t="s">
        <v>118</v>
      </c>
      <c r="S12" s="18"/>
    </row>
    <row r="13" spans="1:22" x14ac:dyDescent="0.25">
      <c r="A13" s="1" t="s">
        <v>36</v>
      </c>
      <c r="B13" s="1">
        <f>L13+L34+L55+L76+L97+L118</f>
        <v>20</v>
      </c>
      <c r="C13" s="1">
        <f>M13+M34+M55+M76+M97+M118</f>
        <v>14</v>
      </c>
      <c r="D13" s="14">
        <f>IF(SUM(OracleAbilities3[[#This Row],[takes]]) &gt; 0,OracleAbilities3[[#This Row],[takes]]/SUM(OracleAbilities3[takes]),0)</f>
        <v>0.19047619047619047</v>
      </c>
      <c r="E13" s="14">
        <f>IF(OracleAbilities3[[#This Row],[takes]]&gt;0,OracleAbilities3[[#This Row],[wins]]/OracleAbilities3[[#This Row],[takes]],0)</f>
        <v>0.7</v>
      </c>
      <c r="I13" s="18"/>
      <c r="K13" s="1" t="s">
        <v>36</v>
      </c>
      <c r="L13" s="1">
        <f>COUNTIF(Scenario0[winner1-ability3],OracleAbilities3Scenario0[[#This Row],[ability]])+COUNTIF(Scenario0[winner2-ability3],OracleAbilities3Scenario0[[#This Row],[ability]])+COUNTIF(Scenario0[loser1-ability3],OracleAbilities3Scenario0[[#This Row],[ability]])+COUNTIF(Scenario0[loser2-ability3],OracleAbilities3Scenario0[[#This Row],[ability]])</f>
        <v>4</v>
      </c>
      <c r="M13" s="1">
        <f>COUNTIF(Scenario0[winner1-ability3],OracleAbilities3Scenario0[[#This Row],[ability]])+COUNTIF(Scenario0[winner2-ability3],OracleAbilities3Scenario0[[#This Row],[ability]])</f>
        <v>4</v>
      </c>
      <c r="N13" s="14">
        <f>IF(SUM(OracleAbilities3Scenario0[[#This Row],[takes]]) &gt; 0,OracleAbilities3Scenario0[[#This Row],[takes]]/SUM(OracleAbilities3Scenario0[takes]),0)</f>
        <v>0.4</v>
      </c>
      <c r="O13" s="14">
        <f>IF(OracleAbilities3Scenario0[[#This Row],[takes]]&gt;0,OracleAbilities3Scenario0[[#This Row],[wins]]/OracleAbilities3Scenario0[[#This Row],[takes]],0)</f>
        <v>1</v>
      </c>
      <c r="S13" s="18"/>
    </row>
    <row r="14" spans="1:22" x14ac:dyDescent="0.25">
      <c r="A14" s="2" t="s">
        <v>131</v>
      </c>
      <c r="B14" s="2">
        <f t="shared" ref="B14:B15" si="6">L14+L35+L56+L77+L98+L119</f>
        <v>33</v>
      </c>
      <c r="C14" s="2">
        <f t="shared" ref="C14:C15" si="7">M14+M35+M56+M77+M98+M119</f>
        <v>16</v>
      </c>
      <c r="D14" s="12">
        <f>IF(SUM(OracleAbilities3[[#This Row],[takes]]) &gt; 0,OracleAbilities3[[#This Row],[takes]]/SUM(OracleAbilities3[takes]),0)</f>
        <v>0.31428571428571428</v>
      </c>
      <c r="E14" s="12">
        <f>IF(OracleAbilities3[[#This Row],[takes]]&gt;0,OracleAbilities3[[#This Row],[wins]]/OracleAbilities3[[#This Row],[takes]],0)</f>
        <v>0.48484848484848486</v>
      </c>
      <c r="I14" s="18"/>
      <c r="K14" s="2" t="s">
        <v>131</v>
      </c>
      <c r="L14" s="2">
        <f>COUNTIF(Scenario0[winner1-ability3],OracleAbilities3Scenario0[[#This Row],[ability]])+COUNTIF(Scenario0[winner2-ability3],OracleAbilities3Scenario0[[#This Row],[ability]])+COUNTIF(Scenario0[loser1-ability3],OracleAbilities3Scenario0[[#This Row],[ability]])+COUNTIF(Scenario0[loser2-ability3],OracleAbilities3Scenario0[[#This Row],[ability]])</f>
        <v>6</v>
      </c>
      <c r="M14" s="2">
        <f>COUNTIF(Scenario0[winner1-ability3],OracleAbilities3Scenario0[[#This Row],[ability]])+COUNTIF(Scenario0[winner2-ability3],OracleAbilities3Scenario0[[#This Row],[ability]])</f>
        <v>4</v>
      </c>
      <c r="N14" s="12">
        <f>IF(SUM(OracleAbilities3Scenario0[[#This Row],[takes]]) &gt; 0,OracleAbilities3Scenario0[[#This Row],[takes]]/SUM(OracleAbilities3Scenario0[takes]),0)</f>
        <v>0.6</v>
      </c>
      <c r="O14" s="12">
        <f>IF(OracleAbilities3Scenario0[[#This Row],[takes]]&gt;0,OracleAbilities3Scenario0[[#This Row],[wins]]/OracleAbilities3Scenario0[[#This Row],[takes]],0)</f>
        <v>0.66666666666666663</v>
      </c>
      <c r="S14" s="18"/>
    </row>
    <row r="15" spans="1:22" x14ac:dyDescent="0.25">
      <c r="A15" s="11" t="s">
        <v>132</v>
      </c>
      <c r="B15" s="1">
        <f t="shared" si="6"/>
        <v>52</v>
      </c>
      <c r="C15" s="1">
        <f t="shared" si="7"/>
        <v>38</v>
      </c>
      <c r="D15" s="15">
        <f>IF(SUM(OracleAbilities3[[#This Row],[takes]]) &gt; 0,OracleAbilities3[[#This Row],[takes]]/SUM(OracleAbilities3[takes]),0)</f>
        <v>0.49523809523809526</v>
      </c>
      <c r="E15" s="15">
        <f>IF(OracleAbilities3[[#This Row],[takes]]&gt;0,OracleAbilities3[[#This Row],[wins]]/OracleAbilities3[[#This Row],[takes]],0)</f>
        <v>0.73076923076923073</v>
      </c>
      <c r="I15" s="18"/>
      <c r="K15" s="11" t="s">
        <v>132</v>
      </c>
      <c r="L15" s="1">
        <f>COUNTIF(Scenario0[winner1-ability3],OracleAbilities3Scenario0[[#This Row],[ability]])+COUNTIF(Scenario0[winner2-ability3],OracleAbilities3Scenario0[[#This Row],[ability]])+COUNTIF(Scenario0[loser1-ability3],OracleAbilities3Scenario0[[#This Row],[ability]])+COUNTIF(Scenario0[loser2-ability3],OracleAbilities3Scenario0[[#This Row],[ability]])</f>
        <v>0</v>
      </c>
      <c r="M15" s="1">
        <f>COUNTIF(Scenario0[winner1-ability3],OracleAbilities3Scenario0[[#This Row],[ability]])+COUNTIF(Scenario0[winner2-ability3],OracleAbilities3Scenario0[[#This Row],[ability]])</f>
        <v>0</v>
      </c>
      <c r="N15" s="15">
        <f>IF(SUM(OracleAbilities3Scenario0[[#This Row],[takes]]) &gt; 0,OracleAbilities3Scenario0[[#This Row],[takes]]/SUM(OracleAbilities3Scenario0[takes]),0)</f>
        <v>0</v>
      </c>
      <c r="O15" s="15">
        <f>IF(OracleAbilities3Scenario0[[#This Row],[takes]]&gt;0,OracleAbilities3Scenario0[[#This Row],[wins]]/OracleAbilities3Scenario0[[#This Row],[takes]],0)</f>
        <v>0</v>
      </c>
      <c r="S15" s="18"/>
    </row>
    <row r="16" spans="1:22" x14ac:dyDescent="0.25">
      <c r="A16" s="17"/>
      <c r="I16" s="18"/>
      <c r="K16" s="17"/>
      <c r="N16" s="3"/>
      <c r="O16" s="3"/>
      <c r="S16" s="18"/>
    </row>
    <row r="17" spans="1:20" x14ac:dyDescent="0.25">
      <c r="A17" s="19" t="s">
        <v>109</v>
      </c>
      <c r="B17" s="8" t="s">
        <v>110</v>
      </c>
      <c r="C17" s="8" t="s">
        <v>79</v>
      </c>
      <c r="D17" s="9" t="s">
        <v>117</v>
      </c>
      <c r="E17" s="9" t="s">
        <v>118</v>
      </c>
      <c r="I17" s="18"/>
      <c r="K17" s="19" t="s">
        <v>109</v>
      </c>
      <c r="L17" s="8" t="s">
        <v>110</v>
      </c>
      <c r="M17" s="8" t="s">
        <v>79</v>
      </c>
      <c r="N17" s="9" t="s">
        <v>117</v>
      </c>
      <c r="O17" s="9" t="s">
        <v>118</v>
      </c>
      <c r="S17" s="18"/>
    </row>
    <row r="18" spans="1:20" x14ac:dyDescent="0.25">
      <c r="A18" s="2" t="s">
        <v>133</v>
      </c>
      <c r="B18" s="2">
        <f>L18+L39+L60+L81+L102+L123</f>
        <v>29</v>
      </c>
      <c r="C18" s="2">
        <f>M18+M39+M60+M81+M102+M123</f>
        <v>16</v>
      </c>
      <c r="D18" s="12">
        <f>IF(SUM(OracleAbilities4[[#This Row],[takes]]) &gt; 0,OracleAbilities4[[#This Row],[takes]]/SUM(OracleAbilities4[takes]),0)</f>
        <v>0.38157894736842107</v>
      </c>
      <c r="E18" s="12">
        <f>IF(OracleAbilities4[[#This Row],[takes]]&gt;0,OracleAbilities4[[#This Row],[wins]]/OracleAbilities4[[#This Row],[takes]],0)</f>
        <v>0.55172413793103448</v>
      </c>
      <c r="I18" s="18"/>
      <c r="K18" s="2" t="s">
        <v>133</v>
      </c>
      <c r="L18" s="2">
        <f>COUNTIF(Scenario0[winner1-ability4],OracleAbilities4Scenario0[[#This Row],[ability]])+COUNTIF(Scenario0[winner2-ability4],OracleAbilities4Scenario0[[#This Row],[ability]])+COUNTIF(Scenario0[loser1-ability4],OracleAbilities4Scenario0[[#This Row],[ability]])+COUNTIF(Scenario0[loser2-ability4],OracleAbilities4Scenario0[[#This Row],[ability]])</f>
        <v>2</v>
      </c>
      <c r="M18" s="2">
        <f>COUNTIF(Scenario0[winner1-ability4],OracleAbilities4Scenario0[[#This Row],[ability]])+COUNTIF(Scenario0[winner2-ability4],OracleAbilities4Scenario0[[#This Row],[ability]])</f>
        <v>1</v>
      </c>
      <c r="N18" s="12">
        <f>IF(SUM(OracleAbilities4Scenario0[[#This Row],[takes]]) &gt; 0,OracleAbilities4Scenario0[[#This Row],[takes]]/SUM(OracleAbilities4Scenario0[takes]),0)</f>
        <v>1</v>
      </c>
      <c r="O18" s="12">
        <f>IF(OracleAbilities4Scenario0[[#This Row],[takes]]&gt;0,OracleAbilities4Scenario0[[#This Row],[wins]]/OracleAbilities4Scenario0[[#This Row],[takes]],0)</f>
        <v>0.5</v>
      </c>
      <c r="S18" s="18"/>
    </row>
    <row r="19" spans="1:20" x14ac:dyDescent="0.25">
      <c r="A19" s="2" t="s">
        <v>37</v>
      </c>
      <c r="B19" s="2">
        <f t="shared" ref="B19:B20" si="8">L19+L40+L61+L82+L103+L124</f>
        <v>45</v>
      </c>
      <c r="C19" s="2">
        <f t="shared" ref="C19:C20" si="9">M19+M40+M61+M82+M103+M124</f>
        <v>30</v>
      </c>
      <c r="D19" s="12">
        <f>IF(SUM(OracleAbilities4[[#This Row],[takes]]) &gt; 0,OracleAbilities4[[#This Row],[takes]]/SUM(OracleAbilities4[takes]),0)</f>
        <v>0.59210526315789469</v>
      </c>
      <c r="E19" s="12">
        <f>IF(OracleAbilities4[[#This Row],[takes]]&gt;0,OracleAbilities4[[#This Row],[wins]]/OracleAbilities4[[#This Row],[takes]],0)</f>
        <v>0.66666666666666663</v>
      </c>
      <c r="I19" s="18"/>
      <c r="K19" s="2" t="s">
        <v>37</v>
      </c>
      <c r="L19" s="2">
        <f>COUNTIF(Scenario0[winner1-ability4],OracleAbilities4Scenario0[[#This Row],[ability]])+COUNTIF(Scenario0[winner2-ability4],OracleAbilities4Scenario0[[#This Row],[ability]])+COUNTIF(Scenario0[loser1-ability4],OracleAbilities4Scenario0[[#This Row],[ability]])+COUNTIF(Scenario0[loser2-ability4],OracleAbilities4Scenario0[[#This Row],[ability]])</f>
        <v>0</v>
      </c>
      <c r="M19" s="2">
        <f>COUNTIF(Scenario0[winner1-ability4],OracleAbilities4Scenario0[[#This Row],[ability]])+COUNTIF(Scenario0[winner2-ability4],OracleAbilities4Scenario0[[#This Row],[ability]])</f>
        <v>0</v>
      </c>
      <c r="N19" s="12">
        <f>IF(SUM(OracleAbilities4Scenario0[[#This Row],[takes]]) &gt; 0,OracleAbilities4Scenario0[[#This Row],[takes]]/SUM(OracleAbilities4Scenario0[takes]),0)</f>
        <v>0</v>
      </c>
      <c r="O19" s="12">
        <f>IF(OracleAbilities4Scenario0[[#This Row],[takes]]&gt;0,OracleAbilities4Scenario0[[#This Row],[wins]]/OracleAbilities4Scenario0[[#This Row],[takes]],0)</f>
        <v>0</v>
      </c>
      <c r="S19" s="18"/>
    </row>
    <row r="20" spans="1:20" ht="15.75" thickBot="1" x14ac:dyDescent="0.3">
      <c r="A20" s="10" t="s">
        <v>134</v>
      </c>
      <c r="B20" s="2">
        <f t="shared" si="8"/>
        <v>2</v>
      </c>
      <c r="C20" s="2">
        <f t="shared" si="9"/>
        <v>2</v>
      </c>
      <c r="D20" s="26">
        <f>IF(SUM(OracleAbilities4[[#This Row],[takes]]) &gt; 0,OracleAbilities4[[#This Row],[takes]]/SUM(OracleAbilities4[takes]),0)</f>
        <v>2.6315789473684209E-2</v>
      </c>
      <c r="E20" s="26">
        <f>IF(OracleAbilities4[[#This Row],[takes]]&gt;0,OracleAbilities4[[#This Row],[wins]]/OracleAbilities4[[#This Row],[takes]],0)</f>
        <v>1</v>
      </c>
      <c r="F20" s="27"/>
      <c r="G20" s="27"/>
      <c r="H20" s="27"/>
      <c r="I20" s="28"/>
      <c r="K20" s="10" t="s">
        <v>134</v>
      </c>
      <c r="L20" s="25">
        <f>COUNTIF(Scenario0[winner1-ability4],OracleAbilities4Scenario0[[#This Row],[ability]])+COUNTIF(Scenario0[winner2-ability4],OracleAbilities4Scenario0[[#This Row],[ability]])+COUNTIF(Scenario0[loser1-ability4],OracleAbilities4Scenario0[[#This Row],[ability]])+COUNTIF(Scenario0[loser2-ability4],OracleAbilities4Scenario0[[#This Row],[ability]])</f>
        <v>0</v>
      </c>
      <c r="M20" s="25">
        <f>COUNTIF(Scenario0[winner1-ability4],OracleAbilities4Scenario0[[#This Row],[ability]])+COUNTIF(Scenario0[winner2-ability4],OracleAbilities4Scenario0[[#This Row],[ability]])</f>
        <v>0</v>
      </c>
      <c r="N20" s="26">
        <f>IF(SUM(OracleAbilities4Scenario0[[#This Row],[takes]]) &gt; 0,OracleAbilities4Scenario0[[#This Row],[takes]]/SUM(OracleAbilities4Scenario0[takes]),0)</f>
        <v>0</v>
      </c>
      <c r="O20" s="26">
        <f>IF(OracleAbilities4Scenario0[[#This Row],[takes]]&gt;0,OracleAbilities4Scenario0[[#This Row],[wins]]/OracleAbilities4Scenario0[[#This Row],[takes]],0)</f>
        <v>0</v>
      </c>
      <c r="P20" s="27"/>
      <c r="Q20" s="27"/>
      <c r="R20" s="27"/>
      <c r="S20" s="28"/>
    </row>
    <row r="21" spans="1:20" ht="15.75" thickBot="1" x14ac:dyDescent="0.3"/>
    <row r="22" spans="1:20" ht="15.75" thickBot="1" x14ac:dyDescent="0.3">
      <c r="K22" s="36" t="s">
        <v>183</v>
      </c>
      <c r="L22" s="37"/>
      <c r="M22" s="37"/>
      <c r="N22" s="37"/>
      <c r="O22" s="37"/>
      <c r="P22" s="37"/>
      <c r="Q22" s="37"/>
      <c r="R22" s="37"/>
      <c r="S22" s="38"/>
      <c r="T22" s="29"/>
    </row>
    <row r="23" spans="1:20" x14ac:dyDescent="0.25">
      <c r="K23" s="17" t="s">
        <v>109</v>
      </c>
      <c r="L23" t="s">
        <v>110</v>
      </c>
      <c r="M23" t="s">
        <v>79</v>
      </c>
      <c r="N23" s="3" t="s">
        <v>117</v>
      </c>
      <c r="O23" s="3" t="s">
        <v>118</v>
      </c>
      <c r="Q23" t="s">
        <v>161</v>
      </c>
      <c r="R23" t="s">
        <v>167</v>
      </c>
      <c r="S23" s="18" t="s">
        <v>164</v>
      </c>
    </row>
    <row r="24" spans="1:20" x14ac:dyDescent="0.25">
      <c r="K24" t="s">
        <v>46</v>
      </c>
      <c r="L24">
        <f>COUNTIF(Scenario1[winner1-ability1],OracleAbilities1Scenario1[[#This Row],[ability]])+COUNTIF(Scenario1[winner2-ability1],OracleAbilities1Scenario1[[#This Row],[ability]])+COUNTIF(Scenario1[loser1-ability1],OracleAbilities1Scenario1[[#This Row],[ability]])+COUNTIF(Scenario1[loser2-ability1],OracleAbilities1Scenario1[[#This Row],[ability]])</f>
        <v>56</v>
      </c>
      <c r="M24">
        <f>COUNTIF(Scenario1[winner1-ability1],OracleAbilities1Scenario1[[#This Row],[ability]])+COUNTIF(Scenario1[winner2-ability1],OracleAbilities1Scenario1[[#This Row],[ability]])</f>
        <v>26</v>
      </c>
      <c r="N24" s="3">
        <f>IF(SUM(OracleAbilities1Scenario1[[#This Row],[takes]]) &gt; 0,OracleAbilities1Scenario1[[#This Row],[takes]]/SUM(OracleAbilities1Scenario1[takes]),0)</f>
        <v>0.33333333333333331</v>
      </c>
      <c r="O24" s="3">
        <f>IF(OracleAbilities1Scenario1[[#This Row],[takes]]&gt;0,OracleAbilities1Scenario1[[#This Row],[wins]]/OracleAbilities1Scenario1[[#This Row],[takes]],0)</f>
        <v>0.4642857142857143</v>
      </c>
      <c r="Q24">
        <v>1</v>
      </c>
      <c r="R24">
        <f>COUNTIFS(Scenario1[winner1],"oracle",Scenario1[winner1-pw],OracleEquipScenario1[[#This Row],[level]])+COUNTIFS(Scenario1[winner2],"oracle",Scenario1[winner2-pw],OracleEquipScenario1[[#This Row],[level]])+COUNTIFS(Scenario1[loser1],"oracle",Scenario1[loser1-pw],OracleEquipScenario1[[#This Row],[level]])+COUNTIFS(Scenario1[loser2],"oracle",Scenario1[loser2-pw],OracleEquipScenario1[[#This Row],[level]])</f>
        <v>113</v>
      </c>
      <c r="S24" s="18">
        <f>COUNTIFS(Scenario1[winner1],"oracle",Scenario1[winner1-cp],OracleEquipScenario1[[#This Row],[level]])+COUNTIFS(Scenario1[winner2],"oracle",Scenario1[winner2-cp],OracleEquipScenario1[[#This Row],[level]])+COUNTIFS(Scenario1[loser1],"oracle",Scenario1[loser1-cp],OracleEquipScenario1[[#This Row],[level]])+COUNTIFS(Scenario1[loser2],"oracle",Scenario1[loser2-cp],OracleEquipScenario1[[#This Row],[level]])</f>
        <v>14</v>
      </c>
    </row>
    <row r="25" spans="1:20" x14ac:dyDescent="0.25">
      <c r="K25" t="s">
        <v>65</v>
      </c>
      <c r="L25">
        <f>COUNTIF(Scenario1[winner1-ability1],OracleAbilities1Scenario1[[#This Row],[ability]])+COUNTIF(Scenario1[winner2-ability1],OracleAbilities1Scenario1[[#This Row],[ability]])+COUNTIF(Scenario1[loser1-ability1],OracleAbilities1Scenario1[[#This Row],[ability]])+COUNTIF(Scenario1[loser2-ability1],OracleAbilities1Scenario1[[#This Row],[ability]])</f>
        <v>8</v>
      </c>
      <c r="M25">
        <f>COUNTIF(Scenario1[winner1-ability1],OracleAbilities1Scenario1[[#This Row],[ability]])+COUNTIF(Scenario1[winner2-ability1],OracleAbilities1Scenario1[[#This Row],[ability]])</f>
        <v>3</v>
      </c>
      <c r="N25" s="3">
        <f>IF(SUM(OracleAbilities1Scenario1[[#This Row],[takes]]) &gt; 0,OracleAbilities1Scenario1[[#This Row],[takes]]/SUM(OracleAbilities1Scenario1[takes]),0)</f>
        <v>4.7619047619047616E-2</v>
      </c>
      <c r="O25" s="3">
        <f>IF(OracleAbilities1Scenario1[[#This Row],[takes]]&gt;0,OracleAbilities1Scenario1[[#This Row],[wins]]/OracleAbilities1Scenario1[[#This Row],[takes]],0)</f>
        <v>0.375</v>
      </c>
      <c r="Q25">
        <v>2</v>
      </c>
      <c r="R25">
        <f>COUNTIFS(Scenario1[winner1],"oracle",Scenario1[winner1-pw],OracleEquipScenario1[[#This Row],[level]])+COUNTIFS(Scenario1[winner2],"oracle",Scenario1[winner2-pw],OracleEquipScenario1[[#This Row],[level]])+COUNTIFS(Scenario1[loser1],"oracle",Scenario1[loser1-pw],OracleEquipScenario1[[#This Row],[level]])+COUNTIFS(Scenario1[loser2],"oracle",Scenario1[loser2-pw],OracleEquipScenario1[[#This Row],[level]])</f>
        <v>42</v>
      </c>
      <c r="S25" s="18">
        <f>COUNTIFS(Scenario1[winner1],"oracle",Scenario1[winner1-cp],OracleEquipScenario1[[#This Row],[level]])+COUNTIFS(Scenario1[winner2],"oracle",Scenario1[winner2-cp],OracleEquipScenario1[[#This Row],[level]])+COUNTIFS(Scenario1[loser1],"oracle",Scenario1[loser1-cp],OracleEquipScenario1[[#This Row],[level]])+COUNTIFS(Scenario1[loser2],"oracle",Scenario1[loser2-cp],OracleEquipScenario1[[#This Row],[level]])</f>
        <v>72</v>
      </c>
    </row>
    <row r="26" spans="1:20" x14ac:dyDescent="0.25">
      <c r="K26" t="s">
        <v>34</v>
      </c>
      <c r="L26">
        <f>COUNTIF(Scenario1[winner1-ability1],OracleAbilities1Scenario1[[#This Row],[ability]])+COUNTIF(Scenario1[winner2-ability1],OracleAbilities1Scenario1[[#This Row],[ability]])+COUNTIF(Scenario1[loser1-ability1],OracleAbilities1Scenario1[[#This Row],[ability]])+COUNTIF(Scenario1[loser2-ability1],OracleAbilities1Scenario1[[#This Row],[ability]])</f>
        <v>104</v>
      </c>
      <c r="M26">
        <f>COUNTIF(Scenario1[winner1-ability1],OracleAbilities1Scenario1[[#This Row],[ability]])+COUNTIF(Scenario1[winner2-ability1],OracleAbilities1Scenario1[[#This Row],[ability]])</f>
        <v>60</v>
      </c>
      <c r="N26" s="3">
        <f>IF(SUM(OracleAbilities1Scenario1[[#This Row],[takes]]) &gt; 0,OracleAbilities1Scenario1[[#This Row],[takes]]/SUM(OracleAbilities1Scenario1[takes]),0)</f>
        <v>0.61904761904761907</v>
      </c>
      <c r="O26" s="3">
        <f>IF(OracleAbilities1Scenario1[[#This Row],[takes]]&gt;0,OracleAbilities1Scenario1[[#This Row],[wins]]/OracleAbilities1Scenario1[[#This Row],[takes]],0)</f>
        <v>0.57692307692307687</v>
      </c>
      <c r="Q26">
        <v>3</v>
      </c>
      <c r="R26">
        <f>COUNTIFS(Scenario1[winner1],"oracle",Scenario1[winner1-pw],OracleEquipScenario1[[#This Row],[level]])+COUNTIFS(Scenario1[winner2],"oracle",Scenario1[winner2-pw],OracleEquipScenario1[[#This Row],[level]])+COUNTIFS(Scenario1[loser1],"oracle",Scenario1[loser1-pw],OracleEquipScenario1[[#This Row],[level]])+COUNTIFS(Scenario1[loser2],"oracle",Scenario1[loser2-pw],OracleEquipScenario1[[#This Row],[level]])</f>
        <v>13</v>
      </c>
      <c r="S26" s="18">
        <f>COUNTIFS(Scenario1[winner1],"oracle",Scenario1[winner1-cp],OracleEquipScenario1[[#This Row],[level]])+COUNTIFS(Scenario1[winner2],"oracle",Scenario1[winner2-cp],OracleEquipScenario1[[#This Row],[level]])+COUNTIFS(Scenario1[loser1],"oracle",Scenario1[loser1-cp],OracleEquipScenario1[[#This Row],[level]])+COUNTIFS(Scenario1[loser2],"oracle",Scenario1[loser2-cp],OracleEquipScenario1[[#This Row],[level]])</f>
        <v>82</v>
      </c>
    </row>
    <row r="27" spans="1:20" x14ac:dyDescent="0.25">
      <c r="K27" s="17"/>
      <c r="N27" s="3"/>
      <c r="O27" s="3"/>
      <c r="S27" s="18"/>
    </row>
    <row r="28" spans="1:20" x14ac:dyDescent="0.25">
      <c r="K28" s="19" t="s">
        <v>109</v>
      </c>
      <c r="L28" s="8" t="s">
        <v>110</v>
      </c>
      <c r="M28" s="8" t="s">
        <v>79</v>
      </c>
      <c r="N28" s="9" t="s">
        <v>117</v>
      </c>
      <c r="O28" s="9" t="s">
        <v>118</v>
      </c>
      <c r="S28" s="18"/>
    </row>
    <row r="29" spans="1:20" x14ac:dyDescent="0.25">
      <c r="K29" s="2" t="s">
        <v>66</v>
      </c>
      <c r="L29" s="2">
        <f>COUNTIF(Scenario1[winner1-ability2],OracleAbilities2Scenario1[[#This Row],[ability]])+COUNTIF(Scenario1[winner2-ability2],OracleAbilities2Scenario1[[#This Row],[ability]])+COUNTIF(Scenario1[loser1-ability2],OracleAbilities2Scenario1[[#This Row],[ability]])+COUNTIF(Scenario1[loser2-ability2],OracleAbilities2Scenario1[[#This Row],[ability]])</f>
        <v>14</v>
      </c>
      <c r="M29" s="2">
        <f>COUNTIF(Scenario1[winner1-ability2],OracleAbilities2Scenario1[[#This Row],[ability]])+COUNTIF(Scenario1[winner2-ability2],OracleAbilities2Scenario1[[#This Row],[ability]])</f>
        <v>12</v>
      </c>
      <c r="N29" s="12">
        <f>IF(SUM(OracleAbilities2Scenario1[[#This Row],[takes]]) &gt; 0,OracleAbilities2Scenario1[[#This Row],[takes]]/SUM(OracleAbilities2Scenario1[takes]),0)</f>
        <v>0.42424242424242425</v>
      </c>
      <c r="O29" s="12">
        <f>IF(OracleAbilities2Scenario1[[#This Row],[takes]]&gt;0,OracleAbilities2Scenario1[[#This Row],[wins]]/OracleAbilities2Scenario1[[#This Row],[takes]],0)</f>
        <v>0.8571428571428571</v>
      </c>
      <c r="S29" s="18"/>
    </row>
    <row r="30" spans="1:20" x14ac:dyDescent="0.25">
      <c r="K30" t="s">
        <v>130</v>
      </c>
      <c r="L30" s="2">
        <f>COUNTIF(Scenario1[winner1-ability2],OracleAbilities2Scenario1[[#This Row],[ability]])+COUNTIF(Scenario1[winner2-ability2],OracleAbilities2Scenario1[[#This Row],[ability]])+COUNTIF(Scenario1[loser1-ability2],OracleAbilities2Scenario1[[#This Row],[ability]])+COUNTIF(Scenario1[loser2-ability2],OracleAbilities2Scenario1[[#This Row],[ability]])</f>
        <v>4</v>
      </c>
      <c r="M30" s="2">
        <f>COUNTIF(Scenario1[winner1-ability2],OracleAbilities2Scenario1[[#This Row],[ability]])+COUNTIF(Scenario1[winner2-ability2],OracleAbilities2Scenario1[[#This Row],[ability]])</f>
        <v>4</v>
      </c>
      <c r="N30" s="3">
        <f>IF(SUM(OracleAbilities2Scenario1[[#This Row],[takes]]) &gt; 0,OracleAbilities2Scenario1[[#This Row],[takes]]/SUM(OracleAbilities2Scenario1[takes]),0)</f>
        <v>0.12121212121212122</v>
      </c>
      <c r="O30" s="3">
        <f>IF(OracleAbilities2Scenario1[[#This Row],[takes]]&gt;0,OracleAbilities2Scenario1[[#This Row],[wins]]/OracleAbilities2Scenario1[[#This Row],[takes]],0)</f>
        <v>1</v>
      </c>
      <c r="S30" s="18"/>
    </row>
    <row r="31" spans="1:20" x14ac:dyDescent="0.25">
      <c r="K31" s="10" t="s">
        <v>35</v>
      </c>
      <c r="L31" s="2">
        <f>COUNTIF(Scenario1[winner1-ability2],OracleAbilities2Scenario1[[#This Row],[ability]])+COUNTIF(Scenario1[winner2-ability2],OracleAbilities2Scenario1[[#This Row],[ability]])+COUNTIF(Scenario1[loser1-ability2],OracleAbilities2Scenario1[[#This Row],[ability]])+COUNTIF(Scenario1[loser2-ability2],OracleAbilities2Scenario1[[#This Row],[ability]])</f>
        <v>15</v>
      </c>
      <c r="M31" s="2">
        <f>COUNTIF(Scenario1[winner1-ability2],OracleAbilities2Scenario1[[#This Row],[ability]])+COUNTIF(Scenario1[winner2-ability2],OracleAbilities2Scenario1[[#This Row],[ability]])</f>
        <v>9</v>
      </c>
      <c r="N31" s="13">
        <f>IF(SUM(OracleAbilities2Scenario1[[#This Row],[takes]]) &gt; 0,OracleAbilities2Scenario1[[#This Row],[takes]]/SUM(OracleAbilities2Scenario1[takes]),0)</f>
        <v>0.45454545454545453</v>
      </c>
      <c r="O31" s="13">
        <f>IF(OracleAbilities2Scenario1[[#This Row],[takes]]&gt;0,OracleAbilities2Scenario1[[#This Row],[wins]]/OracleAbilities2Scenario1[[#This Row],[takes]],0)</f>
        <v>0.6</v>
      </c>
      <c r="S31" s="18"/>
    </row>
    <row r="32" spans="1:20" x14ac:dyDescent="0.25">
      <c r="K32" s="17"/>
      <c r="N32" s="3"/>
      <c r="O32" s="3"/>
      <c r="S32" s="18"/>
    </row>
    <row r="33" spans="11:20" x14ac:dyDescent="0.25">
      <c r="K33" s="19" t="s">
        <v>109</v>
      </c>
      <c r="L33" s="8" t="s">
        <v>110</v>
      </c>
      <c r="M33" s="8" t="s">
        <v>79</v>
      </c>
      <c r="N33" s="9" t="s">
        <v>117</v>
      </c>
      <c r="O33" s="9" t="s">
        <v>118</v>
      </c>
      <c r="S33" s="18"/>
    </row>
    <row r="34" spans="11:20" x14ac:dyDescent="0.25">
      <c r="K34" s="1" t="s">
        <v>36</v>
      </c>
      <c r="L34" s="1">
        <f>COUNTIF(Scenario1[winner1-ability3],OracleAbilities3Scenario1[[#This Row],[ability]])+COUNTIF(Scenario1[winner2-ability3],OracleAbilities3Scenario1[[#This Row],[ability]])+COUNTIF(Scenario1[loser1-ability3],OracleAbilities3Scenario1[[#This Row],[ability]])+COUNTIF(Scenario1[loser2-ability3],OracleAbilities3Scenario1[[#This Row],[ability]])</f>
        <v>0</v>
      </c>
      <c r="M34" s="1">
        <f>COUNTIF(Scenario1[winner1-ability3],OracleAbilities3Scenario1[[#This Row],[ability]])+COUNTIF(Scenario1[winner2-ability3],OracleAbilities3Scenario1[[#This Row],[ability]])</f>
        <v>0</v>
      </c>
      <c r="N34" s="14">
        <f>IF(SUM(OracleAbilities3Scenario1[[#This Row],[takes]]) &gt; 0,OracleAbilities3Scenario1[[#This Row],[takes]]/SUM(OracleAbilities3Scenario1[takes]),0)</f>
        <v>0</v>
      </c>
      <c r="O34" s="14">
        <f>IF(OracleAbilities3Scenario1[[#This Row],[takes]]&gt;0,OracleAbilities3Scenario1[[#This Row],[wins]]/OracleAbilities3Scenario1[[#This Row],[takes]],0)</f>
        <v>0</v>
      </c>
      <c r="S34" s="18"/>
    </row>
    <row r="35" spans="11:20" x14ac:dyDescent="0.25">
      <c r="K35" s="2" t="s">
        <v>131</v>
      </c>
      <c r="L35" s="2">
        <f>COUNTIF(Scenario1[winner1-ability3],OracleAbilities3Scenario1[[#This Row],[ability]])+COUNTIF(Scenario1[winner2-ability3],OracleAbilities3Scenario1[[#This Row],[ability]])+COUNTIF(Scenario1[loser1-ability3],OracleAbilities3Scenario1[[#This Row],[ability]])+COUNTIF(Scenario1[loser2-ability3],OracleAbilities3Scenario1[[#This Row],[ability]])</f>
        <v>3</v>
      </c>
      <c r="M35" s="2">
        <f>COUNTIF(Scenario1[winner1-ability3],OracleAbilities3Scenario1[[#This Row],[ability]])+COUNTIF(Scenario1[winner2-ability3],OracleAbilities3Scenario1[[#This Row],[ability]])</f>
        <v>2</v>
      </c>
      <c r="N35" s="12">
        <f>IF(SUM(OracleAbilities3Scenario1[[#This Row],[takes]]) &gt; 0,OracleAbilities3Scenario1[[#This Row],[takes]]/SUM(OracleAbilities3Scenario1[takes]),0)</f>
        <v>0.33333333333333331</v>
      </c>
      <c r="O35" s="12">
        <f>IF(OracleAbilities3Scenario1[[#This Row],[takes]]&gt;0,OracleAbilities3Scenario1[[#This Row],[wins]]/OracleAbilities3Scenario1[[#This Row],[takes]],0)</f>
        <v>0.66666666666666663</v>
      </c>
      <c r="S35" s="18"/>
    </row>
    <row r="36" spans="11:20" x14ac:dyDescent="0.25">
      <c r="K36" s="11" t="s">
        <v>132</v>
      </c>
      <c r="L36" s="1">
        <f>COUNTIF(Scenario1[winner1-ability3],OracleAbilities3Scenario1[[#This Row],[ability]])+COUNTIF(Scenario1[winner2-ability3],OracleAbilities3Scenario1[[#This Row],[ability]])+COUNTIF(Scenario1[loser1-ability3],OracleAbilities3Scenario1[[#This Row],[ability]])+COUNTIF(Scenario1[loser2-ability3],OracleAbilities3Scenario1[[#This Row],[ability]])</f>
        <v>6</v>
      </c>
      <c r="M36" s="1">
        <f>COUNTIF(Scenario1[winner1-ability3],OracleAbilities3Scenario1[[#This Row],[ability]])+COUNTIF(Scenario1[winner2-ability3],OracleAbilities3Scenario1[[#This Row],[ability]])</f>
        <v>5</v>
      </c>
      <c r="N36" s="15">
        <f>IF(SUM(OracleAbilities3Scenario1[[#This Row],[takes]]) &gt; 0,OracleAbilities3Scenario1[[#This Row],[takes]]/SUM(OracleAbilities3Scenario1[takes]),0)</f>
        <v>0.66666666666666663</v>
      </c>
      <c r="O36" s="15">
        <f>IF(OracleAbilities3Scenario1[[#This Row],[takes]]&gt;0,OracleAbilities3Scenario1[[#This Row],[wins]]/OracleAbilities3Scenario1[[#This Row],[takes]],0)</f>
        <v>0.83333333333333337</v>
      </c>
      <c r="S36" s="18"/>
    </row>
    <row r="37" spans="11:20" x14ac:dyDescent="0.25">
      <c r="K37" s="17"/>
      <c r="N37" s="3"/>
      <c r="O37" s="3"/>
      <c r="S37" s="18"/>
    </row>
    <row r="38" spans="11:20" x14ac:dyDescent="0.25">
      <c r="K38" s="19" t="s">
        <v>109</v>
      </c>
      <c r="L38" s="8" t="s">
        <v>110</v>
      </c>
      <c r="M38" s="8" t="s">
        <v>79</v>
      </c>
      <c r="N38" s="9" t="s">
        <v>117</v>
      </c>
      <c r="O38" s="9" t="s">
        <v>118</v>
      </c>
      <c r="S38" s="18"/>
    </row>
    <row r="39" spans="11:20" x14ac:dyDescent="0.25">
      <c r="K39" s="2" t="s">
        <v>133</v>
      </c>
      <c r="L39" s="2">
        <f>COUNTIF(Scenario1[winner1-ability4],OracleAbilities4Scenario1[[#This Row],[ability]])+COUNTIF(Scenario1[winner2-ability4],OracleAbilities4Scenario1[[#This Row],[ability]])+COUNTIF(Scenario1[loser1-ability4],OracleAbilities4Scenario1[[#This Row],[ability]])+COUNTIF(Scenario1[loser2-ability4],OracleAbilities4Scenario1[[#This Row],[ability]])</f>
        <v>0</v>
      </c>
      <c r="M39" s="2">
        <f>COUNTIF(Scenario1[winner1-ability4],OracleAbilities4Scenario1[[#This Row],[ability]])+COUNTIF(Scenario1[winner2-ability4],OracleAbilities4Scenario1[[#This Row],[ability]])</f>
        <v>0</v>
      </c>
      <c r="N39" s="12">
        <f>IF(SUM(OracleAbilities4Scenario1[[#This Row],[takes]]) &gt; 0,OracleAbilities4Scenario1[[#This Row],[takes]]/SUM(OracleAbilities4Scenario1[takes]),0)</f>
        <v>0</v>
      </c>
      <c r="O39" s="12">
        <f>IF(OracleAbilities4Scenario1[[#This Row],[takes]]&gt;0,OracleAbilities4Scenario1[[#This Row],[wins]]/OracleAbilities4Scenario1[[#This Row],[takes]],0)</f>
        <v>0</v>
      </c>
      <c r="S39" s="18"/>
    </row>
    <row r="40" spans="11:20" x14ac:dyDescent="0.25">
      <c r="K40" s="2" t="s">
        <v>37</v>
      </c>
      <c r="L40" s="2">
        <f>COUNTIF(Scenario1[winner1-ability4],OracleAbilities4Scenario1[[#This Row],[ability]])+COUNTIF(Scenario1[winner2-ability4],OracleAbilities4Scenario1[[#This Row],[ability]])+COUNTIF(Scenario1[loser1-ability4],OracleAbilities4Scenario1[[#This Row],[ability]])+COUNTIF(Scenario1[loser2-ability4],OracleAbilities4Scenario1[[#This Row],[ability]])</f>
        <v>3</v>
      </c>
      <c r="M40" s="2">
        <f>COUNTIF(Scenario1[winner1-ability4],OracleAbilities4Scenario1[[#This Row],[ability]])+COUNTIF(Scenario1[winner2-ability4],OracleAbilities4Scenario1[[#This Row],[ability]])</f>
        <v>3</v>
      </c>
      <c r="N40" s="12">
        <f>IF(SUM(OracleAbilities4Scenario1[[#This Row],[takes]]) &gt; 0,OracleAbilities4Scenario1[[#This Row],[takes]]/SUM(OracleAbilities4Scenario1[takes]),0)</f>
        <v>1</v>
      </c>
      <c r="O40" s="12">
        <f>IF(OracleAbilities4Scenario1[[#This Row],[takes]]&gt;0,OracleAbilities4Scenario1[[#This Row],[wins]]/OracleAbilities4Scenario1[[#This Row],[takes]],0)</f>
        <v>1</v>
      </c>
      <c r="S40" s="18"/>
    </row>
    <row r="41" spans="11:20" ht="15.75" thickBot="1" x14ac:dyDescent="0.3">
      <c r="K41" s="10" t="s">
        <v>134</v>
      </c>
      <c r="L41" s="25">
        <f>COUNTIF(Scenario1[winner1-ability4],OracleAbilities4Scenario1[[#This Row],[ability]])+COUNTIF(Scenario1[winner2-ability4],OracleAbilities4Scenario1[[#This Row],[ability]])+COUNTIF(Scenario1[loser1-ability4],OracleAbilities4Scenario1[[#This Row],[ability]])+COUNTIF(Scenario1[loser2-ability4],OracleAbilities4Scenario1[[#This Row],[ability]])</f>
        <v>0</v>
      </c>
      <c r="M41" s="25">
        <f>COUNTIF(Scenario1[winner1-ability4],OracleAbilities4Scenario1[[#This Row],[ability]])+COUNTIF(Scenario1[winner2-ability4],OracleAbilities4Scenario1[[#This Row],[ability]])</f>
        <v>0</v>
      </c>
      <c r="N41" s="26">
        <f>IF(SUM(OracleAbilities4Scenario1[[#This Row],[takes]]) &gt; 0,OracleAbilities4Scenario1[[#This Row],[takes]]/SUM(OracleAbilities4Scenario1[takes]),0)</f>
        <v>0</v>
      </c>
      <c r="O41" s="26">
        <f>IF(OracleAbilities4Scenario1[[#This Row],[takes]]&gt;0,OracleAbilities4Scenario1[[#This Row],[wins]]/OracleAbilities4Scenario1[[#This Row],[takes]],0)</f>
        <v>0</v>
      </c>
      <c r="P41" s="27"/>
      <c r="Q41" s="27"/>
      <c r="R41" s="27"/>
      <c r="S41" s="28"/>
    </row>
    <row r="42" spans="11:20" ht="15.75" thickBot="1" x14ac:dyDescent="0.3"/>
    <row r="43" spans="11:20" ht="15.75" thickBot="1" x14ac:dyDescent="0.3">
      <c r="K43" s="36" t="s">
        <v>184</v>
      </c>
      <c r="L43" s="37"/>
      <c r="M43" s="37"/>
      <c r="N43" s="37"/>
      <c r="O43" s="37"/>
      <c r="P43" s="37"/>
      <c r="Q43" s="37"/>
      <c r="R43" s="37"/>
      <c r="S43" s="38"/>
      <c r="T43" s="29"/>
    </row>
    <row r="44" spans="11:20" x14ac:dyDescent="0.25">
      <c r="K44" s="17" t="s">
        <v>109</v>
      </c>
      <c r="L44" t="s">
        <v>110</v>
      </c>
      <c r="M44" t="s">
        <v>79</v>
      </c>
      <c r="N44" s="3" t="s">
        <v>117</v>
      </c>
      <c r="O44" s="3" t="s">
        <v>118</v>
      </c>
      <c r="Q44" t="s">
        <v>161</v>
      </c>
      <c r="R44" t="s">
        <v>167</v>
      </c>
      <c r="S44" s="18" t="s">
        <v>164</v>
      </c>
    </row>
    <row r="45" spans="11:20" x14ac:dyDescent="0.25">
      <c r="K45" t="s">
        <v>46</v>
      </c>
      <c r="L45">
        <f>COUNTIF(Scenario2[winner1-ability1],OracleAbilities1Scenario2[[#This Row],[ability]])+COUNTIF(Scenario2[loser1-ability1],OracleAbilities1Scenario2[[#This Row],[ability]])</f>
        <v>0</v>
      </c>
      <c r="M45">
        <f>COUNTIF(Scenario2[winner1-ability1],OracleAbilities1Scenario2[[#This Row],[ability]])</f>
        <v>0</v>
      </c>
      <c r="N45" s="3">
        <f>IF(SUM(OracleAbilities1Scenario2[[#This Row],[takes]]) &gt; 0,OracleAbilities1Scenario2[[#This Row],[takes]]/SUM(OracleAbilities1Scenario2[takes]),0)</f>
        <v>0</v>
      </c>
      <c r="O45" s="3">
        <f>IF(OracleAbilities1Scenario2[[#This Row],[takes]]&gt;0,OracleAbilities1Scenario2[[#This Row],[wins]]/OracleAbilities1Scenario2[[#This Row],[takes]],0)</f>
        <v>0</v>
      </c>
      <c r="Q45">
        <v>1</v>
      </c>
      <c r="R45">
        <f>COUNTIFS(Scenario2[winner1],"oracle",Scenario2[winner1-pw],OracleEquipScenario2[[#This Row],[level]])+COUNTIFS(Scenario2[loser1],"oracle",Scenario2[loser1-pw],OracleEquipScenario2[[#This Row],[level]])</f>
        <v>4</v>
      </c>
      <c r="S45" s="18">
        <f>COUNTIFS(Scenario2[winner1],"oracle",Scenario2[winner1-cp],OracleEquipScenario2[[#This Row],[level]])+COUNTIFS(Scenario2[loser1],"oracle",Scenario2[loser1-cp],OracleEquipScenario2[[#This Row],[level]])</f>
        <v>1</v>
      </c>
    </row>
    <row r="46" spans="11:20" x14ac:dyDescent="0.25">
      <c r="K46" t="s">
        <v>65</v>
      </c>
      <c r="L46">
        <f>COUNTIF(Scenario2[winner1-ability1],OracleAbilities1Scenario2[[#This Row],[ability]])+COUNTIF(Scenario2[loser1-ability1],OracleAbilities1Scenario2[[#This Row],[ability]])</f>
        <v>2</v>
      </c>
      <c r="M46">
        <f>COUNTIF(Scenario2[winner1-ability1],OracleAbilities1Scenario2[[#This Row],[ability]])</f>
        <v>1</v>
      </c>
      <c r="N46" s="3">
        <f>IF(SUM(OracleAbilities1Scenario2[[#This Row],[takes]]) &gt; 0,OracleAbilities1Scenario2[[#This Row],[takes]]/SUM(OracleAbilities1Scenario2[takes]),0)</f>
        <v>0.125</v>
      </c>
      <c r="O46" s="3">
        <f>IF(OracleAbilities1Scenario2[[#This Row],[takes]]&gt;0,OracleAbilities1Scenario2[[#This Row],[wins]]/OracleAbilities1Scenario2[[#This Row],[takes]],0)</f>
        <v>0.5</v>
      </c>
      <c r="Q46">
        <v>2</v>
      </c>
      <c r="R46">
        <f>COUNTIFS(Scenario2[winner1],"oracle",Scenario2[winner1-pw],OracleEquipScenario2[[#This Row],[level]])+COUNTIFS(Scenario2[loser1],"oracle",Scenario2[loser1-pw],OracleEquipScenario2[[#This Row],[level]])</f>
        <v>10</v>
      </c>
      <c r="S46" s="18">
        <f>COUNTIFS(Scenario2[winner1],"oracle",Scenario2[winner1-cp],OracleEquipScenario2[[#This Row],[level]])+COUNTIFS(Scenario2[loser1],"oracle",Scenario2[loser1-cp],OracleEquipScenario2[[#This Row],[level]])</f>
        <v>7</v>
      </c>
    </row>
    <row r="47" spans="11:20" x14ac:dyDescent="0.25">
      <c r="K47" t="s">
        <v>34</v>
      </c>
      <c r="L47">
        <f>COUNTIF(Scenario2[winner1-ability1],OracleAbilities1Scenario2[[#This Row],[ability]])+COUNTIF(Scenario2[loser1-ability1],OracleAbilities1Scenario2[[#This Row],[ability]])</f>
        <v>14</v>
      </c>
      <c r="M47">
        <f>COUNTIF(Scenario2[winner1-ability1],OracleAbilities1Scenario2[[#This Row],[ability]])</f>
        <v>4</v>
      </c>
      <c r="N47" s="3">
        <f>IF(SUM(OracleAbilities1Scenario2[[#This Row],[takes]]) &gt; 0,OracleAbilities1Scenario2[[#This Row],[takes]]/SUM(OracleAbilities1Scenario2[takes]),0)</f>
        <v>0.875</v>
      </c>
      <c r="O47" s="3">
        <f>IF(OracleAbilities1Scenario2[[#This Row],[takes]]&gt;0,OracleAbilities1Scenario2[[#This Row],[wins]]/OracleAbilities1Scenario2[[#This Row],[takes]],0)</f>
        <v>0.2857142857142857</v>
      </c>
      <c r="Q47">
        <v>3</v>
      </c>
      <c r="R47">
        <f>COUNTIFS(Scenario2[winner1],"oracle",Scenario2[winner1-pw],OracleEquipScenario2[[#This Row],[level]])+COUNTIFS(Scenario2[loser1],"oracle",Scenario2[loser1-pw],OracleEquipScenario2[[#This Row],[level]])</f>
        <v>2</v>
      </c>
      <c r="S47" s="18">
        <f>COUNTIFS(Scenario2[winner1],"oracle",Scenario2[winner1-cp],OracleEquipScenario2[[#This Row],[level]])+COUNTIFS(Scenario2[loser1],"oracle",Scenario2[loser1-cp],OracleEquipScenario2[[#This Row],[level]])</f>
        <v>8</v>
      </c>
    </row>
    <row r="48" spans="11:20" x14ac:dyDescent="0.25">
      <c r="K48" s="17"/>
      <c r="N48" s="3"/>
      <c r="O48" s="3"/>
      <c r="S48" s="18"/>
    </row>
    <row r="49" spans="11:19" x14ac:dyDescent="0.25">
      <c r="K49" s="19" t="s">
        <v>109</v>
      </c>
      <c r="L49" s="8" t="s">
        <v>110</v>
      </c>
      <c r="M49" s="8" t="s">
        <v>79</v>
      </c>
      <c r="N49" s="9" t="s">
        <v>117</v>
      </c>
      <c r="O49" s="9" t="s">
        <v>118</v>
      </c>
      <c r="S49" s="18"/>
    </row>
    <row r="50" spans="11:19" x14ac:dyDescent="0.25">
      <c r="K50" s="2" t="s">
        <v>66</v>
      </c>
      <c r="L50" s="2">
        <f>COUNTIF(Scenario2[winner1-ability2],OracleAbilities2Scenario2[[#This Row],[ability]])+COUNTIF(Scenario2[loser1-ability2],OracleAbilities2Scenario2[[#This Row],[ability]])</f>
        <v>3</v>
      </c>
      <c r="M50" s="2">
        <f>COUNTIF(Scenario2[winner1-ability2],OracleAbilities2Scenario2[[#This Row],[ability]])</f>
        <v>2</v>
      </c>
      <c r="N50" s="12">
        <f>IF(SUM(OracleAbilities2Scenario2[[#This Row],[takes]]) &gt; 0,OracleAbilities2Scenario2[[#This Row],[takes]]/SUM(OracleAbilities2Scenario2[takes]),0)</f>
        <v>0.5</v>
      </c>
      <c r="O50" s="12">
        <f>IF(OracleAbilities2Scenario2[[#This Row],[takes]]&gt;0,OracleAbilities2Scenario2[[#This Row],[wins]]/OracleAbilities2Scenario2[[#This Row],[takes]],0)</f>
        <v>0.66666666666666663</v>
      </c>
      <c r="S50" s="18"/>
    </row>
    <row r="51" spans="11:19" x14ac:dyDescent="0.25">
      <c r="K51" t="s">
        <v>130</v>
      </c>
      <c r="L51" s="2">
        <f>COUNTIF(Scenario2[winner1-ability2],OracleAbilities2Scenario2[[#This Row],[ability]])+COUNTIF(Scenario2[loser1-ability2],OracleAbilities2Scenario2[[#This Row],[ability]])</f>
        <v>0</v>
      </c>
      <c r="M51" s="2">
        <f>COUNTIF(Scenario2[winner1-ability2],OracleAbilities2Scenario2[[#This Row],[ability]])</f>
        <v>0</v>
      </c>
      <c r="N51" s="3">
        <f>IF(SUM(OracleAbilities2Scenario2[[#This Row],[takes]]) &gt; 0,OracleAbilities2Scenario2[[#This Row],[takes]]/SUM(OracleAbilities2Scenario2[takes]),0)</f>
        <v>0</v>
      </c>
      <c r="O51" s="3">
        <f>IF(OracleAbilities2Scenario2[[#This Row],[takes]]&gt;0,OracleAbilities2Scenario2[[#This Row],[wins]]/OracleAbilities2Scenario2[[#This Row],[takes]],0)</f>
        <v>0</v>
      </c>
      <c r="S51" s="18"/>
    </row>
    <row r="52" spans="11:19" x14ac:dyDescent="0.25">
      <c r="K52" s="10" t="s">
        <v>35</v>
      </c>
      <c r="L52" s="2">
        <f>COUNTIF(Scenario2[winner1-ability2],OracleAbilities2Scenario2[[#This Row],[ability]])+COUNTIF(Scenario2[loser1-ability2],OracleAbilities2Scenario2[[#This Row],[ability]])</f>
        <v>3</v>
      </c>
      <c r="M52" s="2">
        <f>COUNTIF(Scenario2[winner1-ability2],OracleAbilities2Scenario2[[#This Row],[ability]])</f>
        <v>3</v>
      </c>
      <c r="N52" s="13">
        <f>IF(SUM(OracleAbilities2Scenario2[[#This Row],[takes]]) &gt; 0,OracleAbilities2Scenario2[[#This Row],[takes]]/SUM(OracleAbilities2Scenario2[takes]),0)</f>
        <v>0.5</v>
      </c>
      <c r="O52" s="13">
        <f>IF(OracleAbilities2Scenario2[[#This Row],[takes]]&gt;0,OracleAbilities2Scenario2[[#This Row],[wins]]/OracleAbilities2Scenario2[[#This Row],[takes]],0)</f>
        <v>1</v>
      </c>
      <c r="S52" s="18"/>
    </row>
    <row r="53" spans="11:19" x14ac:dyDescent="0.25">
      <c r="K53" s="17"/>
      <c r="N53" s="3"/>
      <c r="O53" s="3"/>
      <c r="S53" s="18"/>
    </row>
    <row r="54" spans="11:19" x14ac:dyDescent="0.25">
      <c r="K54" s="19" t="s">
        <v>109</v>
      </c>
      <c r="L54" s="8" t="s">
        <v>110</v>
      </c>
      <c r="M54" s="8" t="s">
        <v>79</v>
      </c>
      <c r="N54" s="9" t="s">
        <v>117</v>
      </c>
      <c r="O54" s="9" t="s">
        <v>118</v>
      </c>
      <c r="S54" s="18"/>
    </row>
    <row r="55" spans="11:19" x14ac:dyDescent="0.25">
      <c r="K55" s="1" t="s">
        <v>36</v>
      </c>
      <c r="L55" s="1">
        <f>COUNTIF(Scenario2[winner1-ability3],OracleAbilities3Scenario2[[#This Row],[ability]])+COUNTIF(Scenario2[loser1-ability3],OracleAbilities3Scenario2[[#This Row],[ability]])</f>
        <v>0</v>
      </c>
      <c r="M55" s="1">
        <f>COUNTIF(Scenario2[winner1-ability3],OracleAbilities3Scenario2[[#This Row],[ability]])</f>
        <v>0</v>
      </c>
      <c r="N55" s="14">
        <f>IF(SUM(OracleAbilities3Scenario2[[#This Row],[takes]]) &gt; 0,OracleAbilities3Scenario2[[#This Row],[takes]]/SUM(OracleAbilities3Scenario2[takes]),0)</f>
        <v>0</v>
      </c>
      <c r="O55" s="14">
        <f>IF(OracleAbilities3Scenario2[[#This Row],[takes]]&gt;0,OracleAbilities3Scenario2[[#This Row],[wins]]/OracleAbilities3Scenario2[[#This Row],[takes]],0)</f>
        <v>0</v>
      </c>
      <c r="S55" s="18"/>
    </row>
    <row r="56" spans="11:19" x14ac:dyDescent="0.25">
      <c r="K56" s="2" t="s">
        <v>131</v>
      </c>
      <c r="L56" s="2">
        <f>COUNTIF(Scenario2[winner1-ability3],OracleAbilities3Scenario2[[#This Row],[ability]])+COUNTIF(Scenario2[loser1-ability3],OracleAbilities3Scenario2[[#This Row],[ability]])</f>
        <v>0</v>
      </c>
      <c r="M56" s="2">
        <f>COUNTIF(Scenario2[winner1-ability3],OracleAbilities3Scenario2[[#This Row],[ability]])</f>
        <v>0</v>
      </c>
      <c r="N56" s="12">
        <f>IF(SUM(OracleAbilities3Scenario2[[#This Row],[takes]]) &gt; 0,OracleAbilities3Scenario2[[#This Row],[takes]]/SUM(OracleAbilities3Scenario2[takes]),0)</f>
        <v>0</v>
      </c>
      <c r="O56" s="12">
        <f>IF(OracleAbilities3Scenario2[[#This Row],[takes]]&gt;0,OracleAbilities3Scenario2[[#This Row],[wins]]/OracleAbilities3Scenario2[[#This Row],[takes]],0)</f>
        <v>0</v>
      </c>
      <c r="S56" s="18"/>
    </row>
    <row r="57" spans="11:19" x14ac:dyDescent="0.25">
      <c r="K57" s="11" t="s">
        <v>132</v>
      </c>
      <c r="L57" s="1">
        <f>COUNTIF(Scenario2[winner1-ability3],OracleAbilities3Scenario2[[#This Row],[ability]])+COUNTIF(Scenario2[loser1-ability3],OracleAbilities3Scenario2[[#This Row],[ability]])</f>
        <v>1</v>
      </c>
      <c r="M57" s="1">
        <f>COUNTIF(Scenario2[winner1-ability3],OracleAbilities3Scenario2[[#This Row],[ability]])</f>
        <v>1</v>
      </c>
      <c r="N57" s="15">
        <f>IF(SUM(OracleAbilities3Scenario2[[#This Row],[takes]]) &gt; 0,OracleAbilities3Scenario2[[#This Row],[takes]]/SUM(OracleAbilities3Scenario2[takes]),0)</f>
        <v>1</v>
      </c>
      <c r="O57" s="15">
        <f>IF(OracleAbilities3Scenario2[[#This Row],[takes]]&gt;0,OracleAbilities3Scenario2[[#This Row],[wins]]/OracleAbilities3Scenario2[[#This Row],[takes]],0)</f>
        <v>1</v>
      </c>
      <c r="S57" s="18"/>
    </row>
    <row r="58" spans="11:19" x14ac:dyDescent="0.25">
      <c r="K58" s="17"/>
      <c r="N58" s="3"/>
      <c r="O58" s="3"/>
      <c r="S58" s="18"/>
    </row>
    <row r="59" spans="11:19" x14ac:dyDescent="0.25">
      <c r="K59" s="19" t="s">
        <v>109</v>
      </c>
      <c r="L59" s="8" t="s">
        <v>110</v>
      </c>
      <c r="M59" s="8" t="s">
        <v>79</v>
      </c>
      <c r="N59" s="9" t="s">
        <v>117</v>
      </c>
      <c r="O59" s="9" t="s">
        <v>118</v>
      </c>
      <c r="S59" s="18"/>
    </row>
    <row r="60" spans="11:19" x14ac:dyDescent="0.25">
      <c r="K60" s="2" t="s">
        <v>133</v>
      </c>
      <c r="L60" s="2">
        <f>COUNTIF(Scenario2[winner1-ability4],OracleAbilities4Scenario2[[#This Row],[ability]])+COUNTIF(Scenario2[loser1-ability4],OracleAbilities4Scenario2[[#This Row],[ability]])</f>
        <v>1</v>
      </c>
      <c r="M60" s="2">
        <f>COUNTIF(Scenario2[winner1-ability4],OracleAbilities4Scenario2[[#This Row],[ability]])</f>
        <v>1</v>
      </c>
      <c r="N60" s="12">
        <f>IF(SUM(OracleAbilities4Scenario2[[#This Row],[takes]]) &gt; 0,OracleAbilities4Scenario2[[#This Row],[takes]]/SUM(OracleAbilities4Scenario2[takes]),0)</f>
        <v>1</v>
      </c>
      <c r="O60" s="12">
        <f>IF(OracleAbilities4Scenario2[[#This Row],[takes]]&gt;0,OracleAbilities4Scenario2[[#This Row],[wins]]/OracleAbilities4Scenario2[[#This Row],[takes]],0)</f>
        <v>1</v>
      </c>
      <c r="S60" s="18"/>
    </row>
    <row r="61" spans="11:19" x14ac:dyDescent="0.25">
      <c r="K61" s="2" t="s">
        <v>37</v>
      </c>
      <c r="L61" s="2">
        <f>COUNTIF(Scenario2[winner1-ability4],OracleAbilities4Scenario2[[#This Row],[ability]])+COUNTIF(Scenario2[loser1-ability4],OracleAbilities4Scenario2[[#This Row],[ability]])</f>
        <v>0</v>
      </c>
      <c r="M61" s="2">
        <f>COUNTIF(Scenario2[winner1-ability4],OracleAbilities4Scenario2[[#This Row],[ability]])</f>
        <v>0</v>
      </c>
      <c r="N61" s="12">
        <f>IF(SUM(OracleAbilities4Scenario2[[#This Row],[takes]]) &gt; 0,OracleAbilities4Scenario2[[#This Row],[takes]]/SUM(OracleAbilities4Scenario2[takes]),0)</f>
        <v>0</v>
      </c>
      <c r="O61" s="12">
        <f>IF(OracleAbilities4Scenario2[[#This Row],[takes]]&gt;0,OracleAbilities4Scenario2[[#This Row],[wins]]/OracleAbilities4Scenario2[[#This Row],[takes]],0)</f>
        <v>0</v>
      </c>
      <c r="S61" s="18"/>
    </row>
    <row r="62" spans="11:19" ht="15.75" thickBot="1" x14ac:dyDescent="0.3">
      <c r="K62" s="10" t="s">
        <v>134</v>
      </c>
      <c r="L62" s="25">
        <f>COUNTIF(Scenario2[winner1-ability4],OracleAbilities4Scenario2[[#This Row],[ability]])+COUNTIF(Scenario2[loser1-ability4],OracleAbilities4Scenario2[[#This Row],[ability]])</f>
        <v>0</v>
      </c>
      <c r="M62" s="25">
        <f>COUNTIF(Scenario2[winner1-ability4],OracleAbilities4Scenario2[[#This Row],[ability]])</f>
        <v>0</v>
      </c>
      <c r="N62" s="26">
        <f>IF(SUM(OracleAbilities4Scenario2[[#This Row],[takes]]) &gt; 0,OracleAbilities4Scenario2[[#This Row],[takes]]/SUM(OracleAbilities4Scenario2[takes]),0)</f>
        <v>0</v>
      </c>
      <c r="O62" s="26">
        <f>IF(OracleAbilities4Scenario2[[#This Row],[takes]]&gt;0,OracleAbilities4Scenario2[[#This Row],[wins]]/OracleAbilities4Scenario2[[#This Row],[takes]],0)</f>
        <v>0</v>
      </c>
      <c r="P62" s="27"/>
      <c r="Q62" s="27"/>
      <c r="R62" s="27"/>
      <c r="S62" s="28"/>
    </row>
    <row r="63" spans="11:19" ht="15.75" thickBot="1" x14ac:dyDescent="0.3"/>
    <row r="64" spans="11:19" ht="15.75" thickBot="1" x14ac:dyDescent="0.3">
      <c r="K64" s="36" t="s">
        <v>209</v>
      </c>
      <c r="L64" s="37"/>
      <c r="M64" s="37"/>
      <c r="N64" s="37"/>
      <c r="O64" s="37"/>
      <c r="P64" s="37"/>
      <c r="Q64" s="37"/>
      <c r="R64" s="37"/>
      <c r="S64" s="38"/>
    </row>
    <row r="65" spans="11:19" x14ac:dyDescent="0.25">
      <c r="K65" s="17" t="s">
        <v>109</v>
      </c>
      <c r="L65" t="s">
        <v>110</v>
      </c>
      <c r="M65" t="s">
        <v>79</v>
      </c>
      <c r="N65" s="3" t="s">
        <v>117</v>
      </c>
      <c r="O65" s="3" t="s">
        <v>118</v>
      </c>
      <c r="Q65" t="s">
        <v>161</v>
      </c>
      <c r="R65" t="s">
        <v>167</v>
      </c>
      <c r="S65" s="18" t="s">
        <v>164</v>
      </c>
    </row>
    <row r="66" spans="11:19" x14ac:dyDescent="0.25">
      <c r="K66" t="s">
        <v>46</v>
      </c>
      <c r="L66">
        <f>COUNTIF(Scenario3[winner1-ability1],OracleAbilities1Scenario3[[#This Row],[ability]])+COUNTIF(Scenario3[loser1-ability1],OracleAbilities1Scenario3[[#This Row],[ability]])+COUNTIF(Scenario3[loser2-ability1],OracleAbilities1Scenario3[[#This Row],[ability]])</f>
        <v>1</v>
      </c>
      <c r="M66">
        <f>COUNTIF(Scenario3[winner1-ability1],OracleAbilities1Scenario3[[#This Row],[ability]])</f>
        <v>0</v>
      </c>
      <c r="N66" s="3">
        <f>IF(SUM(OracleAbilities1Scenario3[[#This Row],[takes]]) &gt; 0,OracleAbilities1Scenario3[[#This Row],[takes]]/SUM(OracleAbilities1Scenario3[takes]),0)</f>
        <v>3.5714285714285712E-2</v>
      </c>
      <c r="O66" s="3">
        <f>IF(OracleAbilities1Scenario3[[#This Row],[takes]]&gt;0,OracleAbilities1Scenario3[[#This Row],[wins]]/OracleAbilities1Scenario3[[#This Row],[takes]],0)</f>
        <v>0</v>
      </c>
      <c r="Q66">
        <v>1</v>
      </c>
      <c r="R66">
        <f>COUNTIFS(Scenario3[winner1],"oracle",Scenario3[winner1-pw],OracleEquipScenario3[[#This Row],[level]])+COUNTIFS(Scenario3[loser1],"oracle",Scenario3[loser1-pw],OracleEquipScenario3[[#This Row],[level]])+COUNTIFS(Scenario3[loser2],"oracle",Scenario3[loser2-pw],OracleEquipScenario3[[#This Row],[level]])</f>
        <v>6</v>
      </c>
      <c r="S66" s="18">
        <f>COUNTIFS(Scenario3[winner1],"oracle",Scenario3[winner1-cp],OracleEquipScenario3[[#This Row],[level]])+COUNTIFS(Scenario3[loser1],"oracle",Scenario3[loser1-cp],OracleEquipScenario3[[#This Row],[level]])+COUNTIFS(Scenario3[loser2],"oracle",Scenario3[loser2-cp],OracleEquipScenario3[[#This Row],[level]])</f>
        <v>0</v>
      </c>
    </row>
    <row r="67" spans="11:19" x14ac:dyDescent="0.25">
      <c r="K67" t="s">
        <v>65</v>
      </c>
      <c r="L67">
        <f>COUNTIF(Scenario3[winner1-ability1],OracleAbilities1Scenario3[[#This Row],[ability]])+COUNTIF(Scenario3[loser1-ability1],OracleAbilities1Scenario3[[#This Row],[ability]])+COUNTIF(Scenario3[loser2-ability1],OracleAbilities1Scenario3[[#This Row],[ability]])</f>
        <v>1</v>
      </c>
      <c r="M67">
        <f>COUNTIF(Scenario3[winner1-ability1],OracleAbilities1Scenario3[[#This Row],[ability]])</f>
        <v>0</v>
      </c>
      <c r="N67" s="3">
        <f>IF(SUM(OracleAbilities1Scenario3[[#This Row],[takes]]) &gt; 0,OracleAbilities1Scenario3[[#This Row],[takes]]/SUM(OracleAbilities1Scenario3[takes]),0)</f>
        <v>3.5714285714285712E-2</v>
      </c>
      <c r="O67" s="3">
        <f>IF(OracleAbilities1Scenario3[[#This Row],[takes]]&gt;0,OracleAbilities1Scenario3[[#This Row],[wins]]/OracleAbilities1Scenario3[[#This Row],[takes]],0)</f>
        <v>0</v>
      </c>
      <c r="Q67">
        <v>2</v>
      </c>
      <c r="R67">
        <f>COUNTIFS(Scenario3[winner1],"oracle",Scenario3[winner1-pw],OracleEquipScenario3[[#This Row],[level]])+COUNTIFS(Scenario3[loser1],"oracle",Scenario3[loser1-pw],OracleEquipScenario3[[#This Row],[level]])+COUNTIFS(Scenario3[loser2],"oracle",Scenario3[loser2-pw],OracleEquipScenario3[[#This Row],[level]])</f>
        <v>12</v>
      </c>
      <c r="S67" s="18">
        <f>COUNTIFS(Scenario3[winner1],"oracle",Scenario3[winner1-cp],OracleEquipScenario3[[#This Row],[level]])+COUNTIFS(Scenario3[loser1],"oracle",Scenario3[loser1-cp],OracleEquipScenario3[[#This Row],[level]])+COUNTIFS(Scenario3[loser2],"oracle",Scenario3[loser2-cp],OracleEquipScenario3[[#This Row],[level]])</f>
        <v>7</v>
      </c>
    </row>
    <row r="68" spans="11:19" x14ac:dyDescent="0.25">
      <c r="K68" t="s">
        <v>34</v>
      </c>
      <c r="L68">
        <f>COUNTIF(Scenario3[winner1-ability1],OracleAbilities1Scenario3[[#This Row],[ability]])+COUNTIF(Scenario3[loser1-ability1],OracleAbilities1Scenario3[[#This Row],[ability]])+COUNTIF(Scenario3[loser2-ability1],OracleAbilities1Scenario3[[#This Row],[ability]])</f>
        <v>26</v>
      </c>
      <c r="M68">
        <f>COUNTIF(Scenario3[winner1-ability1],OracleAbilities1Scenario3[[#This Row],[ability]])</f>
        <v>11</v>
      </c>
      <c r="N68" s="3">
        <f>IF(SUM(OracleAbilities1Scenario3[[#This Row],[takes]]) &gt; 0,OracleAbilities1Scenario3[[#This Row],[takes]]/SUM(OracleAbilities1Scenario3[takes]),0)</f>
        <v>0.9285714285714286</v>
      </c>
      <c r="O68" s="3">
        <f>IF(OracleAbilities1Scenario3[[#This Row],[takes]]&gt;0,OracleAbilities1Scenario3[[#This Row],[wins]]/OracleAbilities1Scenario3[[#This Row],[takes]],0)</f>
        <v>0.42307692307692307</v>
      </c>
      <c r="Q68">
        <v>3</v>
      </c>
      <c r="R68">
        <f>COUNTIFS(Scenario3[winner1],"oracle",Scenario3[winner1-pw],OracleEquipScenario3[[#This Row],[level]])+COUNTIFS(Scenario3[loser1],"oracle",Scenario3[loser1-pw],OracleEquipScenario3[[#This Row],[level]])+COUNTIFS(Scenario3[loser2],"oracle",Scenario3[loser2-pw],OracleEquipScenario3[[#This Row],[level]])</f>
        <v>10</v>
      </c>
      <c r="S68" s="18">
        <f>COUNTIFS(Scenario3[winner1],"oracle",Scenario3[winner1-cp],OracleEquipScenario3[[#This Row],[level]])+COUNTIFS(Scenario3[loser1],"oracle",Scenario3[loser1-cp],OracleEquipScenario3[[#This Row],[level]])+COUNTIFS(Scenario3[loser2],"oracle",Scenario3[loser2-cp],OracleEquipScenario3[[#This Row],[level]])</f>
        <v>21</v>
      </c>
    </row>
    <row r="69" spans="11:19" x14ac:dyDescent="0.25">
      <c r="K69" s="17"/>
      <c r="N69" s="3"/>
      <c r="O69" s="3"/>
      <c r="S69" s="18"/>
    </row>
    <row r="70" spans="11:19" x14ac:dyDescent="0.25">
      <c r="K70" s="19" t="s">
        <v>109</v>
      </c>
      <c r="L70" s="8" t="s">
        <v>110</v>
      </c>
      <c r="M70" s="8" t="s">
        <v>79</v>
      </c>
      <c r="N70" s="9" t="s">
        <v>117</v>
      </c>
      <c r="O70" s="9" t="s">
        <v>118</v>
      </c>
      <c r="S70" s="18"/>
    </row>
    <row r="71" spans="11:19" x14ac:dyDescent="0.25">
      <c r="K71" s="2" t="s">
        <v>66</v>
      </c>
      <c r="L71" s="2">
        <f>COUNTIF(Scenario3[winner1-ability2],OracleAbilities2Scenario3[[#This Row],[ability]])+COUNTIF(Scenario3[loser1-ability2],OracleAbilities2Scenario3[[#This Row],[ability]])+COUNTIF(Scenario3[loser2-ability2],OracleAbilities2Scenario3[[#This Row],[ability]])</f>
        <v>4</v>
      </c>
      <c r="M71" s="2">
        <f>COUNTIF(Scenario3[winner1-ability2],OracleAbilities2Scenario3[[#This Row],[ability]])</f>
        <v>2</v>
      </c>
      <c r="N71" s="12">
        <f>IF(SUM(OracleAbilities2Scenario3[[#This Row],[takes]]) &gt; 0,OracleAbilities2Scenario3[[#This Row],[takes]]/SUM(OracleAbilities2Scenario3[takes]),0)</f>
        <v>0.21052631578947367</v>
      </c>
      <c r="O71" s="12">
        <f>IF(OracleAbilities2Scenario3[[#This Row],[takes]]&gt;0,OracleAbilities2Scenario3[[#This Row],[wins]]/OracleAbilities2Scenario3[[#This Row],[takes]],0)</f>
        <v>0.5</v>
      </c>
      <c r="S71" s="18"/>
    </row>
    <row r="72" spans="11:19" x14ac:dyDescent="0.25">
      <c r="K72" t="s">
        <v>130</v>
      </c>
      <c r="L72" s="2">
        <f>COUNTIF(Scenario3[winner1-ability2],OracleAbilities2Scenario3[[#This Row],[ability]])+COUNTIF(Scenario3[loser1-ability2],OracleAbilities2Scenario3[[#This Row],[ability]])+COUNTIF(Scenario3[loser2-ability2],OracleAbilities2Scenario3[[#This Row],[ability]])</f>
        <v>13</v>
      </c>
      <c r="M72" s="2">
        <f>COUNTIF(Scenario3[winner1-ability2],OracleAbilities2Scenario3[[#This Row],[ability]])</f>
        <v>8</v>
      </c>
      <c r="N72" s="3">
        <f>IF(SUM(OracleAbilities2Scenario3[[#This Row],[takes]]) &gt; 0,OracleAbilities2Scenario3[[#This Row],[takes]]/SUM(OracleAbilities2Scenario3[takes]),0)</f>
        <v>0.68421052631578949</v>
      </c>
      <c r="O72" s="3">
        <f>IF(OracleAbilities2Scenario3[[#This Row],[takes]]&gt;0,OracleAbilities2Scenario3[[#This Row],[wins]]/OracleAbilities2Scenario3[[#This Row],[takes]],0)</f>
        <v>0.61538461538461542</v>
      </c>
      <c r="S72" s="18"/>
    </row>
    <row r="73" spans="11:19" x14ac:dyDescent="0.25">
      <c r="K73" s="10" t="s">
        <v>35</v>
      </c>
      <c r="L73" s="2">
        <f>COUNTIF(Scenario3[winner1-ability2],OracleAbilities2Scenario3[[#This Row],[ability]])+COUNTIF(Scenario3[loser1-ability2],OracleAbilities2Scenario3[[#This Row],[ability]])+COUNTIF(Scenario3[loser2-ability2],OracleAbilities2Scenario3[[#This Row],[ability]])</f>
        <v>2</v>
      </c>
      <c r="M73" s="2">
        <f>COUNTIF(Scenario3[winner1-ability2],OracleAbilities2Scenario3[[#This Row],[ability]])</f>
        <v>1</v>
      </c>
      <c r="N73" s="13">
        <f>IF(SUM(OracleAbilities2Scenario3[[#This Row],[takes]]) &gt; 0,OracleAbilities2Scenario3[[#This Row],[takes]]/SUM(OracleAbilities2Scenario3[takes]),0)</f>
        <v>0.10526315789473684</v>
      </c>
      <c r="O73" s="13">
        <f>IF(OracleAbilities2Scenario3[[#This Row],[takes]]&gt;0,OracleAbilities2Scenario3[[#This Row],[wins]]/OracleAbilities2Scenario3[[#This Row],[takes]],0)</f>
        <v>0.5</v>
      </c>
      <c r="S73" s="18"/>
    </row>
    <row r="74" spans="11:19" x14ac:dyDescent="0.25">
      <c r="K74" s="17"/>
      <c r="N74" s="3"/>
      <c r="O74" s="3"/>
      <c r="S74" s="18"/>
    </row>
    <row r="75" spans="11:19" x14ac:dyDescent="0.25">
      <c r="K75" s="19" t="s">
        <v>109</v>
      </c>
      <c r="L75" s="8" t="s">
        <v>110</v>
      </c>
      <c r="M75" s="8" t="s">
        <v>79</v>
      </c>
      <c r="N75" s="9" t="s">
        <v>117</v>
      </c>
      <c r="O75" s="9" t="s">
        <v>118</v>
      </c>
      <c r="S75" s="18"/>
    </row>
    <row r="76" spans="11:19" x14ac:dyDescent="0.25">
      <c r="K76" s="1" t="s">
        <v>36</v>
      </c>
      <c r="L76" s="1">
        <f>COUNTIF(Scenario3[winner1-ability3],OracleAbilities3Scenario3[[#This Row],[ability]])+COUNTIF(Scenario3[loser1-ability3],OracleAbilities3Scenario3[[#This Row],[ability]])+COUNTIF(Scenario3[loser2-ability3],OracleAbilities3Scenario3[[#This Row],[ability]])</f>
        <v>5</v>
      </c>
      <c r="M76" s="1">
        <f>COUNTIF(Scenario3[winner1-ability3],OracleAbilities3Scenario3[[#This Row],[ability]])</f>
        <v>3</v>
      </c>
      <c r="N76" s="14">
        <f>IF(SUM(OracleAbilities3Scenario3[[#This Row],[takes]]) &gt; 0,OracleAbilities3Scenario3[[#This Row],[takes]]/SUM(OracleAbilities3Scenario3[takes]),0)</f>
        <v>0.29411764705882354</v>
      </c>
      <c r="O76" s="14">
        <f>IF(OracleAbilities3Scenario3[[#This Row],[takes]]&gt;0,OracleAbilities3Scenario3[[#This Row],[wins]]/OracleAbilities3Scenario3[[#This Row],[takes]],0)</f>
        <v>0.6</v>
      </c>
      <c r="S76" s="18"/>
    </row>
    <row r="77" spans="11:19" x14ac:dyDescent="0.25">
      <c r="K77" s="2" t="s">
        <v>131</v>
      </c>
      <c r="L77" s="2">
        <f>COUNTIF(Scenario3[winner1-ability3],OracleAbilities3Scenario3[[#This Row],[ability]])+COUNTIF(Scenario3[loser1-ability3],OracleAbilities3Scenario3[[#This Row],[ability]])+COUNTIF(Scenario3[loser2-ability3],OracleAbilities3Scenario3[[#This Row],[ability]])</f>
        <v>2</v>
      </c>
      <c r="M77" s="2">
        <f>COUNTIF(Scenario3[winner1-ability3],OracleAbilities3Scenario3[[#This Row],[ability]])</f>
        <v>1</v>
      </c>
      <c r="N77" s="12">
        <f>IF(SUM(OracleAbilities3Scenario3[[#This Row],[takes]]) &gt; 0,OracleAbilities3Scenario3[[#This Row],[takes]]/SUM(OracleAbilities3Scenario3[takes]),0)</f>
        <v>0.11764705882352941</v>
      </c>
      <c r="O77" s="12">
        <f>IF(OracleAbilities3Scenario3[[#This Row],[takes]]&gt;0,OracleAbilities3Scenario3[[#This Row],[wins]]/OracleAbilities3Scenario3[[#This Row],[takes]],0)</f>
        <v>0.5</v>
      </c>
      <c r="S77" s="18"/>
    </row>
    <row r="78" spans="11:19" x14ac:dyDescent="0.25">
      <c r="K78" s="11" t="s">
        <v>132</v>
      </c>
      <c r="L78" s="1">
        <f>COUNTIF(Scenario3[winner1-ability3],OracleAbilities3Scenario3[[#This Row],[ability]])+COUNTIF(Scenario3[loser1-ability3],OracleAbilities3Scenario3[[#This Row],[ability]])+COUNTIF(Scenario3[loser2-ability3],OracleAbilities3Scenario3[[#This Row],[ability]])</f>
        <v>10</v>
      </c>
      <c r="M78" s="1">
        <f>COUNTIF(Scenario3[winner1-ability3],OracleAbilities3Scenario3[[#This Row],[ability]])</f>
        <v>7</v>
      </c>
      <c r="N78" s="15">
        <f>IF(SUM(OracleAbilities3Scenario3[[#This Row],[takes]]) &gt; 0,OracleAbilities3Scenario3[[#This Row],[takes]]/SUM(OracleAbilities3Scenario3[takes]),0)</f>
        <v>0.58823529411764708</v>
      </c>
      <c r="O78" s="15">
        <f>IF(OracleAbilities3Scenario3[[#This Row],[takes]]&gt;0,OracleAbilities3Scenario3[[#This Row],[wins]]/OracleAbilities3Scenario3[[#This Row],[takes]],0)</f>
        <v>0.7</v>
      </c>
      <c r="S78" s="18"/>
    </row>
    <row r="79" spans="11:19" x14ac:dyDescent="0.25">
      <c r="K79" s="17"/>
      <c r="N79" s="3"/>
      <c r="O79" s="3"/>
      <c r="S79" s="18"/>
    </row>
    <row r="80" spans="11:19" x14ac:dyDescent="0.25">
      <c r="K80" s="19" t="s">
        <v>109</v>
      </c>
      <c r="L80" s="8" t="s">
        <v>110</v>
      </c>
      <c r="M80" s="8" t="s">
        <v>79</v>
      </c>
      <c r="N80" s="9" t="s">
        <v>117</v>
      </c>
      <c r="O80" s="9" t="s">
        <v>118</v>
      </c>
      <c r="S80" s="18"/>
    </row>
    <row r="81" spans="11:19" x14ac:dyDescent="0.25">
      <c r="K81" s="2" t="s">
        <v>133</v>
      </c>
      <c r="L81" s="2">
        <f>COUNTIF(Scenario3[winner1-ability4],OracleAbilities4Scenario3[[#This Row],[ability]])+COUNTIF(Scenario3[loser1-ability4],OracleAbilities4Scenario3[[#This Row],[ability]])+COUNTIF(Scenario3[loser2-ability4],OracleAbilities4Scenario3[[#This Row],[ability]])</f>
        <v>3</v>
      </c>
      <c r="M81" s="2">
        <f>COUNTIF(Scenario3[winner1-ability4],OracleAbilities4Scenario3[[#This Row],[ability]])</f>
        <v>1</v>
      </c>
      <c r="N81" s="12">
        <f>IF(SUM(OracleAbilities4Scenario3[[#This Row],[takes]]) &gt; 0,OracleAbilities4Scenario3[[#This Row],[takes]]/SUM(OracleAbilities4Scenario3[takes]),0)</f>
        <v>0.23076923076923078</v>
      </c>
      <c r="O81" s="12">
        <f>IF(OracleAbilities4Scenario3[[#This Row],[takes]]&gt;0,OracleAbilities4Scenario3[[#This Row],[wins]]/OracleAbilities4Scenario3[[#This Row],[takes]],0)</f>
        <v>0.33333333333333331</v>
      </c>
      <c r="S81" s="18"/>
    </row>
    <row r="82" spans="11:19" x14ac:dyDescent="0.25">
      <c r="K82" s="2" t="s">
        <v>37</v>
      </c>
      <c r="L82" s="2">
        <f>COUNTIF(Scenario3[winner1-ability4],OracleAbilities4Scenario3[[#This Row],[ability]])+COUNTIF(Scenario3[loser1-ability4],OracleAbilities4Scenario3[[#This Row],[ability]])+COUNTIF(Scenario3[loser2-ability4],OracleAbilities4Scenario3[[#This Row],[ability]])</f>
        <v>9</v>
      </c>
      <c r="M82" s="2">
        <f>COUNTIF(Scenario3[winner1-ability4],OracleAbilities4Scenario3[[#This Row],[ability]])</f>
        <v>6</v>
      </c>
      <c r="N82" s="12">
        <f>IF(SUM(OracleAbilities4Scenario3[[#This Row],[takes]]) &gt; 0,OracleAbilities4Scenario3[[#This Row],[takes]]/SUM(OracleAbilities4Scenario3[takes]),0)</f>
        <v>0.69230769230769229</v>
      </c>
      <c r="O82" s="12">
        <f>IF(OracleAbilities4Scenario3[[#This Row],[takes]]&gt;0,OracleAbilities4Scenario3[[#This Row],[wins]]/OracleAbilities4Scenario3[[#This Row],[takes]],0)</f>
        <v>0.66666666666666663</v>
      </c>
      <c r="S82" s="18"/>
    </row>
    <row r="83" spans="11:19" ht="15.75" thickBot="1" x14ac:dyDescent="0.3">
      <c r="K83" s="10" t="s">
        <v>134</v>
      </c>
      <c r="L83" s="2">
        <f>COUNTIF(Scenario3[winner1-ability4],OracleAbilities4Scenario3[[#This Row],[ability]])+COUNTIF(Scenario3[loser1-ability4],OracleAbilities4Scenario3[[#This Row],[ability]])+COUNTIF(Scenario3[loser2-ability4],OracleAbilities4Scenario3[[#This Row],[ability]])</f>
        <v>1</v>
      </c>
      <c r="M83" s="2">
        <f>COUNTIF(Scenario3[winner1-ability4],OracleAbilities4Scenario3[[#This Row],[ability]])</f>
        <v>1</v>
      </c>
      <c r="N83" s="26">
        <f>IF(SUM(OracleAbilities4Scenario3[[#This Row],[takes]]) &gt; 0,OracleAbilities4Scenario3[[#This Row],[takes]]/SUM(OracleAbilities4Scenario3[takes]),0)</f>
        <v>7.6923076923076927E-2</v>
      </c>
      <c r="O83" s="26">
        <f>IF(OracleAbilities4Scenario3[[#This Row],[takes]]&gt;0,OracleAbilities4Scenario3[[#This Row],[wins]]/OracleAbilities4Scenario3[[#This Row],[takes]],0)</f>
        <v>1</v>
      </c>
      <c r="P83" s="27"/>
      <c r="Q83" s="27"/>
      <c r="R83" s="27"/>
      <c r="S83" s="28"/>
    </row>
    <row r="84" spans="11:19" ht="15.75" thickBot="1" x14ac:dyDescent="0.3"/>
    <row r="85" spans="11:19" ht="15.75" thickBot="1" x14ac:dyDescent="0.3">
      <c r="K85" s="36" t="s">
        <v>219</v>
      </c>
      <c r="L85" s="37"/>
      <c r="M85" s="37"/>
      <c r="N85" s="37"/>
      <c r="O85" s="37"/>
      <c r="P85" s="37"/>
      <c r="Q85" s="37"/>
      <c r="R85" s="37"/>
      <c r="S85" s="38"/>
    </row>
    <row r="86" spans="11:19" x14ac:dyDescent="0.25">
      <c r="K86" s="17" t="s">
        <v>109</v>
      </c>
      <c r="L86" t="s">
        <v>110</v>
      </c>
      <c r="M86" t="s">
        <v>79</v>
      </c>
      <c r="N86" s="3" t="s">
        <v>117</v>
      </c>
      <c r="O86" s="3" t="s">
        <v>118</v>
      </c>
      <c r="Q86" t="s">
        <v>161</v>
      </c>
      <c r="R86" t="s">
        <v>167</v>
      </c>
      <c r="S86" s="18" t="s">
        <v>164</v>
      </c>
    </row>
    <row r="87" spans="11:19" x14ac:dyDescent="0.25">
      <c r="K87" t="s">
        <v>46</v>
      </c>
      <c r="L87">
        <f>COUNTIF(Scenario4[winner1-ability1],OracleAbilities1Scenario4[[#This Row],[ability]])+COUNTIF(Scenario4[loser1-ability1],OracleAbilities1Scenario4[[#This Row],[ability]])+COUNTIF(Scenario4[loser2-ability1],OracleAbilities1Scenario4[[#This Row],[ability]])+COUNTIF(Scenario4[loser3-ability1],OracleAbilities1Scenario4[[#This Row],[ability]])</f>
        <v>0</v>
      </c>
      <c r="M87">
        <f>COUNTIF(Scenario4[winner1-ability1],OracleAbilities1Scenario4[[#This Row],[ability]])</f>
        <v>0</v>
      </c>
      <c r="N87" s="3">
        <f>IF(SUM(OracleAbilities1Scenario4[[#This Row],[takes]]) &gt; 0,OracleAbilities1Scenario4[[#This Row],[takes]]/SUM(OracleAbilities1Scenario4[takes]),0)</f>
        <v>0</v>
      </c>
      <c r="O87" s="3">
        <f>IF(OracleAbilities1Scenario4[[#This Row],[takes]]&gt;0,OracleAbilities1Scenario4[[#This Row],[wins]]/OracleAbilities1Scenario4[[#This Row],[takes]],0)</f>
        <v>0</v>
      </c>
      <c r="Q87">
        <v>1</v>
      </c>
      <c r="R87">
        <f>COUNTIFS(Scenario4[winner1],"oracle",Scenario4[winner1-pw],OracleEquipScenario3245[[#This Row],[level]])+COUNTIFS(Scenario4[loser1],"oracle",Scenario4[loser1-pw],OracleEquipScenario3245[[#This Row],[level]])+COUNTIFS(Scenario4[loser2],"oracle",Scenario4[loser2-pw],OracleEquipScenario3245[[#This Row],[level]])+COUNTIFS(Scenario4[loser3],"oracle",Scenario4[loser3-pw],OracleEquipScenario3245[[#This Row],[level]])</f>
        <v>10</v>
      </c>
      <c r="S87" s="18">
        <f>COUNTIFS(Scenario4[winner1],"oracle",Scenario4[winner1-cp],OracleEquipScenario3245[[#This Row],[level]])+COUNTIFS(Scenario4[loser1],"oracle",Scenario4[loser1-cp],OracleEquipScenario3245[[#This Row],[level]])+COUNTIFS(Scenario4[loser2],"oracle",Scenario4[loser2-cp],OracleEquipScenario3245[[#This Row],[level]])+COUNTIFS(Scenario4[loser3],"oracle",Scenario4[loser3-cp],OracleEquipScenario3245[[#This Row],[level]])</f>
        <v>1</v>
      </c>
    </row>
    <row r="88" spans="11:19" x14ac:dyDescent="0.25">
      <c r="K88" t="s">
        <v>65</v>
      </c>
      <c r="L88">
        <f>COUNTIF(Scenario4[winner1-ability1],OracleAbilities1Scenario4[[#This Row],[ability]])+COUNTIF(Scenario4[loser1-ability1],OracleAbilities1Scenario4[[#This Row],[ability]])+COUNTIF(Scenario4[loser2-ability1],OracleAbilities1Scenario4[[#This Row],[ability]])+COUNTIF(Scenario4[loser3-ability1],OracleAbilities1Scenario4[[#This Row],[ability]])</f>
        <v>0</v>
      </c>
      <c r="M88">
        <f>COUNTIF(Scenario4[winner1-ability1],OracleAbilities1Scenario4[[#This Row],[ability]])</f>
        <v>0</v>
      </c>
      <c r="N88" s="3">
        <f>IF(SUM(OracleAbilities1Scenario4[[#This Row],[takes]]) &gt; 0,OracleAbilities1Scenario4[[#This Row],[takes]]/SUM(OracleAbilities1Scenario4[takes]),0)</f>
        <v>0</v>
      </c>
      <c r="O88" s="3">
        <f>IF(OracleAbilities1Scenario4[[#This Row],[takes]]&gt;0,OracleAbilities1Scenario4[[#This Row],[wins]]/OracleAbilities1Scenario4[[#This Row],[takes]],0)</f>
        <v>0</v>
      </c>
      <c r="Q88">
        <v>2</v>
      </c>
      <c r="R88">
        <f>COUNTIFS(Scenario4[winner1],"oracle",Scenario4[winner1-pw],OracleEquipScenario3245[[#This Row],[level]])+COUNTIFS(Scenario4[loser1],"oracle",Scenario4[loser1-pw],OracleEquipScenario3245[[#This Row],[level]])+COUNTIFS(Scenario4[loser2],"oracle",Scenario4[loser2-pw],OracleEquipScenario3245[[#This Row],[level]])+COUNTIFS(Scenario4[loser3],"oracle",Scenario4[loser3-pw],OracleEquipScenario3245[[#This Row],[level]])</f>
        <v>10</v>
      </c>
      <c r="S88" s="18">
        <f>COUNTIFS(Scenario4[winner1],"oracle",Scenario4[winner1-cp],OracleEquipScenario3245[[#This Row],[level]])+COUNTIFS(Scenario4[loser1],"oracle",Scenario4[loser1-cp],OracleEquipScenario3245[[#This Row],[level]])+COUNTIFS(Scenario4[loser2],"oracle",Scenario4[loser2-cp],OracleEquipScenario3245[[#This Row],[level]])+COUNTIFS(Scenario4[loser3],"oracle",Scenario4[loser3-cp],OracleEquipScenario3245[[#This Row],[level]])</f>
        <v>9</v>
      </c>
    </row>
    <row r="89" spans="11:19" x14ac:dyDescent="0.25">
      <c r="K89" t="s">
        <v>34</v>
      </c>
      <c r="L89">
        <f>COUNTIF(Scenario4[winner1-ability1],OracleAbilities1Scenario4[[#This Row],[ability]])+COUNTIF(Scenario4[loser1-ability1],OracleAbilities1Scenario4[[#This Row],[ability]])+COUNTIF(Scenario4[loser2-ability1],OracleAbilities1Scenario4[[#This Row],[ability]])+COUNTIF(Scenario4[loser3-ability1],OracleAbilities1Scenario4[[#This Row],[ability]])</f>
        <v>56</v>
      </c>
      <c r="M89">
        <f>COUNTIF(Scenario4[winner1-ability1],OracleAbilities1Scenario4[[#This Row],[ability]])</f>
        <v>22</v>
      </c>
      <c r="N89" s="3">
        <f>IF(SUM(OracleAbilities1Scenario4[[#This Row],[takes]]) &gt; 0,OracleAbilities1Scenario4[[#This Row],[takes]]/SUM(OracleAbilities1Scenario4[takes]),0)</f>
        <v>1</v>
      </c>
      <c r="O89" s="3">
        <f>IF(OracleAbilities1Scenario4[[#This Row],[takes]]&gt;0,OracleAbilities1Scenario4[[#This Row],[wins]]/OracleAbilities1Scenario4[[#This Row],[takes]],0)</f>
        <v>0.39285714285714285</v>
      </c>
      <c r="Q89">
        <v>3</v>
      </c>
      <c r="R89">
        <f>COUNTIFS(Scenario4[winner1],"oracle",Scenario4[winner1-pw],OracleEquipScenario3245[[#This Row],[level]])+COUNTIFS(Scenario4[loser1],"oracle",Scenario4[loser1-pw],OracleEquipScenario3245[[#This Row],[level]])+COUNTIFS(Scenario4[loser2],"oracle",Scenario4[loser2-pw],OracleEquipScenario3245[[#This Row],[level]])+COUNTIFS(Scenario4[loser3],"oracle",Scenario4[loser3-pw],OracleEquipScenario3245[[#This Row],[level]])</f>
        <v>36</v>
      </c>
      <c r="S89" s="18">
        <f>COUNTIFS(Scenario4[winner1],"oracle",Scenario4[winner1-cp],OracleEquipScenario3245[[#This Row],[level]])+COUNTIFS(Scenario4[loser1],"oracle",Scenario4[loser1-cp],OracleEquipScenario3245[[#This Row],[level]])+COUNTIFS(Scenario4[loser2],"oracle",Scenario4[loser2-cp],OracleEquipScenario3245[[#This Row],[level]])+COUNTIFS(Scenario4[loser3],"oracle",Scenario4[loser3-cp],OracleEquipScenario3245[[#This Row],[level]])</f>
        <v>46</v>
      </c>
    </row>
    <row r="90" spans="11:19" x14ac:dyDescent="0.25">
      <c r="K90" s="17"/>
      <c r="N90" s="3"/>
      <c r="O90" s="3"/>
      <c r="S90" s="18"/>
    </row>
    <row r="91" spans="11:19" x14ac:dyDescent="0.25">
      <c r="K91" s="19" t="s">
        <v>109</v>
      </c>
      <c r="L91" s="8" t="s">
        <v>110</v>
      </c>
      <c r="M91" s="8" t="s">
        <v>79</v>
      </c>
      <c r="N91" s="9" t="s">
        <v>117</v>
      </c>
      <c r="O91" s="9" t="s">
        <v>118</v>
      </c>
      <c r="S91" s="18"/>
    </row>
    <row r="92" spans="11:19" x14ac:dyDescent="0.25">
      <c r="K92" s="2" t="s">
        <v>66</v>
      </c>
      <c r="L92" s="2">
        <f>COUNTIF(Scenario4[winner1-ability2],OracleAbilities2Scenario4[[#This Row],[ability]])+COUNTIF(Scenario4[loser1-ability2],OracleAbilities2Scenario4[[#This Row],[ability]])+COUNTIF(Scenario4[loser2-ability2],OracleAbilities2Scenario4[[#This Row],[ability]])+COUNTIF(Scenario4[loser3-ability2],OracleAbilities2Scenario4[[#This Row],[ability]])</f>
        <v>18</v>
      </c>
      <c r="M92" s="2">
        <f>COUNTIF(Scenario4[winner1-ability2],OracleAbilities2Scenario4[[#This Row],[ability]])</f>
        <v>9</v>
      </c>
      <c r="N92" s="12">
        <f>IF(SUM(OracleAbilities2Scenario4[[#This Row],[takes]]) &gt; 0,OracleAbilities2Scenario4[[#This Row],[takes]]/SUM(OracleAbilities2Scenario4[takes]),0)</f>
        <v>0.33962264150943394</v>
      </c>
      <c r="O92" s="12">
        <f>IF(OracleAbilities2Scenario4[[#This Row],[takes]]&gt;0,OracleAbilities2Scenario4[[#This Row],[wins]]/OracleAbilities2Scenario4[[#This Row],[takes]],0)</f>
        <v>0.5</v>
      </c>
      <c r="S92" s="18"/>
    </row>
    <row r="93" spans="11:19" x14ac:dyDescent="0.25">
      <c r="K93" t="s">
        <v>130</v>
      </c>
      <c r="L93" s="2">
        <f>COUNTIF(Scenario4[winner1-ability2],OracleAbilities2Scenario4[[#This Row],[ability]])+COUNTIF(Scenario4[loser1-ability2],OracleAbilities2Scenario4[[#This Row],[ability]])+COUNTIF(Scenario4[loser2-ability2],OracleAbilities2Scenario4[[#This Row],[ability]])+COUNTIF(Scenario4[loser3-ability2],OracleAbilities2Scenario4[[#This Row],[ability]])</f>
        <v>32</v>
      </c>
      <c r="M93" s="2">
        <f>COUNTIF(Scenario4[winner1-ability2],OracleAbilities2Scenario4[[#This Row],[ability]])</f>
        <v>12</v>
      </c>
      <c r="N93" s="3">
        <f>IF(SUM(OracleAbilities2Scenario4[[#This Row],[takes]]) &gt; 0,OracleAbilities2Scenario4[[#This Row],[takes]]/SUM(OracleAbilities2Scenario4[takes]),0)</f>
        <v>0.60377358490566035</v>
      </c>
      <c r="O93" s="3">
        <f>IF(OracleAbilities2Scenario4[[#This Row],[takes]]&gt;0,OracleAbilities2Scenario4[[#This Row],[wins]]/OracleAbilities2Scenario4[[#This Row],[takes]],0)</f>
        <v>0.375</v>
      </c>
      <c r="S93" s="18"/>
    </row>
    <row r="94" spans="11:19" x14ac:dyDescent="0.25">
      <c r="K94" s="10" t="s">
        <v>35</v>
      </c>
      <c r="L94" s="2">
        <f>COUNTIF(Scenario4[winner1-ability2],OracleAbilities2Scenario4[[#This Row],[ability]])+COUNTIF(Scenario4[loser1-ability2],OracleAbilities2Scenario4[[#This Row],[ability]])+COUNTIF(Scenario4[loser2-ability2],OracleAbilities2Scenario4[[#This Row],[ability]])+COUNTIF(Scenario4[loser3-ability2],OracleAbilities2Scenario4[[#This Row],[ability]])</f>
        <v>3</v>
      </c>
      <c r="M94" s="2">
        <f>COUNTIF(Scenario4[winner1-ability2],OracleAbilities2Scenario4[[#This Row],[ability]])</f>
        <v>1</v>
      </c>
      <c r="N94" s="13">
        <f>IF(SUM(OracleAbilities2Scenario4[[#This Row],[takes]]) &gt; 0,OracleAbilities2Scenario4[[#This Row],[takes]]/SUM(OracleAbilities2Scenario4[takes]),0)</f>
        <v>5.6603773584905662E-2</v>
      </c>
      <c r="O94" s="13">
        <f>IF(OracleAbilities2Scenario4[[#This Row],[takes]]&gt;0,OracleAbilities2Scenario4[[#This Row],[wins]]/OracleAbilities2Scenario4[[#This Row],[takes]],0)</f>
        <v>0.33333333333333331</v>
      </c>
      <c r="S94" s="18"/>
    </row>
    <row r="95" spans="11:19" x14ac:dyDescent="0.25">
      <c r="K95" s="17"/>
      <c r="N95" s="3"/>
      <c r="O95" s="3"/>
      <c r="S95" s="18"/>
    </row>
    <row r="96" spans="11:19" x14ac:dyDescent="0.25">
      <c r="K96" s="19" t="s">
        <v>109</v>
      </c>
      <c r="L96" s="8" t="s">
        <v>110</v>
      </c>
      <c r="M96" s="8" t="s">
        <v>79</v>
      </c>
      <c r="N96" s="9" t="s">
        <v>117</v>
      </c>
      <c r="O96" s="9" t="s">
        <v>118</v>
      </c>
      <c r="S96" s="18"/>
    </row>
    <row r="97" spans="11:19" x14ac:dyDescent="0.25">
      <c r="K97" s="1" t="s">
        <v>36</v>
      </c>
      <c r="L97" s="1">
        <f>COUNTIF(Scenario4[winner1-ability3],OracleAbilities3Scenario4[[#This Row],[ability]])+COUNTIF(Scenario4[loser1-ability3],OracleAbilities3Scenario4[[#This Row],[ability]])+COUNTIF(Scenario4[loser2-ability3],OracleAbilities3Scenario4[[#This Row],[ability]])+COUNTIF(Scenario4[loser3-ability3],OracleAbilities3Scenario4[[#This Row],[ability]])</f>
        <v>6</v>
      </c>
      <c r="M97" s="1">
        <f>COUNTIF(Scenario4[winner1-ability3],OracleAbilities3Scenario4[[#This Row],[ability]])</f>
        <v>3</v>
      </c>
      <c r="N97" s="14">
        <f>IF(SUM(OracleAbilities3Scenario4[[#This Row],[takes]]) &gt; 0,OracleAbilities3Scenario4[[#This Row],[takes]]/SUM(OracleAbilities3Scenario4[takes]),0)</f>
        <v>0.1276595744680851</v>
      </c>
      <c r="O97" s="14">
        <f>IF(OracleAbilities3Scenario4[[#This Row],[takes]]&gt;0,OracleAbilities3Scenario4[[#This Row],[wins]]/OracleAbilities3Scenario4[[#This Row],[takes]],0)</f>
        <v>0.5</v>
      </c>
      <c r="S97" s="18"/>
    </row>
    <row r="98" spans="11:19" x14ac:dyDescent="0.25">
      <c r="K98" s="2" t="s">
        <v>131</v>
      </c>
      <c r="L98" s="2">
        <f>COUNTIF(Scenario4[winner1-ability3],OracleAbilities3Scenario4[[#This Row],[ability]])+COUNTIF(Scenario4[loser1-ability3],OracleAbilities3Scenario4[[#This Row],[ability]])+COUNTIF(Scenario4[loser2-ability3],OracleAbilities3Scenario4[[#This Row],[ability]])+COUNTIF(Scenario4[loser3-ability3],OracleAbilities3Scenario4[[#This Row],[ability]])</f>
        <v>18</v>
      </c>
      <c r="M98" s="2">
        <f>COUNTIF(Scenario4[winner1-ability3],OracleAbilities3Scenario4[[#This Row],[ability]])</f>
        <v>5</v>
      </c>
      <c r="N98" s="12">
        <f>IF(SUM(OracleAbilities3Scenario4[[#This Row],[takes]]) &gt; 0,OracleAbilities3Scenario4[[#This Row],[takes]]/SUM(OracleAbilities3Scenario4[takes]),0)</f>
        <v>0.38297872340425532</v>
      </c>
      <c r="O98" s="12">
        <f>IF(OracleAbilities3Scenario4[[#This Row],[takes]]&gt;0,OracleAbilities3Scenario4[[#This Row],[wins]]/OracleAbilities3Scenario4[[#This Row],[takes]],0)</f>
        <v>0.27777777777777779</v>
      </c>
      <c r="S98" s="18"/>
    </row>
    <row r="99" spans="11:19" x14ac:dyDescent="0.25">
      <c r="K99" s="11" t="s">
        <v>132</v>
      </c>
      <c r="L99" s="1">
        <f>COUNTIF(Scenario4[winner1-ability3],OracleAbilities3Scenario4[[#This Row],[ability]])+COUNTIF(Scenario4[loser1-ability3],OracleAbilities3Scenario4[[#This Row],[ability]])+COUNTIF(Scenario4[loser2-ability3],OracleAbilities3Scenario4[[#This Row],[ability]])+COUNTIF(Scenario4[loser3-ability3],OracleAbilities3Scenario4[[#This Row],[ability]])</f>
        <v>23</v>
      </c>
      <c r="M99" s="1">
        <f>COUNTIF(Scenario4[winner1-ability3],OracleAbilities3Scenario4[[#This Row],[ability]])</f>
        <v>14</v>
      </c>
      <c r="N99" s="15">
        <f>IF(SUM(OracleAbilities3Scenario4[[#This Row],[takes]]) &gt; 0,OracleAbilities3Scenario4[[#This Row],[takes]]/SUM(OracleAbilities3Scenario4[takes]),0)</f>
        <v>0.48936170212765956</v>
      </c>
      <c r="O99" s="15">
        <f>IF(OracleAbilities3Scenario4[[#This Row],[takes]]&gt;0,OracleAbilities3Scenario4[[#This Row],[wins]]/OracleAbilities3Scenario4[[#This Row],[takes]],0)</f>
        <v>0.60869565217391308</v>
      </c>
      <c r="S99" s="18"/>
    </row>
    <row r="100" spans="11:19" x14ac:dyDescent="0.25">
      <c r="K100" s="17"/>
      <c r="N100" s="3"/>
      <c r="O100" s="3"/>
      <c r="S100" s="18"/>
    </row>
    <row r="101" spans="11:19" x14ac:dyDescent="0.25">
      <c r="K101" s="19" t="s">
        <v>109</v>
      </c>
      <c r="L101" s="8" t="s">
        <v>110</v>
      </c>
      <c r="M101" s="8" t="s">
        <v>79</v>
      </c>
      <c r="N101" s="9" t="s">
        <v>117</v>
      </c>
      <c r="O101" s="9" t="s">
        <v>118</v>
      </c>
      <c r="S101" s="18"/>
    </row>
    <row r="102" spans="11:19" x14ac:dyDescent="0.25">
      <c r="K102" s="2" t="s">
        <v>133</v>
      </c>
      <c r="L102" s="2">
        <f>COUNTIF(Scenario4[winner1-ability4],OracleAbilities4Scenario4[[#This Row],[ability]])+COUNTIF(Scenario4[loser1-ability4],OracleAbilities4Scenario4[[#This Row],[ability]])+COUNTIF(Scenario4[loser2-ability4],OracleAbilities4Scenario4[[#This Row],[ability]])+COUNTIF(Scenario4[loser3-ability4],OracleAbilities4Scenario4[[#This Row],[ability]])</f>
        <v>18</v>
      </c>
      <c r="M102" s="2">
        <f>COUNTIF(Scenario4[winner1-ability4],OracleAbilities4Scenario4[[#This Row],[ability]])</f>
        <v>9</v>
      </c>
      <c r="N102" s="12">
        <f>IF(SUM(OracleAbilities4Scenario4[[#This Row],[takes]]) &gt; 0,OracleAbilities4Scenario4[[#This Row],[takes]]/SUM(OracleAbilities4Scenario4[takes]),0)</f>
        <v>0.45</v>
      </c>
      <c r="O102" s="12">
        <f>IF(OracleAbilities4Scenario4[[#This Row],[takes]]&gt;0,OracleAbilities4Scenario4[[#This Row],[wins]]/OracleAbilities4Scenario4[[#This Row],[takes]],0)</f>
        <v>0.5</v>
      </c>
      <c r="S102" s="18"/>
    </row>
    <row r="103" spans="11:19" x14ac:dyDescent="0.25">
      <c r="K103" s="2" t="s">
        <v>37</v>
      </c>
      <c r="L103" s="2">
        <f>COUNTIF(Scenario4[winner1-ability4],OracleAbilities4Scenario4[[#This Row],[ability]])+COUNTIF(Scenario4[loser1-ability4],OracleAbilities4Scenario4[[#This Row],[ability]])+COUNTIF(Scenario4[loser2-ability4],OracleAbilities4Scenario4[[#This Row],[ability]])+COUNTIF(Scenario4[loser3-ability4],OracleAbilities4Scenario4[[#This Row],[ability]])</f>
        <v>21</v>
      </c>
      <c r="M103" s="2">
        <f>COUNTIF(Scenario4[winner1-ability4],OracleAbilities4Scenario4[[#This Row],[ability]])</f>
        <v>10</v>
      </c>
      <c r="N103" s="12">
        <f>IF(SUM(OracleAbilities4Scenario4[[#This Row],[takes]]) &gt; 0,OracleAbilities4Scenario4[[#This Row],[takes]]/SUM(OracleAbilities4Scenario4[takes]),0)</f>
        <v>0.52500000000000002</v>
      </c>
      <c r="O103" s="12">
        <f>IF(OracleAbilities4Scenario4[[#This Row],[takes]]&gt;0,OracleAbilities4Scenario4[[#This Row],[wins]]/OracleAbilities4Scenario4[[#This Row],[takes]],0)</f>
        <v>0.47619047619047616</v>
      </c>
      <c r="S103" s="18"/>
    </row>
    <row r="104" spans="11:19" ht="15.75" thickBot="1" x14ac:dyDescent="0.3">
      <c r="K104" s="10" t="s">
        <v>134</v>
      </c>
      <c r="L104" s="2">
        <f>COUNTIF(Scenario4[winner1-ability4],OracleAbilities4Scenario4[[#This Row],[ability]])+COUNTIF(Scenario4[loser1-ability4],OracleAbilities4Scenario4[[#This Row],[ability]])+COUNTIF(Scenario4[loser2-ability4],OracleAbilities4Scenario4[[#This Row],[ability]])+COUNTIF(Scenario4[loser3-ability4],OracleAbilities4Scenario4[[#This Row],[ability]])</f>
        <v>1</v>
      </c>
      <c r="M104" s="2">
        <f>COUNTIF(Scenario4[winner1-ability4],OracleAbilities4Scenario4[[#This Row],[ability]])</f>
        <v>1</v>
      </c>
      <c r="N104" s="26">
        <f>IF(SUM(OracleAbilities4Scenario4[[#This Row],[takes]]) &gt; 0,OracleAbilities4Scenario4[[#This Row],[takes]]/SUM(OracleAbilities4Scenario4[takes]),0)</f>
        <v>2.5000000000000001E-2</v>
      </c>
      <c r="O104" s="26">
        <f>IF(OracleAbilities4Scenario4[[#This Row],[takes]]&gt;0,OracleAbilities4Scenario4[[#This Row],[wins]]/OracleAbilities4Scenario4[[#This Row],[takes]],0)</f>
        <v>1</v>
      </c>
      <c r="P104" s="27"/>
      <c r="Q104" s="27"/>
      <c r="R104" s="27"/>
      <c r="S104" s="28"/>
    </row>
    <row r="105" spans="11:19" ht="15.75" thickBot="1" x14ac:dyDescent="0.3"/>
    <row r="106" spans="11:19" ht="15.75" thickBot="1" x14ac:dyDescent="0.3">
      <c r="K106" s="36" t="s">
        <v>220</v>
      </c>
      <c r="L106" s="37"/>
      <c r="M106" s="37"/>
      <c r="N106" s="37"/>
      <c r="O106" s="37"/>
      <c r="P106" s="37"/>
      <c r="Q106" s="37"/>
      <c r="R106" s="37"/>
      <c r="S106" s="38"/>
    </row>
    <row r="107" spans="11:19" x14ac:dyDescent="0.25">
      <c r="K107" s="17" t="s">
        <v>109</v>
      </c>
      <c r="L107" t="s">
        <v>110</v>
      </c>
      <c r="M107" t="s">
        <v>79</v>
      </c>
      <c r="N107" s="3" t="s">
        <v>117</v>
      </c>
      <c r="O107" s="3" t="s">
        <v>118</v>
      </c>
      <c r="Q107" t="s">
        <v>161</v>
      </c>
      <c r="R107" t="s">
        <v>167</v>
      </c>
      <c r="S107" s="18" t="s">
        <v>164</v>
      </c>
    </row>
    <row r="108" spans="11:19" x14ac:dyDescent="0.25">
      <c r="K108" t="s">
        <v>46</v>
      </c>
      <c r="L108">
        <f>COUNTIF(Scenario5[winner1-ability1],OracleAbilities1Scenario5[[#This Row],[ability]])+COUNTIF(Scenario5[winner2-ability1],OracleAbilities1Scenario5[[#This Row],[ability]])+COUNTIF(Scenario5[loser1-ability1],OracleAbilities1Scenario5[[#This Row],[ability]])+COUNTIF(Scenario5[loser2-ability1],OracleAbilities1Scenario5[[#This Row],[ability]])</f>
        <v>48</v>
      </c>
      <c r="M108">
        <f>COUNTIF(Scenario5[winner1-ability1],OracleAbilities1Scenario5[[#This Row],[ability]])+COUNTIF(Scenario5[winner2-ability1],OracleAbilities1Scenario5[[#This Row],[ability]])</f>
        <v>18</v>
      </c>
      <c r="N108" s="3">
        <f>IF(SUM(OracleAbilities1Scenario5[[#This Row],[takes]]) &gt; 0,OracleAbilities1Scenario5[[#This Row],[takes]]/SUM(OracleAbilities1Scenario5[takes]),0)</f>
        <v>0.2857142857142857</v>
      </c>
      <c r="O108" s="3">
        <f>IF(OracleAbilities1Scenario5[[#This Row],[takes]]&gt;0,OracleAbilities1Scenario5[[#This Row],[wins]]/OracleAbilities1Scenario5[[#This Row],[takes]],0)</f>
        <v>0.375</v>
      </c>
      <c r="Q108">
        <v>1</v>
      </c>
      <c r="R108">
        <f>COUNTIFS(Scenario5[winner1],"oracle",Scenario5[winner1-pw],OracleEquipScenario5[[#This Row],[level]])+COUNTIFS(Scenario5[winner2],"oracle",Scenario5[winner2-pw],OracleEquipScenario5[[#This Row],[level]])+COUNTIFS(Scenario5[loser1],"oracle",Scenario5[loser1-pw],OracleEquipScenario5[[#This Row],[level]])+COUNTIFS(Scenario5[loser2],"oracle",Scenario5[loser2-pw],OracleEquipScenario5[[#This Row],[level]])</f>
        <v>102</v>
      </c>
      <c r="S108" s="18">
        <f>COUNTIFS(Scenario5[winner1],"oracle",Scenario5[winner1-cp],OracleEquipScenario5[[#This Row],[level]])+COUNTIFS(Scenario5[winner2],"oracle",Scenario5[winner2-cp],OracleEquipScenario5[[#This Row],[level]])+COUNTIFS(Scenario5[loser1],"oracle",Scenario5[loser1-cp],OracleEquipScenario5[[#This Row],[level]])+COUNTIFS(Scenario5[loser2],"oracle",Scenario5[loser2-cp],OracleEquipScenario5[[#This Row],[level]])</f>
        <v>51</v>
      </c>
    </row>
    <row r="109" spans="11:19" x14ac:dyDescent="0.25">
      <c r="K109" t="s">
        <v>65</v>
      </c>
      <c r="L109">
        <f>COUNTIF(Scenario5[winner1-ability1],OracleAbilities1Scenario5[[#This Row],[ability]])+COUNTIF(Scenario5[winner2-ability1],OracleAbilities1Scenario5[[#This Row],[ability]])+COUNTIF(Scenario5[loser1-ability1],OracleAbilities1Scenario5[[#This Row],[ability]])+COUNTIF(Scenario5[loser2-ability1],OracleAbilities1Scenario5[[#This Row],[ability]])</f>
        <v>13</v>
      </c>
      <c r="M109">
        <f>COUNTIF(Scenario5[winner1-ability1],OracleAbilities1Scenario5[[#This Row],[ability]])+COUNTIF(Scenario5[winner2-ability1],OracleAbilities1Scenario5[[#This Row],[ability]])</f>
        <v>6</v>
      </c>
      <c r="N109" s="3">
        <f>IF(SUM(OracleAbilities1Scenario5[[#This Row],[takes]]) &gt; 0,OracleAbilities1Scenario5[[#This Row],[takes]]/SUM(OracleAbilities1Scenario5[takes]),0)</f>
        <v>7.7380952380952384E-2</v>
      </c>
      <c r="O109" s="3">
        <f>IF(OracleAbilities1Scenario5[[#This Row],[takes]]&gt;0,OracleAbilities1Scenario5[[#This Row],[wins]]/OracleAbilities1Scenario5[[#This Row],[takes]],0)</f>
        <v>0.46153846153846156</v>
      </c>
      <c r="Q109">
        <v>2</v>
      </c>
      <c r="R109">
        <f>COUNTIFS(Scenario5[winner1],"oracle",Scenario5[winner1-pw],OracleEquipScenario5[[#This Row],[level]])+COUNTIFS(Scenario5[winner2],"oracle",Scenario5[winner2-pw],OracleEquipScenario5[[#This Row],[level]])+COUNTIFS(Scenario5[loser1],"oracle",Scenario5[loser1-pw],OracleEquipScenario5[[#This Row],[level]])+COUNTIFS(Scenario5[loser2],"oracle",Scenario5[loser2-pw],OracleEquipScenario5[[#This Row],[level]])</f>
        <v>49</v>
      </c>
      <c r="S109" s="18">
        <f>COUNTIFS(Scenario5[winner1],"oracle",Scenario5[winner1-cp],OracleEquipScenario5[[#This Row],[level]])+COUNTIFS(Scenario5[winner2],"oracle",Scenario5[winner2-cp],OracleEquipScenario5[[#This Row],[level]])+COUNTIFS(Scenario5[loser1],"oracle",Scenario5[loser1-cp],OracleEquipScenario5[[#This Row],[level]])+COUNTIFS(Scenario5[loser2],"oracle",Scenario5[loser2-cp],OracleEquipScenario5[[#This Row],[level]])</f>
        <v>81</v>
      </c>
    </row>
    <row r="110" spans="11:19" x14ac:dyDescent="0.25">
      <c r="K110" t="s">
        <v>34</v>
      </c>
      <c r="L110">
        <f>COUNTIF(Scenario5[winner1-ability1],OracleAbilities1Scenario5[[#This Row],[ability]])+COUNTIF(Scenario5[winner2-ability1],OracleAbilities1Scenario5[[#This Row],[ability]])+COUNTIF(Scenario5[loser1-ability1],OracleAbilities1Scenario5[[#This Row],[ability]])+COUNTIF(Scenario5[loser2-ability1],OracleAbilities1Scenario5[[#This Row],[ability]])</f>
        <v>107</v>
      </c>
      <c r="M110">
        <f>COUNTIF(Scenario5[winner1-ability1],OracleAbilities1Scenario5[[#This Row],[ability]])+COUNTIF(Scenario5[winner2-ability1],OracleAbilities1Scenario5[[#This Row],[ability]])</f>
        <v>37</v>
      </c>
      <c r="N110" s="3">
        <f>IF(SUM(OracleAbilities1Scenario5[[#This Row],[takes]]) &gt; 0,OracleAbilities1Scenario5[[#This Row],[takes]]/SUM(OracleAbilities1Scenario5[takes]),0)</f>
        <v>0.63690476190476186</v>
      </c>
      <c r="O110" s="3">
        <f>IF(OracleAbilities1Scenario5[[#This Row],[takes]]&gt;0,OracleAbilities1Scenario5[[#This Row],[wins]]/OracleAbilities1Scenario5[[#This Row],[takes]],0)</f>
        <v>0.34579439252336447</v>
      </c>
      <c r="Q110">
        <v>3</v>
      </c>
      <c r="R110">
        <f>COUNTIFS(Scenario5[winner1],"oracle",Scenario5[winner1-pw],OracleEquipScenario5[[#This Row],[level]])+COUNTIFS(Scenario5[winner2],"oracle",Scenario5[winner2-pw],OracleEquipScenario5[[#This Row],[level]])+COUNTIFS(Scenario5[loser1],"oracle",Scenario5[loser1-pw],OracleEquipScenario5[[#This Row],[level]])+COUNTIFS(Scenario5[loser2],"oracle",Scenario5[loser2-pw],OracleEquipScenario5[[#This Row],[level]])</f>
        <v>17</v>
      </c>
      <c r="S110" s="18">
        <f>COUNTIFS(Scenario5[winner1],"oracle",Scenario5[winner1-cp],OracleEquipScenario5[[#This Row],[level]])+COUNTIFS(Scenario5[winner2],"oracle",Scenario5[winner2-cp],OracleEquipScenario5[[#This Row],[level]])+COUNTIFS(Scenario5[loser1],"oracle",Scenario5[loser1-cp],OracleEquipScenario5[[#This Row],[level]])+COUNTIFS(Scenario5[loser2],"oracle",Scenario5[loser2-cp],OracleEquipScenario5[[#This Row],[level]])</f>
        <v>36</v>
      </c>
    </row>
    <row r="111" spans="11:19" x14ac:dyDescent="0.25">
      <c r="K111" s="17"/>
      <c r="N111" s="3"/>
      <c r="O111" s="3"/>
      <c r="S111" s="18"/>
    </row>
    <row r="112" spans="11:19" x14ac:dyDescent="0.25">
      <c r="K112" s="19" t="s">
        <v>109</v>
      </c>
      <c r="L112" s="8" t="s">
        <v>110</v>
      </c>
      <c r="M112" s="8" t="s">
        <v>79</v>
      </c>
      <c r="N112" s="9" t="s">
        <v>117</v>
      </c>
      <c r="O112" s="9" t="s">
        <v>118</v>
      </c>
      <c r="S112" s="18"/>
    </row>
    <row r="113" spans="11:19" x14ac:dyDescent="0.25">
      <c r="K113" s="2" t="s">
        <v>66</v>
      </c>
      <c r="L113" s="2">
        <f>COUNTIF(Scenario5[winner1-ability2],OracleAbilities2Scenario5[[#This Row],[ability]])+COUNTIF(Scenario5[winner2-ability2],OracleAbilities2Scenario5[[#This Row],[ability]])+COUNTIF(Scenario5[loser1-ability2],OracleAbilities2Scenario5[[#This Row],[ability]])+COUNTIF(Scenario5[loser2-ability2],OracleAbilities2Scenario5[[#This Row],[ability]])</f>
        <v>10</v>
      </c>
      <c r="M113" s="2">
        <f>COUNTIF(Scenario5[winner1-ability2],OracleAbilities2Scenario5[[#This Row],[ability]])+COUNTIF(Scenario5[winner2-ability2],OracleAbilities2Scenario5[[#This Row],[ability]])</f>
        <v>8</v>
      </c>
      <c r="N113" s="12">
        <f>IF(SUM(OracleAbilities2Scenario5[[#This Row],[takes]]) &gt; 0,OracleAbilities2Scenario5[[#This Row],[takes]]/SUM(OracleAbilities2Scenario5[takes]),0)</f>
        <v>0.22222222222222221</v>
      </c>
      <c r="O113" s="12">
        <f>IF(OracleAbilities2Scenario5[[#This Row],[takes]]&gt;0,OracleAbilities2Scenario5[[#This Row],[wins]]/OracleAbilities2Scenario5[[#This Row],[takes]],0)</f>
        <v>0.8</v>
      </c>
      <c r="S113" s="18"/>
    </row>
    <row r="114" spans="11:19" x14ac:dyDescent="0.25">
      <c r="K114" t="s">
        <v>130</v>
      </c>
      <c r="L114" s="2">
        <f>COUNTIF(Scenario5[winner1-ability2],OracleAbilities2Scenario5[[#This Row],[ability]])+COUNTIF(Scenario5[winner2-ability2],OracleAbilities2Scenario5[[#This Row],[ability]])+COUNTIF(Scenario5[loser1-ability2],OracleAbilities2Scenario5[[#This Row],[ability]])+COUNTIF(Scenario5[loser2-ability2],OracleAbilities2Scenario5[[#This Row],[ability]])</f>
        <v>19</v>
      </c>
      <c r="M114" s="2">
        <f>COUNTIF(Scenario5[winner1-ability2],OracleAbilities2Scenario5[[#This Row],[ability]])+COUNTIF(Scenario5[winner2-ability2],OracleAbilities2Scenario5[[#This Row],[ability]])</f>
        <v>11</v>
      </c>
      <c r="N114" s="3">
        <f>IF(SUM(OracleAbilities2Scenario5[[#This Row],[takes]]) &gt; 0,OracleAbilities2Scenario5[[#This Row],[takes]]/SUM(OracleAbilities2Scenario5[takes]),0)</f>
        <v>0.42222222222222222</v>
      </c>
      <c r="O114" s="3">
        <f>IF(OracleAbilities2Scenario5[[#This Row],[takes]]&gt;0,OracleAbilities2Scenario5[[#This Row],[wins]]/OracleAbilities2Scenario5[[#This Row],[takes]],0)</f>
        <v>0.57894736842105265</v>
      </c>
      <c r="S114" s="18"/>
    </row>
    <row r="115" spans="11:19" x14ac:dyDescent="0.25">
      <c r="K115" s="10" t="s">
        <v>35</v>
      </c>
      <c r="L115" s="2">
        <f>COUNTIF(Scenario5[winner1-ability2],OracleAbilities2Scenario5[[#This Row],[ability]])+COUNTIF(Scenario5[winner2-ability2],OracleAbilities2Scenario5[[#This Row],[ability]])+COUNTIF(Scenario5[loser1-ability2],OracleAbilities2Scenario5[[#This Row],[ability]])+COUNTIF(Scenario5[loser2-ability2],OracleAbilities2Scenario5[[#This Row],[ability]])</f>
        <v>16</v>
      </c>
      <c r="M115" s="2">
        <f>COUNTIF(Scenario5[winner1-ability2],OracleAbilities2Scenario5[[#This Row],[ability]])+COUNTIF(Scenario5[winner2-ability2],OracleAbilities2Scenario5[[#This Row],[ability]])</f>
        <v>10</v>
      </c>
      <c r="N115" s="13">
        <f>IF(SUM(OracleAbilities2Scenario5[[#This Row],[takes]]) &gt; 0,OracleAbilities2Scenario5[[#This Row],[takes]]/SUM(OracleAbilities2Scenario5[takes]),0)</f>
        <v>0.35555555555555557</v>
      </c>
      <c r="O115" s="13">
        <f>IF(OracleAbilities2Scenario5[[#This Row],[takes]]&gt;0,OracleAbilities2Scenario5[[#This Row],[wins]]/OracleAbilities2Scenario5[[#This Row],[takes]],0)</f>
        <v>0.625</v>
      </c>
      <c r="S115" s="18"/>
    </row>
    <row r="116" spans="11:19" x14ac:dyDescent="0.25">
      <c r="K116" s="17"/>
      <c r="N116" s="3"/>
      <c r="O116" s="3"/>
      <c r="S116" s="18"/>
    </row>
    <row r="117" spans="11:19" x14ac:dyDescent="0.25">
      <c r="K117" s="19" t="s">
        <v>109</v>
      </c>
      <c r="L117" s="8" t="s">
        <v>110</v>
      </c>
      <c r="M117" s="8" t="s">
        <v>79</v>
      </c>
      <c r="N117" s="9" t="s">
        <v>117</v>
      </c>
      <c r="O117" s="9" t="s">
        <v>118</v>
      </c>
      <c r="S117" s="18"/>
    </row>
    <row r="118" spans="11:19" x14ac:dyDescent="0.25">
      <c r="K118" s="1" t="s">
        <v>36</v>
      </c>
      <c r="L118" s="1">
        <f>COUNTIF(Scenario5[winner1-ability3],OracleAbilities3Scenario5[[#This Row],[ability]])+COUNTIF(Scenario5[winner2-ability3],OracleAbilities3Scenario5[[#This Row],[ability]])+COUNTIF(Scenario5[loser1-ability3],OracleAbilities3Scenario5[[#This Row],[ability]])+COUNTIF(Scenario5[loser2-ability3],OracleAbilities3Scenario5[[#This Row],[ability]])</f>
        <v>5</v>
      </c>
      <c r="M118" s="1">
        <f>COUNTIF(Scenario5[winner1-ability3],OracleAbilities3Scenario5[[#This Row],[ability]])+COUNTIF(Scenario5[winner2-ability3],OracleAbilities3Scenario5[[#This Row],[ability]])</f>
        <v>4</v>
      </c>
      <c r="N118" s="14">
        <f>IF(SUM(OracleAbilities3Scenario5[[#This Row],[takes]]) &gt; 0,OracleAbilities3Scenario5[[#This Row],[takes]]/SUM(OracleAbilities3Scenario5[takes]),0)</f>
        <v>0.23809523809523808</v>
      </c>
      <c r="O118" s="14">
        <f>IF(OracleAbilities3Scenario5[[#This Row],[takes]]&gt;0,OracleAbilities3Scenario5[[#This Row],[wins]]/OracleAbilities3Scenario5[[#This Row],[takes]],0)</f>
        <v>0.8</v>
      </c>
      <c r="S118" s="18"/>
    </row>
    <row r="119" spans="11:19" x14ac:dyDescent="0.25">
      <c r="K119" s="2" t="s">
        <v>131</v>
      </c>
      <c r="L119" s="2">
        <f>COUNTIF(Scenario5[winner1-ability3],OracleAbilities3Scenario5[[#This Row],[ability]])+COUNTIF(Scenario5[winner2-ability3],OracleAbilities3Scenario5[[#This Row],[ability]])+COUNTIF(Scenario5[loser1-ability3],OracleAbilities3Scenario5[[#This Row],[ability]])+COUNTIF(Scenario5[loser2-ability3],OracleAbilities3Scenario5[[#This Row],[ability]])</f>
        <v>4</v>
      </c>
      <c r="M119" s="2">
        <f>COUNTIF(Scenario5[winner1-ability3],OracleAbilities3Scenario5[[#This Row],[ability]])+COUNTIF(Scenario5[winner2-ability3],OracleAbilities3Scenario5[[#This Row],[ability]])</f>
        <v>4</v>
      </c>
      <c r="N119" s="12">
        <f>IF(SUM(OracleAbilities3Scenario5[[#This Row],[takes]]) &gt; 0,OracleAbilities3Scenario5[[#This Row],[takes]]/SUM(OracleAbilities3Scenario5[takes]),0)</f>
        <v>0.19047619047619047</v>
      </c>
      <c r="O119" s="12">
        <f>IF(OracleAbilities3Scenario5[[#This Row],[takes]]&gt;0,OracleAbilities3Scenario5[[#This Row],[wins]]/OracleAbilities3Scenario5[[#This Row],[takes]],0)</f>
        <v>1</v>
      </c>
      <c r="S119" s="18"/>
    </row>
    <row r="120" spans="11:19" x14ac:dyDescent="0.25">
      <c r="K120" s="11" t="s">
        <v>132</v>
      </c>
      <c r="L120" s="1">
        <f>COUNTIF(Scenario5[winner1-ability3],OracleAbilities3Scenario5[[#This Row],[ability]])+COUNTIF(Scenario5[winner2-ability3],OracleAbilities3Scenario5[[#This Row],[ability]])+COUNTIF(Scenario5[loser1-ability3],OracleAbilities3Scenario5[[#This Row],[ability]])+COUNTIF(Scenario5[loser2-ability3],OracleAbilities3Scenario5[[#This Row],[ability]])</f>
        <v>12</v>
      </c>
      <c r="M120" s="1">
        <f>COUNTIF(Scenario5[winner1-ability3],OracleAbilities3Scenario5[[#This Row],[ability]])+COUNTIF(Scenario5[winner2-ability3],OracleAbilities3Scenario5[[#This Row],[ability]])</f>
        <v>11</v>
      </c>
      <c r="N120" s="15">
        <f>IF(SUM(OracleAbilities3Scenario5[[#This Row],[takes]]) &gt; 0,OracleAbilities3Scenario5[[#This Row],[takes]]/SUM(OracleAbilities3Scenario5[takes]),0)</f>
        <v>0.5714285714285714</v>
      </c>
      <c r="O120" s="15">
        <f>IF(OracleAbilities3Scenario5[[#This Row],[takes]]&gt;0,OracleAbilities3Scenario5[[#This Row],[wins]]/OracleAbilities3Scenario5[[#This Row],[takes]],0)</f>
        <v>0.91666666666666663</v>
      </c>
      <c r="S120" s="18"/>
    </row>
    <row r="121" spans="11:19" x14ac:dyDescent="0.25">
      <c r="K121" s="17"/>
      <c r="N121" s="3"/>
      <c r="O121" s="3"/>
      <c r="S121" s="18"/>
    </row>
    <row r="122" spans="11:19" x14ac:dyDescent="0.25">
      <c r="K122" s="19" t="s">
        <v>109</v>
      </c>
      <c r="L122" s="8" t="s">
        <v>110</v>
      </c>
      <c r="M122" s="8" t="s">
        <v>79</v>
      </c>
      <c r="N122" s="9" t="s">
        <v>117</v>
      </c>
      <c r="O122" s="9" t="s">
        <v>118</v>
      </c>
      <c r="S122" s="18"/>
    </row>
    <row r="123" spans="11:19" x14ac:dyDescent="0.25">
      <c r="K123" s="2" t="s">
        <v>133</v>
      </c>
      <c r="L123" s="2">
        <f>COUNTIF(Scenario5[winner1-ability4],OracleAbilities4Scenario5[[#This Row],[ability]])+COUNTIF(Scenario5[winner2-ability4],OracleAbilities4Scenario5[[#This Row],[ability]])+COUNTIF(Scenario5[loser1-ability4],OracleAbilities4Scenario5[[#This Row],[ability]])+COUNTIF(Scenario5[loser2-ability4],OracleAbilities4Scenario5[[#This Row],[ability]])</f>
        <v>5</v>
      </c>
      <c r="M123" s="2">
        <f>COUNTIF(Scenario5[winner1-ability4],OracleAbilities4Scenario5[[#This Row],[ability]])+COUNTIF(Scenario5[winner2-ability4],OracleAbilities4Scenario5[[#This Row],[ability]])</f>
        <v>4</v>
      </c>
      <c r="N123" s="12">
        <f>IF(SUM(OracleAbilities4Scenario5[[#This Row],[takes]]) &gt; 0,OracleAbilities4Scenario5[[#This Row],[takes]]/SUM(OracleAbilities4Scenario5[takes]),0)</f>
        <v>0.29411764705882354</v>
      </c>
      <c r="O123" s="12">
        <f>IF(OracleAbilities4Scenario5[[#This Row],[takes]]&gt;0,OracleAbilities4Scenario5[[#This Row],[wins]]/OracleAbilities4Scenario5[[#This Row],[takes]],0)</f>
        <v>0.8</v>
      </c>
      <c r="S123" s="18"/>
    </row>
    <row r="124" spans="11:19" x14ac:dyDescent="0.25">
      <c r="K124" s="2" t="s">
        <v>37</v>
      </c>
      <c r="L124" s="2">
        <f>COUNTIF(Scenario5[winner1-ability4],OracleAbilities4Scenario5[[#This Row],[ability]])+COUNTIF(Scenario5[winner2-ability4],OracleAbilities4Scenario5[[#This Row],[ability]])+COUNTIF(Scenario5[loser1-ability4],OracleAbilities4Scenario5[[#This Row],[ability]])+COUNTIF(Scenario5[loser2-ability4],OracleAbilities4Scenario5[[#This Row],[ability]])</f>
        <v>12</v>
      </c>
      <c r="M124" s="2">
        <f>COUNTIF(Scenario5[winner1-ability4],OracleAbilities4Scenario5[[#This Row],[ability]])+COUNTIF(Scenario5[winner2-ability4],OracleAbilities4Scenario5[[#This Row],[ability]])</f>
        <v>11</v>
      </c>
      <c r="N124" s="12">
        <f>IF(SUM(OracleAbilities4Scenario5[[#This Row],[takes]]) &gt; 0,OracleAbilities4Scenario5[[#This Row],[takes]]/SUM(OracleAbilities4Scenario5[takes]),0)</f>
        <v>0.70588235294117652</v>
      </c>
      <c r="O124" s="12">
        <f>IF(OracleAbilities4Scenario5[[#This Row],[takes]]&gt;0,OracleAbilities4Scenario5[[#This Row],[wins]]/OracleAbilities4Scenario5[[#This Row],[takes]],0)</f>
        <v>0.91666666666666663</v>
      </c>
      <c r="S124" s="18"/>
    </row>
    <row r="125" spans="11:19" ht="15.75" thickBot="1" x14ac:dyDescent="0.3">
      <c r="K125" s="10" t="s">
        <v>134</v>
      </c>
      <c r="L125" s="2">
        <f>COUNTIF(Scenario5[winner1-ability4],OracleAbilities4Scenario5[[#This Row],[ability]])+COUNTIF(Scenario5[winner2-ability4],OracleAbilities4Scenario5[[#This Row],[ability]])+COUNTIF(Scenario5[loser1-ability4],OracleAbilities4Scenario5[[#This Row],[ability]])+COUNTIF(Scenario5[loser2-ability4],OracleAbilities4Scenario5[[#This Row],[ability]])</f>
        <v>0</v>
      </c>
      <c r="M125" s="2">
        <f>COUNTIF(Scenario5[winner1-ability4],OracleAbilities4Scenario5[[#This Row],[ability]])+COUNTIF(Scenario5[winner2-ability4],OracleAbilities4Scenario5[[#This Row],[ability]])</f>
        <v>0</v>
      </c>
      <c r="N125" s="26">
        <f>IF(SUM(OracleAbilities4Scenario5[[#This Row],[takes]]) &gt; 0,OracleAbilities4Scenario5[[#This Row],[takes]]/SUM(OracleAbilities4Scenario5[takes]),0)</f>
        <v>0</v>
      </c>
      <c r="O125" s="26">
        <f>IF(OracleAbilities4Scenario5[[#This Row],[takes]]&gt;0,OracleAbilities4Scenario5[[#This Row],[wins]]/OracleAbilities4Scenario5[[#This Row],[takes]],0)</f>
        <v>0</v>
      </c>
      <c r="P125" s="27"/>
      <c r="Q125" s="27"/>
      <c r="R125" s="27"/>
      <c r="S125" s="28"/>
    </row>
  </sheetData>
  <mergeCells count="7">
    <mergeCell ref="K106:S106"/>
    <mergeCell ref="K85:S85"/>
    <mergeCell ref="A1:I1"/>
    <mergeCell ref="K1:S1"/>
    <mergeCell ref="K22:S22"/>
    <mergeCell ref="K43:S43"/>
    <mergeCell ref="K64:S64"/>
  </mergeCells>
  <pageMargins left="0.7" right="0.7" top="0.75" bottom="0.75" header="0.3" footer="0.3"/>
  <pageSetup paperSize="9" orientation="portrait" r:id="rId1"/>
  <tableParts count="3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02F3-4A68-4909-A558-BC7D8CBD8DBC}">
  <dimension ref="A1:V125"/>
  <sheetViews>
    <sheetView workbookViewId="0">
      <selection activeCell="E26" sqref="E26"/>
    </sheetView>
  </sheetViews>
  <sheetFormatPr defaultRowHeight="15" x14ac:dyDescent="0.25"/>
  <cols>
    <col min="1" max="1" width="19.42578125" bestFit="1" customWidth="1"/>
    <col min="2" max="2" width="8" bestFit="1" customWidth="1"/>
    <col min="3" max="3" width="7.42578125" bestFit="1" customWidth="1"/>
    <col min="4" max="4" width="18.42578125" style="3" bestFit="1" customWidth="1"/>
    <col min="5" max="5" width="15.5703125" style="3" bestFit="1" customWidth="1"/>
    <col min="6" max="6" width="3.5703125" customWidth="1"/>
    <col min="7" max="7" width="7.7109375" bestFit="1" customWidth="1"/>
    <col min="8" max="8" width="9.7109375" bestFit="1" customWidth="1"/>
    <col min="9" max="9" width="12.85546875" bestFit="1" customWidth="1"/>
    <col min="10" max="10" width="3.85546875" customWidth="1"/>
    <col min="11" max="11" width="19.42578125" bestFit="1" customWidth="1"/>
    <col min="12" max="12" width="8" bestFit="1" customWidth="1"/>
    <col min="13" max="13" width="7.42578125" bestFit="1" customWidth="1"/>
    <col min="14" max="14" width="18.42578125" bestFit="1" customWidth="1"/>
    <col min="15" max="15" width="15.5703125" bestFit="1" customWidth="1"/>
    <col min="16" max="16" width="4" customWidth="1"/>
    <col min="17" max="17" width="7.7109375" bestFit="1" customWidth="1"/>
    <col min="18" max="18" width="9.7109375" bestFit="1" customWidth="1"/>
    <col min="19" max="19" width="12.85546875" bestFit="1" customWidth="1"/>
    <col min="20" max="20" width="11.85546875" bestFit="1" customWidth="1"/>
    <col min="21" max="21" width="16.85546875" bestFit="1" customWidth="1"/>
    <col min="22" max="22" width="7.140625" bestFit="1" customWidth="1"/>
  </cols>
  <sheetData>
    <row r="1" spans="1:22" ht="15.75" thickBot="1" x14ac:dyDescent="0.3">
      <c r="A1" s="36" t="s">
        <v>181</v>
      </c>
      <c r="B1" s="37"/>
      <c r="C1" s="37"/>
      <c r="D1" s="37"/>
      <c r="E1" s="37"/>
      <c r="F1" s="37"/>
      <c r="G1" s="37"/>
      <c r="H1" s="37"/>
      <c r="I1" s="38"/>
      <c r="K1" s="36" t="s">
        <v>182</v>
      </c>
      <c r="L1" s="37"/>
      <c r="M1" s="37"/>
      <c r="N1" s="37"/>
      <c r="O1" s="37"/>
      <c r="P1" s="37"/>
      <c r="Q1" s="37"/>
      <c r="R1" s="37"/>
      <c r="S1" s="38"/>
      <c r="T1" s="29"/>
      <c r="U1" t="s">
        <v>174</v>
      </c>
      <c r="V1" s="3" t="s">
        <v>175</v>
      </c>
    </row>
    <row r="2" spans="1:22" x14ac:dyDescent="0.25">
      <c r="A2" s="17" t="s">
        <v>109</v>
      </c>
      <c r="B2" t="s">
        <v>110</v>
      </c>
      <c r="C2" t="s">
        <v>79</v>
      </c>
      <c r="D2" s="3" t="s">
        <v>117</v>
      </c>
      <c r="E2" s="3" t="s">
        <v>118</v>
      </c>
      <c r="G2" t="s">
        <v>161</v>
      </c>
      <c r="H2" t="s">
        <v>168</v>
      </c>
      <c r="I2" s="18" t="s">
        <v>164</v>
      </c>
      <c r="K2" s="17" t="s">
        <v>109</v>
      </c>
      <c r="L2" t="s">
        <v>110</v>
      </c>
      <c r="M2" t="s">
        <v>79</v>
      </c>
      <c r="N2" s="3" t="s">
        <v>117</v>
      </c>
      <c r="O2" s="3" t="s">
        <v>118</v>
      </c>
      <c r="Q2" t="s">
        <v>161</v>
      </c>
      <c r="R2" t="s">
        <v>168</v>
      </c>
      <c r="S2" s="18" t="s">
        <v>164</v>
      </c>
      <c r="U2" t="s">
        <v>199</v>
      </c>
      <c r="V2" s="3">
        <f>H4/SUM(AvatarEquip[bracers])</f>
        <v>0.24668874172185432</v>
      </c>
    </row>
    <row r="3" spans="1:22" x14ac:dyDescent="0.25">
      <c r="A3" t="s">
        <v>44</v>
      </c>
      <c r="B3">
        <f>L3+L24+L45+L66+L87+L108</f>
        <v>27</v>
      </c>
      <c r="C3">
        <f>M3+M24+M45+M66+M87+M108</f>
        <v>18</v>
      </c>
      <c r="D3" s="3">
        <f>IF(SUM(AvatarAbilities1[[#This Row],[takes]]) &gt; 0,AvatarAbilities1[[#This Row],[takes]]/SUM(AvatarAbilities1[takes]),0)</f>
        <v>4.4701986754966887E-2</v>
      </c>
      <c r="E3" s="3">
        <f>IF(AvatarAbilities1[[#This Row],[takes]]&gt;0,AvatarAbilities1[[#This Row],[wins]]/AvatarAbilities1[[#This Row],[takes]],0)</f>
        <v>0.66666666666666663</v>
      </c>
      <c r="G3">
        <v>1</v>
      </c>
      <c r="H3">
        <f>R3+R24+R45+R66+R87+R108</f>
        <v>228</v>
      </c>
      <c r="I3" s="18">
        <f>S3+S24+S45+S66+S87+S108</f>
        <v>422</v>
      </c>
      <c r="K3" t="s">
        <v>44</v>
      </c>
      <c r="L3">
        <f>COUNTIF(Scenario0[winner1-ability1],AvatarAbilities1Scenario0[[#This Row],[ability]])+COUNTIF(Scenario0[winner2-ability1],AvatarAbilities1Scenario0[[#This Row],[ability]])+COUNTIF(Scenario0[loser1-ability1],AvatarAbilities1Scenario0[[#This Row],[ability]])+COUNTIF(Scenario0[loser2-ability1],AvatarAbilities1Scenario0[[#This Row],[ability]])</f>
        <v>0</v>
      </c>
      <c r="M3">
        <f>COUNTIF(Scenario0[winner1-ability1],AvatarAbilities1Scenario0[[#This Row],[ability]])+COUNTIF(Scenario0[winner2-ability1],AvatarAbilities1Scenario0[[#This Row],[ability]])</f>
        <v>0</v>
      </c>
      <c r="N3" s="3">
        <f>IF(SUM(AvatarAbilities1Scenario0[[#This Row],[takes]]) &gt; 0,AvatarAbilities1Scenario0[[#This Row],[takes]]/SUM(AvatarAbilities1Scenario0[takes]),0)</f>
        <v>0</v>
      </c>
      <c r="O3" s="3">
        <f>IF(AvatarAbilities1Scenario0[[#This Row],[takes]]&gt;0,AvatarAbilities1Scenario0[[#This Row],[wins]]/AvatarAbilities1Scenario0[[#This Row],[takes]],0)</f>
        <v>0</v>
      </c>
      <c r="Q3">
        <v>1</v>
      </c>
      <c r="R3">
        <f>COUNTIFS(Scenario0[winner1],"avatar",Scenario0[winner1-pw],AvatarEquipScenario0[[#This Row],[level]])+COUNTIFS(Scenario0[winner2],"avatar",Scenario0[winner2-pw],AvatarEquipScenario0[[#This Row],[level]])+COUNTIFS(Scenario0[loser1],"avatar",Scenario0[loser1-pw],AvatarEquipScenario0[[#This Row],[level]])+COUNTIFS(Scenario0[loser2],"avatar",Scenario0[loser2-pw],AvatarEquipScenario0[[#This Row],[level]])</f>
        <v>91</v>
      </c>
      <c r="S3" s="18">
        <f>COUNTIFS(Scenario0[winner1],"avatar",Scenario0[winner1-cp],AvatarEquipScenario0[[#This Row],[level]])+COUNTIFS(Scenario0[winner2],"avatar",Scenario0[winner2-cp],AvatarEquipScenario0[[#This Row],[level]])+COUNTIFS(Scenario0[loser1],"avatar",Scenario0[loser1-cp],AvatarEquipScenario0[[#This Row],[level]])+COUNTIFS(Scenario0[loser2],"avatar",Scenario0[loser2-cp],AvatarEquipScenario0[[#This Row],[level]])</f>
        <v>133</v>
      </c>
      <c r="U3" t="s">
        <v>200</v>
      </c>
      <c r="V3" s="16">
        <f>H5/SUM(AvatarEquip[bracers])</f>
        <v>0.3758278145695364</v>
      </c>
    </row>
    <row r="4" spans="1:22" x14ac:dyDescent="0.25">
      <c r="A4" t="s">
        <v>135</v>
      </c>
      <c r="B4">
        <f t="shared" ref="B4:B5" si="0">L4+L25+L46+L67+L88+L109</f>
        <v>291</v>
      </c>
      <c r="C4">
        <f t="shared" ref="C4:C5" si="1">M4+M25+M46+M67+M88+M109</f>
        <v>144</v>
      </c>
      <c r="D4" s="3">
        <f>IF(SUM(AvatarAbilities1[[#This Row],[takes]]) &gt; 0,AvatarAbilities1[[#This Row],[takes]]/SUM(AvatarAbilities1[takes]),0)</f>
        <v>0.48178807947019869</v>
      </c>
      <c r="E4" s="3">
        <f>IF(AvatarAbilities1[[#This Row],[takes]]&gt;0,AvatarAbilities1[[#This Row],[wins]]/AvatarAbilities1[[#This Row],[takes]],0)</f>
        <v>0.49484536082474229</v>
      </c>
      <c r="G4">
        <v>2</v>
      </c>
      <c r="H4">
        <f t="shared" ref="H4:H5" si="2">R4+R25+R46+R67+R88+R109</f>
        <v>149</v>
      </c>
      <c r="I4" s="18">
        <f t="shared" ref="I4:I5" si="3">S4+S25+S46+S67+S88+S109</f>
        <v>61</v>
      </c>
      <c r="K4" t="s">
        <v>135</v>
      </c>
      <c r="L4">
        <f>COUNTIF(Scenario0[winner1-ability1],AvatarAbilities1Scenario0[[#This Row],[ability]])+COUNTIF(Scenario0[winner2-ability1],AvatarAbilities1Scenario0[[#This Row],[ability]])+COUNTIF(Scenario0[loser1-ability1],AvatarAbilities1Scenario0[[#This Row],[ability]])+COUNTIF(Scenario0[loser2-ability1],AvatarAbilities1Scenario0[[#This Row],[ability]])</f>
        <v>125</v>
      </c>
      <c r="M4">
        <f>COUNTIF(Scenario0[winner1-ability1],AvatarAbilities1Scenario0[[#This Row],[ability]])+COUNTIF(Scenario0[winner2-ability1],AvatarAbilities1Scenario0[[#This Row],[ability]])</f>
        <v>65</v>
      </c>
      <c r="N4" s="3">
        <f>IF(SUM(AvatarAbilities1Scenario0[[#This Row],[takes]]) &gt; 0,AvatarAbilities1Scenario0[[#This Row],[takes]]/SUM(AvatarAbilities1Scenario0[takes]),0)</f>
        <v>0.74404761904761907</v>
      </c>
      <c r="O4" s="3">
        <f>IF(AvatarAbilities1Scenario0[[#This Row],[takes]]&gt;0,AvatarAbilities1Scenario0[[#This Row],[wins]]/AvatarAbilities1Scenario0[[#This Row],[takes]],0)</f>
        <v>0.52</v>
      </c>
      <c r="Q4">
        <v>2</v>
      </c>
      <c r="R4">
        <f>COUNTIFS(Scenario0[winner1],"avatar",Scenario0[winner1-pw],AvatarEquipScenario0[[#This Row],[level]])+COUNTIFS(Scenario0[winner2],"avatar",Scenario0[winner2-pw],AvatarEquipScenario0[[#This Row],[level]])+COUNTIFS(Scenario0[loser1],"avatar",Scenario0[loser1-pw],AvatarEquipScenario0[[#This Row],[level]])+COUNTIFS(Scenario0[loser2],"avatar",Scenario0[loser2-pw],AvatarEquipScenario0[[#This Row],[level]])</f>
        <v>50</v>
      </c>
      <c r="S4" s="18">
        <f>COUNTIFS(Scenario0[winner1],"avatar",Scenario0[winner1-cp],AvatarEquipScenario0[[#This Row],[level]])+COUNTIFS(Scenario0[winner2],"avatar",Scenario0[winner2-cp],AvatarEquipScenario0[[#This Row],[level]])+COUNTIFS(Scenario0[loser1],"avatar",Scenario0[loser1-cp],AvatarEquipScenario0[[#This Row],[level]])+COUNTIFS(Scenario0[loser2],"avatar",Scenario0[loser2-cp],AvatarEquipScenario0[[#This Row],[level]])</f>
        <v>16</v>
      </c>
      <c r="U4" t="s">
        <v>179</v>
      </c>
      <c r="V4" s="3">
        <f>AvatarEquip[[#This Row],[chestpiece]]/SUM(AvatarEquip[chestpiece])</f>
        <v>0.10099337748344371</v>
      </c>
    </row>
    <row r="5" spans="1:22" x14ac:dyDescent="0.25">
      <c r="A5" t="s">
        <v>73</v>
      </c>
      <c r="B5">
        <f t="shared" si="0"/>
        <v>286</v>
      </c>
      <c r="C5">
        <f t="shared" si="1"/>
        <v>130</v>
      </c>
      <c r="D5" s="3">
        <f>IF(SUM(AvatarAbilities1[[#This Row],[takes]]) &gt; 0,AvatarAbilities1[[#This Row],[takes]]/SUM(AvatarAbilities1[takes]),0)</f>
        <v>0.47350993377483441</v>
      </c>
      <c r="E5" s="3">
        <f>IF(AvatarAbilities1[[#This Row],[takes]]&gt;0,AvatarAbilities1[[#This Row],[wins]]/AvatarAbilities1[[#This Row],[takes]],0)</f>
        <v>0.45454545454545453</v>
      </c>
      <c r="G5">
        <v>3</v>
      </c>
      <c r="H5">
        <f t="shared" si="2"/>
        <v>227</v>
      </c>
      <c r="I5" s="18">
        <f t="shared" si="3"/>
        <v>121</v>
      </c>
      <c r="K5" t="s">
        <v>73</v>
      </c>
      <c r="L5">
        <f>COUNTIF(Scenario0[winner1-ability1],AvatarAbilities1Scenario0[[#This Row],[ability]])+COUNTIF(Scenario0[winner2-ability1],AvatarAbilities1Scenario0[[#This Row],[ability]])+COUNTIF(Scenario0[loser1-ability1],AvatarAbilities1Scenario0[[#This Row],[ability]])+COUNTIF(Scenario0[loser2-ability1],AvatarAbilities1Scenario0[[#This Row],[ability]])</f>
        <v>43</v>
      </c>
      <c r="M5">
        <f>COUNTIF(Scenario0[winner1-ability1],AvatarAbilities1Scenario0[[#This Row],[ability]])+COUNTIF(Scenario0[winner2-ability1],AvatarAbilities1Scenario0[[#This Row],[ability]])</f>
        <v>29</v>
      </c>
      <c r="N5" s="3">
        <f>IF(SUM(AvatarAbilities1Scenario0[[#This Row],[takes]]) &gt; 0,AvatarAbilities1Scenario0[[#This Row],[takes]]/SUM(AvatarAbilities1Scenario0[takes]),0)</f>
        <v>0.25595238095238093</v>
      </c>
      <c r="O5" s="3">
        <f>IF(AvatarAbilities1Scenario0[[#This Row],[takes]]&gt;0,AvatarAbilities1Scenario0[[#This Row],[wins]]/AvatarAbilities1Scenario0[[#This Row],[takes]],0)</f>
        <v>0.67441860465116277</v>
      </c>
      <c r="Q5">
        <v>3</v>
      </c>
      <c r="R5">
        <f>COUNTIFS(Scenario0[winner1],"avatar",Scenario0[winner1-pw],AvatarEquipScenario0[[#This Row],[level]])+COUNTIFS(Scenario0[winner2],"avatar",Scenario0[winner2-pw],AvatarEquipScenario0[[#This Row],[level]])+COUNTIFS(Scenario0[loser1],"avatar",Scenario0[loser1-pw],AvatarEquipScenario0[[#This Row],[level]])+COUNTIFS(Scenario0[loser2],"avatar",Scenario0[loser2-pw],AvatarEquipScenario0[[#This Row],[level]])</f>
        <v>27</v>
      </c>
      <c r="S5" s="18">
        <f>COUNTIFS(Scenario0[winner1],"avatar",Scenario0[winner1-cp],AvatarEquipScenario0[[#This Row],[level]])+COUNTIFS(Scenario0[winner2],"avatar",Scenario0[winner2-cp],AvatarEquipScenario0[[#This Row],[level]])+COUNTIFS(Scenario0[loser1],"avatar",Scenario0[loser1-cp],AvatarEquipScenario0[[#This Row],[level]])+COUNTIFS(Scenario0[loser2],"avatar",Scenario0[loser2-cp],AvatarEquipScenario0[[#This Row],[level]])</f>
        <v>19</v>
      </c>
      <c r="U5" t="s">
        <v>180</v>
      </c>
      <c r="V5" s="16">
        <f>AvatarEquip[[#This Row],[chestpiece]]/SUM(AvatarEquip[chestpiece])</f>
        <v>0.20033112582781457</v>
      </c>
    </row>
    <row r="6" spans="1:22" x14ac:dyDescent="0.25">
      <c r="A6" s="17"/>
      <c r="I6" s="18"/>
      <c r="K6" s="17"/>
      <c r="N6" s="3"/>
      <c r="O6" s="3"/>
      <c r="S6" s="18"/>
      <c r="U6" t="s">
        <v>176</v>
      </c>
      <c r="V6" s="3">
        <f>SUM(AvatarAbilities2[takes])/SUM(AvatarAbilities1[takes])</f>
        <v>0.89403973509933776</v>
      </c>
    </row>
    <row r="7" spans="1:22" x14ac:dyDescent="0.25">
      <c r="A7" s="19" t="s">
        <v>109</v>
      </c>
      <c r="B7" s="8" t="s">
        <v>110</v>
      </c>
      <c r="C7" s="8" t="s">
        <v>79</v>
      </c>
      <c r="D7" s="9" t="s">
        <v>117</v>
      </c>
      <c r="E7" s="9" t="s">
        <v>118</v>
      </c>
      <c r="I7" s="18"/>
      <c r="K7" s="19" t="s">
        <v>109</v>
      </c>
      <c r="L7" s="8" t="s">
        <v>110</v>
      </c>
      <c r="M7" s="8" t="s">
        <v>79</v>
      </c>
      <c r="N7" s="9" t="s">
        <v>117</v>
      </c>
      <c r="O7" s="9" t="s">
        <v>118</v>
      </c>
      <c r="S7" s="18"/>
      <c r="U7" t="s">
        <v>177</v>
      </c>
      <c r="V7" s="3">
        <f>SUM(AvatarAbilities3[takes])/SUM(AvatarAbilities1[takes])</f>
        <v>0.6241721854304636</v>
      </c>
    </row>
    <row r="8" spans="1:22" x14ac:dyDescent="0.25">
      <c r="A8" s="2" t="s">
        <v>74</v>
      </c>
      <c r="B8" s="2">
        <f>L8+L29+L50+L71+L92+L113</f>
        <v>172</v>
      </c>
      <c r="C8" s="2">
        <f>M8+M29+M50+M71+M92+M113</f>
        <v>95</v>
      </c>
      <c r="D8" s="12">
        <f>IF(SUM(AvatarAbilities2[[#This Row],[takes]]) &gt; 0,AvatarAbilities2[[#This Row],[takes]]/SUM(AvatarAbilities2[takes]),0)</f>
        <v>0.31851851851851853</v>
      </c>
      <c r="E8" s="12">
        <f>IF(AvatarAbilities2[[#This Row],[takes]]&gt;0,AvatarAbilities2[[#This Row],[wins]]/AvatarAbilities2[[#This Row],[takes]],0)</f>
        <v>0.55232558139534882</v>
      </c>
      <c r="I8" s="18"/>
      <c r="K8" s="2" t="s">
        <v>74</v>
      </c>
      <c r="L8" s="2">
        <f>COUNTIF(Scenario0[winner1-ability2],AvatarAbilities2Scenario0[[#This Row],[ability]])+COUNTIF(Scenario0[winner2-ability2],AvatarAbilities2Scenario0[[#This Row],[ability]])+COUNTIF(Scenario0[loser1-ability2],AvatarAbilities2Scenario0[[#This Row],[ability]])+COUNTIF(Scenario0[loser2-ability2],AvatarAbilities2Scenario0[[#This Row],[ability]])</f>
        <v>49</v>
      </c>
      <c r="M8" s="2">
        <f>COUNTIF(Scenario0[winner1-ability2],AvatarAbilities2Scenario0[[#This Row],[ability]])+COUNTIF(Scenario0[winner2-ability2],AvatarAbilities2Scenario0[[#This Row],[ability]])</f>
        <v>37</v>
      </c>
      <c r="N8" s="12">
        <f>IF(SUM(AvatarAbilities2Scenario0[[#This Row],[takes]]) &gt; 0,AvatarAbilities2Scenario0[[#This Row],[takes]]/SUM(AvatarAbilities2Scenario0[takes]),0)</f>
        <v>0.35</v>
      </c>
      <c r="O8" s="12">
        <f>IF(AvatarAbilities2Scenario0[[#This Row],[takes]]&gt;0,AvatarAbilities2Scenario0[[#This Row],[wins]]/AvatarAbilities2Scenario0[[#This Row],[takes]],0)</f>
        <v>0.75510204081632648</v>
      </c>
      <c r="S8" s="18"/>
      <c r="U8" t="s">
        <v>178</v>
      </c>
      <c r="V8" s="16">
        <f>SUM(AvatarAbilities4[takes])/SUM(AvatarAbilities1[takes])</f>
        <v>0.4056291390728477</v>
      </c>
    </row>
    <row r="9" spans="1:22" x14ac:dyDescent="0.25">
      <c r="A9" t="s">
        <v>136</v>
      </c>
      <c r="B9" s="2">
        <f t="shared" ref="B9:B10" si="4">L9+L30+L51+L72+L93+L114</f>
        <v>197</v>
      </c>
      <c r="C9" s="2">
        <f t="shared" ref="C9:C10" si="5">M9+M30+M51+M72+M93+M114</f>
        <v>66</v>
      </c>
      <c r="D9" s="3">
        <f>IF(SUM(AvatarAbilities2[[#This Row],[takes]]) &gt; 0,AvatarAbilities2[[#This Row],[takes]]/SUM(AvatarAbilities2[takes]),0)</f>
        <v>0.36481481481481481</v>
      </c>
      <c r="E9" s="3">
        <f>IF(AvatarAbilities2[[#This Row],[takes]]&gt;0,AvatarAbilities2[[#This Row],[wins]]/AvatarAbilities2[[#This Row],[takes]],0)</f>
        <v>0.3350253807106599</v>
      </c>
      <c r="I9" s="18"/>
      <c r="K9" t="s">
        <v>136</v>
      </c>
      <c r="L9" s="2">
        <f>COUNTIF(Scenario0[winner1-ability2],AvatarAbilities2Scenario0[[#This Row],[ability]])+COUNTIF(Scenario0[winner2-ability2],AvatarAbilities2Scenario0[[#This Row],[ability]])+COUNTIF(Scenario0[loser1-ability2],AvatarAbilities2Scenario0[[#This Row],[ability]])+COUNTIF(Scenario0[loser2-ability2],AvatarAbilities2Scenario0[[#This Row],[ability]])</f>
        <v>38</v>
      </c>
      <c r="M9" s="2">
        <f>COUNTIF(Scenario0[winner1-ability2],AvatarAbilities2Scenario0[[#This Row],[ability]])+COUNTIF(Scenario0[winner2-ability2],AvatarAbilities2Scenario0[[#This Row],[ability]])</f>
        <v>10</v>
      </c>
      <c r="N9" s="3">
        <f>IF(SUM(AvatarAbilities2Scenario0[[#This Row],[takes]]) &gt; 0,AvatarAbilities2Scenario0[[#This Row],[takes]]/SUM(AvatarAbilities2Scenario0[takes]),0)</f>
        <v>0.27142857142857141</v>
      </c>
      <c r="O9" s="3">
        <f>IF(AvatarAbilities2Scenario0[[#This Row],[takes]]&gt;0,AvatarAbilities2Scenario0[[#This Row],[wins]]/AvatarAbilities2Scenario0[[#This Row],[takes]],0)</f>
        <v>0.26315789473684209</v>
      </c>
      <c r="S9" s="18"/>
      <c r="U9" t="s">
        <v>194</v>
      </c>
      <c r="V9" s="33">
        <f>(SUM(AvatarAbilities2[takes])+SUM(AvatarAbilities3[takes])+SUM(AvatarAbilities4[takes])+SUM(H4:H5)+SUM(I4:I5))/SUM(AvatarAbilities1[takes])</f>
        <v>2.8476821192052979</v>
      </c>
    </row>
    <row r="10" spans="1:22" x14ac:dyDescent="0.25">
      <c r="A10" s="10" t="s">
        <v>99</v>
      </c>
      <c r="B10" s="2">
        <f t="shared" si="4"/>
        <v>171</v>
      </c>
      <c r="C10" s="2">
        <f t="shared" si="5"/>
        <v>109</v>
      </c>
      <c r="D10" s="13">
        <f>IF(SUM(AvatarAbilities2[[#This Row],[takes]]) &gt; 0,AvatarAbilities2[[#This Row],[takes]]/SUM(AvatarAbilities2[takes]),0)</f>
        <v>0.31666666666666665</v>
      </c>
      <c r="E10" s="13">
        <f>IF(AvatarAbilities2[[#This Row],[takes]]&gt;0,AvatarAbilities2[[#This Row],[wins]]/AvatarAbilities2[[#This Row],[takes]],0)</f>
        <v>0.63742690058479534</v>
      </c>
      <c r="I10" s="18"/>
      <c r="K10" s="10" t="s">
        <v>99</v>
      </c>
      <c r="L10" s="2">
        <f>COUNTIF(Scenario0[winner1-ability2],AvatarAbilities2Scenario0[[#This Row],[ability]])+COUNTIF(Scenario0[winner2-ability2],AvatarAbilities2Scenario0[[#This Row],[ability]])+COUNTIF(Scenario0[loser1-ability2],AvatarAbilities2Scenario0[[#This Row],[ability]])+COUNTIF(Scenario0[loser2-ability2],AvatarAbilities2Scenario0[[#This Row],[ability]])</f>
        <v>53</v>
      </c>
      <c r="M10" s="2">
        <f>COUNTIF(Scenario0[winner1-ability2],AvatarAbilities2Scenario0[[#This Row],[ability]])+COUNTIF(Scenario0[winner2-ability2],AvatarAbilities2Scenario0[[#This Row],[ability]])</f>
        <v>40</v>
      </c>
      <c r="N10" s="13">
        <f>IF(SUM(AvatarAbilities2Scenario0[[#This Row],[takes]]) &gt; 0,AvatarAbilities2Scenario0[[#This Row],[takes]]/SUM(AvatarAbilities2Scenario0[takes]),0)</f>
        <v>0.37857142857142856</v>
      </c>
      <c r="O10" s="13">
        <f>IF(AvatarAbilities2Scenario0[[#This Row],[takes]]&gt;0,AvatarAbilities2Scenario0[[#This Row],[wins]]/AvatarAbilities2Scenario0[[#This Row],[takes]],0)</f>
        <v>0.75471698113207553</v>
      </c>
      <c r="S10" s="18"/>
    </row>
    <row r="11" spans="1:22" x14ac:dyDescent="0.25">
      <c r="A11" s="17"/>
      <c r="I11" s="18"/>
      <c r="K11" s="17"/>
      <c r="N11" s="3"/>
      <c r="O11" s="3"/>
      <c r="S11" s="18"/>
    </row>
    <row r="12" spans="1:22" x14ac:dyDescent="0.25">
      <c r="A12" s="19" t="s">
        <v>109</v>
      </c>
      <c r="B12" s="8" t="s">
        <v>110</v>
      </c>
      <c r="C12" s="8" t="s">
        <v>79</v>
      </c>
      <c r="D12" s="9" t="s">
        <v>117</v>
      </c>
      <c r="E12" s="9" t="s">
        <v>118</v>
      </c>
      <c r="I12" s="18"/>
      <c r="K12" s="19" t="s">
        <v>109</v>
      </c>
      <c r="L12" s="8" t="s">
        <v>110</v>
      </c>
      <c r="M12" s="8" t="s">
        <v>79</v>
      </c>
      <c r="N12" s="9" t="s">
        <v>117</v>
      </c>
      <c r="O12" s="9" t="s">
        <v>118</v>
      </c>
      <c r="S12" s="18"/>
    </row>
    <row r="13" spans="1:22" x14ac:dyDescent="0.25">
      <c r="A13" s="1" t="s">
        <v>137</v>
      </c>
      <c r="B13" s="1">
        <f>L13+L34+L55+L76+L97+L118</f>
        <v>103</v>
      </c>
      <c r="C13" s="1">
        <f>M13+M34+M55+M76+M97+M118</f>
        <v>57</v>
      </c>
      <c r="D13" s="14">
        <f>IF(SUM(AvatarAbilities3[[#This Row],[takes]]) &gt; 0,AvatarAbilities3[[#This Row],[takes]]/SUM(AvatarAbilities3[takes]),0)</f>
        <v>0.27320954907161804</v>
      </c>
      <c r="E13" s="14">
        <f>IF(AvatarAbilities3[[#This Row],[takes]]&gt;0,AvatarAbilities3[[#This Row],[wins]]/AvatarAbilities3[[#This Row],[takes]],0)</f>
        <v>0.55339805825242716</v>
      </c>
      <c r="I13" s="18"/>
      <c r="K13" s="1" t="s">
        <v>137</v>
      </c>
      <c r="L13" s="1">
        <f>COUNTIF(Scenario0[winner1-ability3],AvatarAbilities3Scenario0[[#This Row],[ability]])+COUNTIF(Scenario0[winner2-ability3],AvatarAbilities3Scenario0[[#This Row],[ability]])+COUNTIF(Scenario0[loser1-ability3],AvatarAbilities3Scenario0[[#This Row],[ability]])+COUNTIF(Scenario0[loser2-ability3],AvatarAbilities3Scenario0[[#This Row],[ability]])</f>
        <v>11</v>
      </c>
      <c r="M13" s="1">
        <f>COUNTIF(Scenario0[winner1-ability3],AvatarAbilities3Scenario0[[#This Row],[ability]])+COUNTIF(Scenario0[winner2-ability3],AvatarAbilities3Scenario0[[#This Row],[ability]])</f>
        <v>9</v>
      </c>
      <c r="N13" s="14">
        <f>IF(SUM(AvatarAbilities3Scenario0[[#This Row],[takes]]) &gt; 0,AvatarAbilities3Scenario0[[#This Row],[takes]]/SUM(AvatarAbilities3Scenario0[takes]),0)</f>
        <v>0.2</v>
      </c>
      <c r="O13" s="14">
        <f>IF(AvatarAbilities3Scenario0[[#This Row],[takes]]&gt;0,AvatarAbilities3Scenario0[[#This Row],[wins]]/AvatarAbilities3Scenario0[[#This Row],[takes]],0)</f>
        <v>0.81818181818181823</v>
      </c>
      <c r="S13" s="18"/>
    </row>
    <row r="14" spans="1:22" x14ac:dyDescent="0.25">
      <c r="A14" s="2" t="s">
        <v>100</v>
      </c>
      <c r="B14" s="2">
        <f t="shared" ref="B14:B15" si="6">L14+L35+L56+L77+L98+L119</f>
        <v>141</v>
      </c>
      <c r="C14" s="2">
        <f t="shared" ref="C14:C15" si="7">M14+M35+M56+M77+M98+M119</f>
        <v>61</v>
      </c>
      <c r="D14" s="12">
        <f>IF(SUM(AvatarAbilities3[[#This Row],[takes]]) &gt; 0,AvatarAbilities3[[#This Row],[takes]]/SUM(AvatarAbilities3[takes]),0)</f>
        <v>0.37400530503978779</v>
      </c>
      <c r="E14" s="12">
        <f>IF(AvatarAbilities3[[#This Row],[takes]]&gt;0,AvatarAbilities3[[#This Row],[wins]]/AvatarAbilities3[[#This Row],[takes]],0)</f>
        <v>0.43262411347517732</v>
      </c>
      <c r="I14" s="18"/>
      <c r="K14" s="2" t="s">
        <v>100</v>
      </c>
      <c r="L14" s="2">
        <f>COUNTIF(Scenario0[winner1-ability3],AvatarAbilities3Scenario0[[#This Row],[ability]])+COUNTIF(Scenario0[winner2-ability3],AvatarAbilities3Scenario0[[#This Row],[ability]])+COUNTIF(Scenario0[loser1-ability3],AvatarAbilities3Scenario0[[#This Row],[ability]])+COUNTIF(Scenario0[loser2-ability3],AvatarAbilities3Scenario0[[#This Row],[ability]])</f>
        <v>23</v>
      </c>
      <c r="M14" s="2">
        <f>COUNTIF(Scenario0[winner1-ability3],AvatarAbilities3Scenario0[[#This Row],[ability]])+COUNTIF(Scenario0[winner2-ability3],AvatarAbilities3Scenario0[[#This Row],[ability]])</f>
        <v>15</v>
      </c>
      <c r="N14" s="12">
        <f>IF(SUM(AvatarAbilities3Scenario0[[#This Row],[takes]]) &gt; 0,AvatarAbilities3Scenario0[[#This Row],[takes]]/SUM(AvatarAbilities3Scenario0[takes]),0)</f>
        <v>0.41818181818181815</v>
      </c>
      <c r="O14" s="12">
        <f>IF(AvatarAbilities3Scenario0[[#This Row],[takes]]&gt;0,AvatarAbilities3Scenario0[[#This Row],[wins]]/AvatarAbilities3Scenario0[[#This Row],[takes]],0)</f>
        <v>0.65217391304347827</v>
      </c>
      <c r="S14" s="18"/>
    </row>
    <row r="15" spans="1:22" x14ac:dyDescent="0.25">
      <c r="A15" s="11" t="s">
        <v>75</v>
      </c>
      <c r="B15" s="1">
        <f t="shared" si="6"/>
        <v>133</v>
      </c>
      <c r="C15" s="1">
        <f t="shared" si="7"/>
        <v>82</v>
      </c>
      <c r="D15" s="15">
        <f>IF(SUM(AvatarAbilities3[[#This Row],[takes]]) &gt; 0,AvatarAbilities3[[#This Row],[takes]]/SUM(AvatarAbilities3[takes]),0)</f>
        <v>0.35278514588859416</v>
      </c>
      <c r="E15" s="15">
        <f>IF(AvatarAbilities3[[#This Row],[takes]]&gt;0,AvatarAbilities3[[#This Row],[wins]]/AvatarAbilities3[[#This Row],[takes]],0)</f>
        <v>0.61654135338345861</v>
      </c>
      <c r="I15" s="18"/>
      <c r="K15" s="11" t="s">
        <v>75</v>
      </c>
      <c r="L15" s="1">
        <f>COUNTIF(Scenario0[winner1-ability3],AvatarAbilities3Scenario0[[#This Row],[ability]])+COUNTIF(Scenario0[winner2-ability3],AvatarAbilities3Scenario0[[#This Row],[ability]])+COUNTIF(Scenario0[loser1-ability3],AvatarAbilities3Scenario0[[#This Row],[ability]])+COUNTIF(Scenario0[loser2-ability3],AvatarAbilities3Scenario0[[#This Row],[ability]])</f>
        <v>21</v>
      </c>
      <c r="M15" s="1">
        <f>COUNTIF(Scenario0[winner1-ability3],AvatarAbilities3Scenario0[[#This Row],[ability]])+COUNTIF(Scenario0[winner2-ability3],AvatarAbilities3Scenario0[[#This Row],[ability]])</f>
        <v>18</v>
      </c>
      <c r="N15" s="15">
        <f>IF(SUM(AvatarAbilities3Scenario0[[#This Row],[takes]]) &gt; 0,AvatarAbilities3Scenario0[[#This Row],[takes]]/SUM(AvatarAbilities3Scenario0[takes]),0)</f>
        <v>0.38181818181818183</v>
      </c>
      <c r="O15" s="15">
        <f>IF(AvatarAbilities3Scenario0[[#This Row],[takes]]&gt;0,AvatarAbilities3Scenario0[[#This Row],[wins]]/AvatarAbilities3Scenario0[[#This Row],[takes]],0)</f>
        <v>0.8571428571428571</v>
      </c>
      <c r="S15" s="18"/>
    </row>
    <row r="16" spans="1:22" x14ac:dyDescent="0.25">
      <c r="A16" s="17"/>
      <c r="I16" s="18"/>
      <c r="K16" s="17"/>
      <c r="N16" s="3"/>
      <c r="O16" s="3"/>
      <c r="S16" s="18"/>
    </row>
    <row r="17" spans="1:20" x14ac:dyDescent="0.25">
      <c r="A17" s="19" t="s">
        <v>109</v>
      </c>
      <c r="B17" s="8" t="s">
        <v>110</v>
      </c>
      <c r="C17" s="8" t="s">
        <v>79</v>
      </c>
      <c r="D17" s="9" t="s">
        <v>117</v>
      </c>
      <c r="E17" s="9" t="s">
        <v>118</v>
      </c>
      <c r="I17" s="18"/>
      <c r="K17" s="19" t="s">
        <v>109</v>
      </c>
      <c r="L17" s="8" t="s">
        <v>110</v>
      </c>
      <c r="M17" s="8" t="s">
        <v>79</v>
      </c>
      <c r="N17" s="9" t="s">
        <v>117</v>
      </c>
      <c r="O17" s="9" t="s">
        <v>118</v>
      </c>
      <c r="S17" s="18"/>
    </row>
    <row r="18" spans="1:20" x14ac:dyDescent="0.25">
      <c r="A18" s="2" t="s">
        <v>138</v>
      </c>
      <c r="B18" s="2">
        <f>L18+L39+L60+L81+L102+L123</f>
        <v>60</v>
      </c>
      <c r="C18" s="2">
        <f>M18+M39+M60+M81+M102+M123</f>
        <v>35</v>
      </c>
      <c r="D18" s="12">
        <f>IF(SUM(AvatarAbilities4[[#This Row],[takes]]) &gt; 0,AvatarAbilities4[[#This Row],[takes]]/SUM(AvatarAbilities4[takes]),0)</f>
        <v>0.24489795918367346</v>
      </c>
      <c r="E18" s="12">
        <f>IF(AvatarAbilities4[[#This Row],[takes]]&gt;0,AvatarAbilities4[[#This Row],[wins]]/AvatarAbilities4[[#This Row],[takes]],0)</f>
        <v>0.58333333333333337</v>
      </c>
      <c r="I18" s="18"/>
      <c r="K18" s="2" t="s">
        <v>138</v>
      </c>
      <c r="L18" s="2">
        <f>COUNTIF(Scenario0[winner1-ability4],AvatarAbilities4Scenario0[[#This Row],[ability]])+COUNTIF(Scenario0[winner2-ability4],AvatarAbilities4Scenario0[[#This Row],[ability]])+COUNTIF(Scenario0[loser1-ability4],AvatarAbilities4Scenario0[[#This Row],[ability]])+COUNTIF(Scenario0[loser2-ability4],AvatarAbilities4Scenario0[[#This Row],[ability]])</f>
        <v>8</v>
      </c>
      <c r="M18" s="2">
        <f>COUNTIF(Scenario0[winner1-ability4],AvatarAbilities4Scenario0[[#This Row],[ability]])+COUNTIF(Scenario0[winner2-ability4],AvatarAbilities4Scenario0[[#This Row],[ability]])</f>
        <v>7</v>
      </c>
      <c r="N18" s="12">
        <f>IF(SUM(AvatarAbilities4Scenario0[[#This Row],[takes]]) &gt; 0,AvatarAbilities4Scenario0[[#This Row],[takes]]/SUM(AvatarAbilities4Scenario0[takes]),0)</f>
        <v>0.33333333333333331</v>
      </c>
      <c r="O18" s="12">
        <f>IF(AvatarAbilities4Scenario0[[#This Row],[takes]]&gt;0,AvatarAbilities4Scenario0[[#This Row],[wins]]/AvatarAbilities4Scenario0[[#This Row],[takes]],0)</f>
        <v>0.875</v>
      </c>
      <c r="S18" s="18"/>
    </row>
    <row r="19" spans="1:20" x14ac:dyDescent="0.25">
      <c r="A19" s="2" t="s">
        <v>101</v>
      </c>
      <c r="B19" s="2">
        <f t="shared" ref="B19:B20" si="8">L19+L40+L61+L82+L103+L124</f>
        <v>104</v>
      </c>
      <c r="C19" s="2">
        <f t="shared" ref="C19:C20" si="9">M19+M40+M61+M82+M103+M124</f>
        <v>47</v>
      </c>
      <c r="D19" s="12">
        <f>IF(SUM(AvatarAbilities4[[#This Row],[takes]]) &gt; 0,AvatarAbilities4[[#This Row],[takes]]/SUM(AvatarAbilities4[takes]),0)</f>
        <v>0.42448979591836733</v>
      </c>
      <c r="E19" s="12">
        <f>IF(AvatarAbilities4[[#This Row],[takes]]&gt;0,AvatarAbilities4[[#This Row],[wins]]/AvatarAbilities4[[#This Row],[takes]],0)</f>
        <v>0.45192307692307693</v>
      </c>
      <c r="I19" s="18"/>
      <c r="K19" s="2" t="s">
        <v>101</v>
      </c>
      <c r="L19" s="2">
        <f>COUNTIF(Scenario0[winner1-ability4],AvatarAbilities4Scenario0[[#This Row],[ability]])+COUNTIF(Scenario0[winner2-ability4],AvatarAbilities4Scenario0[[#This Row],[ability]])+COUNTIF(Scenario0[loser1-ability4],AvatarAbilities4Scenario0[[#This Row],[ability]])+COUNTIF(Scenario0[loser2-ability4],AvatarAbilities4Scenario0[[#This Row],[ability]])</f>
        <v>10</v>
      </c>
      <c r="M19" s="2">
        <f>COUNTIF(Scenario0[winner1-ability4],AvatarAbilities4Scenario0[[#This Row],[ability]])+COUNTIF(Scenario0[winner2-ability4],AvatarAbilities4Scenario0[[#This Row],[ability]])</f>
        <v>8</v>
      </c>
      <c r="N19" s="12">
        <f>IF(SUM(AvatarAbilities4Scenario0[[#This Row],[takes]]) &gt; 0,AvatarAbilities4Scenario0[[#This Row],[takes]]/SUM(AvatarAbilities4Scenario0[takes]),0)</f>
        <v>0.41666666666666669</v>
      </c>
      <c r="O19" s="12">
        <f>IF(AvatarAbilities4Scenario0[[#This Row],[takes]]&gt;0,AvatarAbilities4Scenario0[[#This Row],[wins]]/AvatarAbilities4Scenario0[[#This Row],[takes]],0)</f>
        <v>0.8</v>
      </c>
      <c r="S19" s="18"/>
    </row>
    <row r="20" spans="1:20" ht="15.75" thickBot="1" x14ac:dyDescent="0.3">
      <c r="A20" s="10" t="s">
        <v>139</v>
      </c>
      <c r="B20" s="2">
        <f t="shared" si="8"/>
        <v>81</v>
      </c>
      <c r="C20" s="2">
        <f t="shared" si="9"/>
        <v>36</v>
      </c>
      <c r="D20" s="26">
        <f>IF(SUM(AvatarAbilities4[[#This Row],[takes]]) &gt; 0,AvatarAbilities4[[#This Row],[takes]]/SUM(AvatarAbilities4[takes]),0)</f>
        <v>0.33061224489795921</v>
      </c>
      <c r="E20" s="26">
        <f>IF(AvatarAbilities4[[#This Row],[takes]]&gt;0,AvatarAbilities4[[#This Row],[wins]]/AvatarAbilities4[[#This Row],[takes]],0)</f>
        <v>0.44444444444444442</v>
      </c>
      <c r="F20" s="27"/>
      <c r="G20" s="27"/>
      <c r="H20" s="27"/>
      <c r="I20" s="28"/>
      <c r="K20" s="10" t="s">
        <v>139</v>
      </c>
      <c r="L20" s="25">
        <f>COUNTIF(Scenario0[winner1-ability4],AvatarAbilities4Scenario0[[#This Row],[ability]])+COUNTIF(Scenario0[winner2-ability4],AvatarAbilities4Scenario0[[#This Row],[ability]])+COUNTIF(Scenario0[loser1-ability4],AvatarAbilities4Scenario0[[#This Row],[ability]])+COUNTIF(Scenario0[loser2-ability4],AvatarAbilities4Scenario0[[#This Row],[ability]])</f>
        <v>6</v>
      </c>
      <c r="M20" s="25">
        <f>COUNTIF(Scenario0[winner1-ability4],AvatarAbilities4Scenario0[[#This Row],[ability]])+COUNTIF(Scenario0[winner2-ability4],AvatarAbilities4Scenario0[[#This Row],[ability]])</f>
        <v>5</v>
      </c>
      <c r="N20" s="26">
        <f>IF(SUM(AvatarAbilities4Scenario0[[#This Row],[takes]]) &gt; 0,AvatarAbilities4Scenario0[[#This Row],[takes]]/SUM(AvatarAbilities4Scenario0[takes]),0)</f>
        <v>0.25</v>
      </c>
      <c r="O20" s="26">
        <f>IF(AvatarAbilities4Scenario0[[#This Row],[takes]]&gt;0,AvatarAbilities4Scenario0[[#This Row],[wins]]/AvatarAbilities4Scenario0[[#This Row],[takes]],0)</f>
        <v>0.83333333333333337</v>
      </c>
      <c r="P20" s="27"/>
      <c r="Q20" s="27"/>
      <c r="R20" s="27"/>
      <c r="S20" s="28"/>
    </row>
    <row r="21" spans="1:20" ht="15.75" thickBot="1" x14ac:dyDescent="0.3"/>
    <row r="22" spans="1:20" ht="15.75" thickBot="1" x14ac:dyDescent="0.3">
      <c r="K22" s="36" t="s">
        <v>183</v>
      </c>
      <c r="L22" s="37"/>
      <c r="M22" s="37"/>
      <c r="N22" s="37"/>
      <c r="O22" s="37"/>
      <c r="P22" s="37"/>
      <c r="Q22" s="37"/>
      <c r="R22" s="37"/>
      <c r="S22" s="38"/>
      <c r="T22" s="29"/>
    </row>
    <row r="23" spans="1:20" x14ac:dyDescent="0.25">
      <c r="K23" s="17" t="s">
        <v>109</v>
      </c>
      <c r="L23" t="s">
        <v>110</v>
      </c>
      <c r="M23" t="s">
        <v>79</v>
      </c>
      <c r="N23" s="3" t="s">
        <v>117</v>
      </c>
      <c r="O23" s="3" t="s">
        <v>118</v>
      </c>
      <c r="Q23" t="s">
        <v>161</v>
      </c>
      <c r="R23" t="s">
        <v>168</v>
      </c>
      <c r="S23" s="18" t="s">
        <v>164</v>
      </c>
    </row>
    <row r="24" spans="1:20" x14ac:dyDescent="0.25">
      <c r="K24" t="s">
        <v>44</v>
      </c>
      <c r="L24">
        <f>COUNTIF(Scenario1[winner1-ability1],AvatarAbilities1Scenario1[[#This Row],[ability]])+COUNTIF(Scenario1[winner2-ability1],AvatarAbilities1Scenario1[[#This Row],[ability]])+COUNTIF(Scenario1[loser1-ability1],AvatarAbilities1Scenario1[[#This Row],[ability]])+COUNTIF(Scenario1[loser2-ability1],AvatarAbilities1Scenario1[[#This Row],[ability]])</f>
        <v>1</v>
      </c>
      <c r="M24">
        <f>COUNTIF(Scenario1[winner1-ability1],AvatarAbilities1Scenario1[[#This Row],[ability]])+COUNTIF(Scenario1[winner2-ability1],AvatarAbilities1Scenario1[[#This Row],[ability]])</f>
        <v>0</v>
      </c>
      <c r="N24" s="3">
        <f>IF(SUM(AvatarAbilities1Scenario1[[#This Row],[takes]]) &gt; 0,AvatarAbilities1Scenario1[[#This Row],[takes]]/SUM(AvatarAbilities1Scenario1[takes]),0)</f>
        <v>5.9523809523809521E-3</v>
      </c>
      <c r="O24" s="3">
        <f>IF(AvatarAbilities1Scenario1[[#This Row],[takes]]&gt;0,AvatarAbilities1Scenario1[[#This Row],[wins]]/AvatarAbilities1Scenario1[[#This Row],[takes]],0)</f>
        <v>0</v>
      </c>
      <c r="Q24">
        <v>1</v>
      </c>
      <c r="R24">
        <f>COUNTIFS(Scenario1[winner1],"avatar",Scenario1[winner1-pw],AvatarEquipScenario1[[#This Row],[level]])+COUNTIFS(Scenario1[winner2],"avatar",Scenario1[winner2-pw],AvatarEquipScenario1[[#This Row],[level]])+COUNTIFS(Scenario1[loser1],"avatar",Scenario1[loser1-pw],AvatarEquipScenario1[[#This Row],[level]])+COUNTIFS(Scenario1[loser2],"avatar",Scenario1[loser2-pw],AvatarEquipScenario1[[#This Row],[level]])</f>
        <v>77</v>
      </c>
      <c r="S24" s="18">
        <f>COUNTIFS(Scenario1[winner1],"avatar",Scenario1[winner1-cp],AvatarEquipScenario1[[#This Row],[level]])+COUNTIFS(Scenario1[winner2],"avatar",Scenario1[winner2-cp],AvatarEquipScenario1[[#This Row],[level]])+COUNTIFS(Scenario1[loser1],"avatar",Scenario1[loser1-cp],AvatarEquipScenario1[[#This Row],[level]])+COUNTIFS(Scenario1[loser2],"avatar",Scenario1[loser2-cp],AvatarEquipScenario1[[#This Row],[level]])</f>
        <v>145</v>
      </c>
    </row>
    <row r="25" spans="1:20" x14ac:dyDescent="0.25">
      <c r="K25" t="s">
        <v>135</v>
      </c>
      <c r="L25">
        <f>COUNTIF(Scenario1[winner1-ability1],AvatarAbilities1Scenario1[[#This Row],[ability]])+COUNTIF(Scenario1[winner2-ability1],AvatarAbilities1Scenario1[[#This Row],[ability]])+COUNTIF(Scenario1[loser1-ability1],AvatarAbilities1Scenario1[[#This Row],[ability]])+COUNTIF(Scenario1[loser2-ability1],AvatarAbilities1Scenario1[[#This Row],[ability]])</f>
        <v>25</v>
      </c>
      <c r="M25">
        <f>COUNTIF(Scenario1[winner1-ability1],AvatarAbilities1Scenario1[[#This Row],[ability]])+COUNTIF(Scenario1[winner2-ability1],AvatarAbilities1Scenario1[[#This Row],[ability]])</f>
        <v>18</v>
      </c>
      <c r="N25" s="3">
        <f>IF(SUM(AvatarAbilities1Scenario1[[#This Row],[takes]]) &gt; 0,AvatarAbilities1Scenario1[[#This Row],[takes]]/SUM(AvatarAbilities1Scenario1[takes]),0)</f>
        <v>0.14880952380952381</v>
      </c>
      <c r="O25" s="3">
        <f>IF(AvatarAbilities1Scenario1[[#This Row],[takes]]&gt;0,AvatarAbilities1Scenario1[[#This Row],[wins]]/AvatarAbilities1Scenario1[[#This Row],[takes]],0)</f>
        <v>0.72</v>
      </c>
      <c r="Q25">
        <v>2</v>
      </c>
      <c r="R25">
        <f>COUNTIFS(Scenario1[winner1],"avatar",Scenario1[winner1-pw],AvatarEquipScenario1[[#This Row],[level]])+COUNTIFS(Scenario1[winner2],"avatar",Scenario1[winner2-pw],AvatarEquipScenario1[[#This Row],[level]])+COUNTIFS(Scenario1[loser1],"avatar",Scenario1[loser1-pw],AvatarEquipScenario1[[#This Row],[level]])+COUNTIFS(Scenario1[loser2],"avatar",Scenario1[loser2-pw],AvatarEquipScenario1[[#This Row],[level]])</f>
        <v>50</v>
      </c>
      <c r="S25" s="18">
        <f>COUNTIFS(Scenario1[winner1],"avatar",Scenario1[winner1-cp],AvatarEquipScenario1[[#This Row],[level]])+COUNTIFS(Scenario1[winner2],"avatar",Scenario1[winner2-cp],AvatarEquipScenario1[[#This Row],[level]])+COUNTIFS(Scenario1[loser1],"avatar",Scenario1[loser1-cp],AvatarEquipScenario1[[#This Row],[level]])+COUNTIFS(Scenario1[loser2],"avatar",Scenario1[loser2-cp],AvatarEquipScenario1[[#This Row],[level]])</f>
        <v>16</v>
      </c>
    </row>
    <row r="26" spans="1:20" x14ac:dyDescent="0.25">
      <c r="K26" t="s">
        <v>73</v>
      </c>
      <c r="L26">
        <f>COUNTIF(Scenario1[winner1-ability1],AvatarAbilities1Scenario1[[#This Row],[ability]])+COUNTIF(Scenario1[winner2-ability1],AvatarAbilities1Scenario1[[#This Row],[ability]])+COUNTIF(Scenario1[loser1-ability1],AvatarAbilities1Scenario1[[#This Row],[ability]])+COUNTIF(Scenario1[loser2-ability1],AvatarAbilities1Scenario1[[#This Row],[ability]])</f>
        <v>142</v>
      </c>
      <c r="M26">
        <f>COUNTIF(Scenario1[winner1-ability1],AvatarAbilities1Scenario1[[#This Row],[ability]])+COUNTIF(Scenario1[winner2-ability1],AvatarAbilities1Scenario1[[#This Row],[ability]])</f>
        <v>75</v>
      </c>
      <c r="N26" s="3">
        <f>IF(SUM(AvatarAbilities1Scenario1[[#This Row],[takes]]) &gt; 0,AvatarAbilities1Scenario1[[#This Row],[takes]]/SUM(AvatarAbilities1Scenario1[takes]),0)</f>
        <v>0.84523809523809523</v>
      </c>
      <c r="O26" s="3">
        <f>IF(AvatarAbilities1Scenario1[[#This Row],[takes]]&gt;0,AvatarAbilities1Scenario1[[#This Row],[wins]]/AvatarAbilities1Scenario1[[#This Row],[takes]],0)</f>
        <v>0.528169014084507</v>
      </c>
      <c r="Q26">
        <v>3</v>
      </c>
      <c r="R26">
        <f>COUNTIFS(Scenario1[winner1],"avatar",Scenario1[winner1-pw],AvatarEquipScenario1[[#This Row],[level]])+COUNTIFS(Scenario1[winner2],"avatar",Scenario1[winner2-pw],AvatarEquipScenario1[[#This Row],[level]])+COUNTIFS(Scenario1[loser1],"avatar",Scenario1[loser1-pw],AvatarEquipScenario1[[#This Row],[level]])+COUNTIFS(Scenario1[loser2],"avatar",Scenario1[loser2-pw],AvatarEquipScenario1[[#This Row],[level]])</f>
        <v>41</v>
      </c>
      <c r="S26" s="18">
        <f>COUNTIFS(Scenario1[winner1],"avatar",Scenario1[winner1-cp],AvatarEquipScenario1[[#This Row],[level]])+COUNTIFS(Scenario1[winner2],"avatar",Scenario1[winner2-cp],AvatarEquipScenario1[[#This Row],[level]])+COUNTIFS(Scenario1[loser1],"avatar",Scenario1[loser1-cp],AvatarEquipScenario1[[#This Row],[level]])+COUNTIFS(Scenario1[loser2],"avatar",Scenario1[loser2-cp],AvatarEquipScenario1[[#This Row],[level]])</f>
        <v>7</v>
      </c>
    </row>
    <row r="27" spans="1:20" x14ac:dyDescent="0.25">
      <c r="K27" s="17"/>
      <c r="N27" s="3"/>
      <c r="O27" s="3"/>
      <c r="S27" s="18"/>
    </row>
    <row r="28" spans="1:20" x14ac:dyDescent="0.25">
      <c r="K28" s="19" t="s">
        <v>109</v>
      </c>
      <c r="L28" s="8" t="s">
        <v>110</v>
      </c>
      <c r="M28" s="8" t="s">
        <v>79</v>
      </c>
      <c r="N28" s="9" t="s">
        <v>117</v>
      </c>
      <c r="O28" s="9" t="s">
        <v>118</v>
      </c>
      <c r="S28" s="18"/>
    </row>
    <row r="29" spans="1:20" x14ac:dyDescent="0.25">
      <c r="K29" s="2" t="s">
        <v>74</v>
      </c>
      <c r="L29" s="2">
        <f>COUNTIF(Scenario1[winner1-ability2],AvatarAbilities2Scenario1[[#This Row],[ability]])+COUNTIF(Scenario1[winner2-ability2],AvatarAbilities2Scenario1[[#This Row],[ability]])+COUNTIF(Scenario1[loser1-ability2],AvatarAbilities2Scenario1[[#This Row],[ability]])+COUNTIF(Scenario1[loser2-ability2],AvatarAbilities2Scenario1[[#This Row],[ability]])</f>
        <v>49</v>
      </c>
      <c r="M29" s="2">
        <f>COUNTIF(Scenario1[winner1-ability2],AvatarAbilities2Scenario1[[#This Row],[ability]])+COUNTIF(Scenario1[winner2-ability2],AvatarAbilities2Scenario1[[#This Row],[ability]])</f>
        <v>30</v>
      </c>
      <c r="N29" s="12">
        <f>IF(SUM(AvatarAbilities2Scenario1[[#This Row],[takes]]) &gt; 0,AvatarAbilities2Scenario1[[#This Row],[takes]]/SUM(AvatarAbilities2Scenario1[takes]),0)</f>
        <v>0.3141025641025641</v>
      </c>
      <c r="O29" s="12">
        <f>IF(AvatarAbilities2Scenario1[[#This Row],[takes]]&gt;0,AvatarAbilities2Scenario1[[#This Row],[wins]]/AvatarAbilities2Scenario1[[#This Row],[takes]],0)</f>
        <v>0.61224489795918369</v>
      </c>
      <c r="S29" s="18"/>
    </row>
    <row r="30" spans="1:20" x14ac:dyDescent="0.25">
      <c r="K30" t="s">
        <v>136</v>
      </c>
      <c r="L30" s="2">
        <f>COUNTIF(Scenario1[winner1-ability2],AvatarAbilities2Scenario1[[#This Row],[ability]])+COUNTIF(Scenario1[winner2-ability2],AvatarAbilities2Scenario1[[#This Row],[ability]])+COUNTIF(Scenario1[loser1-ability2],AvatarAbilities2Scenario1[[#This Row],[ability]])+COUNTIF(Scenario1[loser2-ability2],AvatarAbilities2Scenario1[[#This Row],[ability]])</f>
        <v>34</v>
      </c>
      <c r="M30" s="2">
        <f>COUNTIF(Scenario1[winner1-ability2],AvatarAbilities2Scenario1[[#This Row],[ability]])+COUNTIF(Scenario1[winner2-ability2],AvatarAbilities2Scenario1[[#This Row],[ability]])</f>
        <v>13</v>
      </c>
      <c r="N30" s="3">
        <f>IF(SUM(AvatarAbilities2Scenario1[[#This Row],[takes]]) &gt; 0,AvatarAbilities2Scenario1[[#This Row],[takes]]/SUM(AvatarAbilities2Scenario1[takes]),0)</f>
        <v>0.21794871794871795</v>
      </c>
      <c r="O30" s="3">
        <f>IF(AvatarAbilities2Scenario1[[#This Row],[takes]]&gt;0,AvatarAbilities2Scenario1[[#This Row],[wins]]/AvatarAbilities2Scenario1[[#This Row],[takes]],0)</f>
        <v>0.38235294117647056</v>
      </c>
      <c r="S30" s="18"/>
    </row>
    <row r="31" spans="1:20" x14ac:dyDescent="0.25">
      <c r="K31" s="10" t="s">
        <v>99</v>
      </c>
      <c r="L31" s="2">
        <f>COUNTIF(Scenario1[winner1-ability2],AvatarAbilities2Scenario1[[#This Row],[ability]])+COUNTIF(Scenario1[winner2-ability2],AvatarAbilities2Scenario1[[#This Row],[ability]])+COUNTIF(Scenario1[loser1-ability2],AvatarAbilities2Scenario1[[#This Row],[ability]])+COUNTIF(Scenario1[loser2-ability2],AvatarAbilities2Scenario1[[#This Row],[ability]])</f>
        <v>73</v>
      </c>
      <c r="M31" s="2">
        <f>COUNTIF(Scenario1[winner1-ability2],AvatarAbilities2Scenario1[[#This Row],[ability]])+COUNTIF(Scenario1[winner2-ability2],AvatarAbilities2Scenario1[[#This Row],[ability]])</f>
        <v>47</v>
      </c>
      <c r="N31" s="13">
        <f>IF(SUM(AvatarAbilities2Scenario1[[#This Row],[takes]]) &gt; 0,AvatarAbilities2Scenario1[[#This Row],[takes]]/SUM(AvatarAbilities2Scenario1[takes]),0)</f>
        <v>0.46794871794871795</v>
      </c>
      <c r="O31" s="13">
        <f>IF(AvatarAbilities2Scenario1[[#This Row],[takes]]&gt;0,AvatarAbilities2Scenario1[[#This Row],[wins]]/AvatarAbilities2Scenario1[[#This Row],[takes]],0)</f>
        <v>0.64383561643835618</v>
      </c>
      <c r="S31" s="18"/>
    </row>
    <row r="32" spans="1:20" x14ac:dyDescent="0.25">
      <c r="K32" s="17"/>
      <c r="N32" s="3"/>
      <c r="O32" s="3"/>
      <c r="S32" s="18"/>
    </row>
    <row r="33" spans="11:20" x14ac:dyDescent="0.25">
      <c r="K33" s="19" t="s">
        <v>109</v>
      </c>
      <c r="L33" s="8" t="s">
        <v>110</v>
      </c>
      <c r="M33" s="8" t="s">
        <v>79</v>
      </c>
      <c r="N33" s="9" t="s">
        <v>117</v>
      </c>
      <c r="O33" s="9" t="s">
        <v>118</v>
      </c>
      <c r="S33" s="18"/>
    </row>
    <row r="34" spans="11:20" x14ac:dyDescent="0.25">
      <c r="K34" s="1" t="s">
        <v>137</v>
      </c>
      <c r="L34" s="1">
        <f>COUNTIF(Scenario1[winner1-ability3],AvatarAbilities3Scenario1[[#This Row],[ability]])+COUNTIF(Scenario1[winner2-ability3],AvatarAbilities3Scenario1[[#This Row],[ability]])+COUNTIF(Scenario1[loser1-ability3],AvatarAbilities3Scenario1[[#This Row],[ability]])+COUNTIF(Scenario1[loser2-ability3],AvatarAbilities3Scenario1[[#This Row],[ability]])</f>
        <v>23</v>
      </c>
      <c r="M34" s="1">
        <f>COUNTIF(Scenario1[winner1-ability3],AvatarAbilities3Scenario1[[#This Row],[ability]])+COUNTIF(Scenario1[winner2-ability3],AvatarAbilities3Scenario1[[#This Row],[ability]])</f>
        <v>12</v>
      </c>
      <c r="N34" s="14">
        <f>IF(SUM(AvatarAbilities3Scenario1[[#This Row],[takes]]) &gt; 0,AvatarAbilities3Scenario1[[#This Row],[takes]]/SUM(AvatarAbilities3Scenario1[takes]),0)</f>
        <v>0.19327731092436976</v>
      </c>
      <c r="O34" s="14">
        <f>IF(AvatarAbilities3Scenario1[[#This Row],[takes]]&gt;0,AvatarAbilities3Scenario1[[#This Row],[wins]]/AvatarAbilities3Scenario1[[#This Row],[takes]],0)</f>
        <v>0.52173913043478259</v>
      </c>
      <c r="S34" s="18"/>
    </row>
    <row r="35" spans="11:20" x14ac:dyDescent="0.25">
      <c r="K35" s="2" t="s">
        <v>100</v>
      </c>
      <c r="L35" s="2">
        <f>COUNTIF(Scenario1[winner1-ability3],AvatarAbilities3Scenario1[[#This Row],[ability]])+COUNTIF(Scenario1[winner2-ability3],AvatarAbilities3Scenario1[[#This Row],[ability]])+COUNTIF(Scenario1[loser1-ability3],AvatarAbilities3Scenario1[[#This Row],[ability]])+COUNTIF(Scenario1[loser2-ability3],AvatarAbilities3Scenario1[[#This Row],[ability]])</f>
        <v>56</v>
      </c>
      <c r="M35" s="2">
        <f>COUNTIF(Scenario1[winner1-ability3],AvatarAbilities3Scenario1[[#This Row],[ability]])+COUNTIF(Scenario1[winner2-ability3],AvatarAbilities3Scenario1[[#This Row],[ability]])</f>
        <v>32</v>
      </c>
      <c r="N35" s="12">
        <f>IF(SUM(AvatarAbilities3Scenario1[[#This Row],[takes]]) &gt; 0,AvatarAbilities3Scenario1[[#This Row],[takes]]/SUM(AvatarAbilities3Scenario1[takes]),0)</f>
        <v>0.47058823529411764</v>
      </c>
      <c r="O35" s="12">
        <f>IF(AvatarAbilities3Scenario1[[#This Row],[takes]]&gt;0,AvatarAbilities3Scenario1[[#This Row],[wins]]/AvatarAbilities3Scenario1[[#This Row],[takes]],0)</f>
        <v>0.5714285714285714</v>
      </c>
      <c r="S35" s="18"/>
    </row>
    <row r="36" spans="11:20" x14ac:dyDescent="0.25">
      <c r="K36" s="11" t="s">
        <v>75</v>
      </c>
      <c r="L36" s="1">
        <f>COUNTIF(Scenario1[winner1-ability3],AvatarAbilities3Scenario1[[#This Row],[ability]])+COUNTIF(Scenario1[winner2-ability3],AvatarAbilities3Scenario1[[#This Row],[ability]])+COUNTIF(Scenario1[loser1-ability3],AvatarAbilities3Scenario1[[#This Row],[ability]])+COUNTIF(Scenario1[loser2-ability3],AvatarAbilities3Scenario1[[#This Row],[ability]])</f>
        <v>40</v>
      </c>
      <c r="M36" s="1">
        <f>COUNTIF(Scenario1[winner1-ability3],AvatarAbilities3Scenario1[[#This Row],[ability]])+COUNTIF(Scenario1[winner2-ability3],AvatarAbilities3Scenario1[[#This Row],[ability]])</f>
        <v>29</v>
      </c>
      <c r="N36" s="15">
        <f>IF(SUM(AvatarAbilities3Scenario1[[#This Row],[takes]]) &gt; 0,AvatarAbilities3Scenario1[[#This Row],[takes]]/SUM(AvatarAbilities3Scenario1[takes]),0)</f>
        <v>0.33613445378151263</v>
      </c>
      <c r="O36" s="15">
        <f>IF(AvatarAbilities3Scenario1[[#This Row],[takes]]&gt;0,AvatarAbilities3Scenario1[[#This Row],[wins]]/AvatarAbilities3Scenario1[[#This Row],[takes]],0)</f>
        <v>0.72499999999999998</v>
      </c>
      <c r="S36" s="18"/>
    </row>
    <row r="37" spans="11:20" x14ac:dyDescent="0.25">
      <c r="K37" s="17"/>
      <c r="N37" s="3"/>
      <c r="O37" s="3"/>
      <c r="S37" s="18"/>
    </row>
    <row r="38" spans="11:20" x14ac:dyDescent="0.25">
      <c r="K38" s="19" t="s">
        <v>109</v>
      </c>
      <c r="L38" s="8" t="s">
        <v>110</v>
      </c>
      <c r="M38" s="8" t="s">
        <v>79</v>
      </c>
      <c r="N38" s="9" t="s">
        <v>117</v>
      </c>
      <c r="O38" s="9" t="s">
        <v>118</v>
      </c>
      <c r="S38" s="18"/>
    </row>
    <row r="39" spans="11:20" x14ac:dyDescent="0.25">
      <c r="K39" s="2" t="s">
        <v>138</v>
      </c>
      <c r="L39" s="2">
        <f>COUNTIF(Scenario1[winner1-ability4],AvatarAbilities4Scenario1[[#This Row],[ability]])+COUNTIF(Scenario1[winner2-ability4],AvatarAbilities4Scenario1[[#This Row],[ability]])+COUNTIF(Scenario1[loser1-ability4],AvatarAbilities4Scenario1[[#This Row],[ability]])+COUNTIF(Scenario1[loser2-ability4],AvatarAbilities4Scenario1[[#This Row],[ability]])</f>
        <v>11</v>
      </c>
      <c r="M39" s="2">
        <f>COUNTIF(Scenario1[winner1-ability4],AvatarAbilities4Scenario1[[#This Row],[ability]])+COUNTIF(Scenario1[winner2-ability4],AvatarAbilities4Scenario1[[#This Row],[ability]])</f>
        <v>10</v>
      </c>
      <c r="N39" s="12">
        <f>IF(SUM(AvatarAbilities4Scenario1[[#This Row],[takes]]) &gt; 0,AvatarAbilities4Scenario1[[#This Row],[takes]]/SUM(AvatarAbilities4Scenario1[takes]),0)</f>
        <v>0.15068493150684931</v>
      </c>
      <c r="O39" s="12">
        <f>IF(AvatarAbilities4Scenario1[[#This Row],[takes]]&gt;0,AvatarAbilities4Scenario1[[#This Row],[wins]]/AvatarAbilities4Scenario1[[#This Row],[takes]],0)</f>
        <v>0.90909090909090906</v>
      </c>
      <c r="S39" s="18"/>
    </row>
    <row r="40" spans="11:20" x14ac:dyDescent="0.25">
      <c r="K40" s="2" t="s">
        <v>101</v>
      </c>
      <c r="L40" s="2">
        <f>COUNTIF(Scenario1[winner1-ability4],AvatarAbilities4Scenario1[[#This Row],[ability]])+COUNTIF(Scenario1[winner2-ability4],AvatarAbilities4Scenario1[[#This Row],[ability]])+COUNTIF(Scenario1[loser1-ability4],AvatarAbilities4Scenario1[[#This Row],[ability]])+COUNTIF(Scenario1[loser2-ability4],AvatarAbilities4Scenario1[[#This Row],[ability]])</f>
        <v>50</v>
      </c>
      <c r="M40" s="2">
        <f>COUNTIF(Scenario1[winner1-ability4],AvatarAbilities4Scenario1[[#This Row],[ability]])+COUNTIF(Scenario1[winner2-ability4],AvatarAbilities4Scenario1[[#This Row],[ability]])</f>
        <v>24</v>
      </c>
      <c r="N40" s="12">
        <f>IF(SUM(AvatarAbilities4Scenario1[[#This Row],[takes]]) &gt; 0,AvatarAbilities4Scenario1[[#This Row],[takes]]/SUM(AvatarAbilities4Scenario1[takes]),0)</f>
        <v>0.68493150684931503</v>
      </c>
      <c r="O40" s="12">
        <f>IF(AvatarAbilities4Scenario1[[#This Row],[takes]]&gt;0,AvatarAbilities4Scenario1[[#This Row],[wins]]/AvatarAbilities4Scenario1[[#This Row],[takes]],0)</f>
        <v>0.48</v>
      </c>
      <c r="S40" s="18"/>
    </row>
    <row r="41" spans="11:20" ht="15.75" thickBot="1" x14ac:dyDescent="0.3">
      <c r="K41" s="10" t="s">
        <v>139</v>
      </c>
      <c r="L41" s="25">
        <f>COUNTIF(Scenario1[winner1-ability4],AvatarAbilities4Scenario1[[#This Row],[ability]])+COUNTIF(Scenario1[winner2-ability4],AvatarAbilities4Scenario1[[#This Row],[ability]])+COUNTIF(Scenario1[loser1-ability4],AvatarAbilities4Scenario1[[#This Row],[ability]])+COUNTIF(Scenario1[loser2-ability4],AvatarAbilities4Scenario1[[#This Row],[ability]])</f>
        <v>12</v>
      </c>
      <c r="M41" s="25">
        <f>COUNTIF(Scenario1[winner1-ability4],AvatarAbilities4Scenario1[[#This Row],[ability]])+COUNTIF(Scenario1[winner2-ability4],AvatarAbilities4Scenario1[[#This Row],[ability]])</f>
        <v>8</v>
      </c>
      <c r="N41" s="26">
        <f>IF(SUM(AvatarAbilities4Scenario1[[#This Row],[takes]]) &gt; 0,AvatarAbilities4Scenario1[[#This Row],[takes]]/SUM(AvatarAbilities4Scenario1[takes]),0)</f>
        <v>0.16438356164383561</v>
      </c>
      <c r="O41" s="26">
        <f>IF(AvatarAbilities4Scenario1[[#This Row],[takes]]&gt;0,AvatarAbilities4Scenario1[[#This Row],[wins]]/AvatarAbilities4Scenario1[[#This Row],[takes]],0)</f>
        <v>0.66666666666666663</v>
      </c>
      <c r="P41" s="27"/>
      <c r="Q41" s="27"/>
      <c r="R41" s="27"/>
      <c r="S41" s="28"/>
    </row>
    <row r="42" spans="11:20" ht="15.75" thickBot="1" x14ac:dyDescent="0.3"/>
    <row r="43" spans="11:20" ht="15.75" thickBot="1" x14ac:dyDescent="0.3">
      <c r="K43" s="36" t="s">
        <v>184</v>
      </c>
      <c r="L43" s="37"/>
      <c r="M43" s="37"/>
      <c r="N43" s="37"/>
      <c r="O43" s="37"/>
      <c r="P43" s="37"/>
      <c r="Q43" s="37"/>
      <c r="R43" s="37"/>
      <c r="S43" s="38"/>
      <c r="T43" s="29"/>
    </row>
    <row r="44" spans="11:20" x14ac:dyDescent="0.25">
      <c r="K44" s="17" t="s">
        <v>109</v>
      </c>
      <c r="L44" t="s">
        <v>110</v>
      </c>
      <c r="M44" t="s">
        <v>79</v>
      </c>
      <c r="N44" s="3" t="s">
        <v>117</v>
      </c>
      <c r="O44" s="3" t="s">
        <v>118</v>
      </c>
      <c r="Q44" t="s">
        <v>161</v>
      </c>
      <c r="R44" t="s">
        <v>168</v>
      </c>
      <c r="S44" s="18" t="s">
        <v>164</v>
      </c>
    </row>
    <row r="45" spans="11:20" x14ac:dyDescent="0.25">
      <c r="K45" t="s">
        <v>44</v>
      </c>
      <c r="L45">
        <f>COUNTIF(Scenario2[winner1-ability1],AvatarAbilities1Scenario2[[#This Row],[ability]])+COUNTIF(Scenario2[loser1-ability1],AvatarAbilities1Scenario2[[#This Row],[ability]])</f>
        <v>0</v>
      </c>
      <c r="M45">
        <f>COUNTIF(Scenario2[winner1-ability1],AvatarAbilities1Scenario2[[#This Row],[ability]])</f>
        <v>0</v>
      </c>
      <c r="N45" s="3">
        <f>IF(SUM(AvatarAbilities1Scenario2[[#This Row],[takes]]) &gt; 0,AvatarAbilities1Scenario2[[#This Row],[takes]]/SUM(AvatarAbilities1Scenario2[takes]),0)</f>
        <v>0</v>
      </c>
      <c r="O45" s="3">
        <f>IF(AvatarAbilities1Scenario2[[#This Row],[takes]]&gt;0,AvatarAbilities1Scenario2[[#This Row],[wins]]/AvatarAbilities1Scenario2[[#This Row],[takes]],0)</f>
        <v>0</v>
      </c>
      <c r="Q45">
        <v>1</v>
      </c>
      <c r="R45">
        <f>COUNTIFS(Scenario2[winner1],"avatar",Scenario2[winner1-pw],AvatarEquipScenario2[[#This Row],[level]])+COUNTIFS(Scenario2[loser1],"avatar",Scenario2[loser1-pw],AvatarEquipScenario2[[#This Row],[level]])</f>
        <v>0</v>
      </c>
      <c r="S45" s="18">
        <f>COUNTIFS(Scenario2[winner1],"avatar",Scenario2[winner1-cp],AvatarEquipScenario2[[#This Row],[level]])+COUNTIFS(Scenario2[loser1],"avatar",Scenario2[loser1-cp],AvatarEquipScenario2[[#This Row],[level]])</f>
        <v>9</v>
      </c>
    </row>
    <row r="46" spans="11:20" x14ac:dyDescent="0.25">
      <c r="K46" t="s">
        <v>135</v>
      </c>
      <c r="L46">
        <f>COUNTIF(Scenario2[winner1-ability1],AvatarAbilities1Scenario2[[#This Row],[ability]])+COUNTIF(Scenario2[loser1-ability1],AvatarAbilities1Scenario2[[#This Row],[ability]])</f>
        <v>16</v>
      </c>
      <c r="M46">
        <f>COUNTIF(Scenario2[winner1-ability1],AvatarAbilities1Scenario2[[#This Row],[ability]])</f>
        <v>8</v>
      </c>
      <c r="N46" s="3">
        <f>IF(SUM(AvatarAbilities1Scenario2[[#This Row],[takes]]) &gt; 0,AvatarAbilities1Scenario2[[#This Row],[takes]]/SUM(AvatarAbilities1Scenario2[takes]),0)</f>
        <v>1</v>
      </c>
      <c r="O46" s="3">
        <f>IF(AvatarAbilities1Scenario2[[#This Row],[takes]]&gt;0,AvatarAbilities1Scenario2[[#This Row],[wins]]/AvatarAbilities1Scenario2[[#This Row],[takes]],0)</f>
        <v>0.5</v>
      </c>
      <c r="Q46">
        <v>2</v>
      </c>
      <c r="R46">
        <f>COUNTIFS(Scenario2[winner1],"avatar",Scenario2[winner1-pw],AvatarEquipScenario2[[#This Row],[level]])+COUNTIFS(Scenario2[loser1],"avatar",Scenario2[loser1-pw],AvatarEquipScenario2[[#This Row],[level]])</f>
        <v>5</v>
      </c>
      <c r="S46" s="18">
        <f>COUNTIFS(Scenario2[winner1],"avatar",Scenario2[winner1-cp],AvatarEquipScenario2[[#This Row],[level]])+COUNTIFS(Scenario2[loser1],"avatar",Scenario2[loser1-cp],AvatarEquipScenario2[[#This Row],[level]])</f>
        <v>3</v>
      </c>
    </row>
    <row r="47" spans="11:20" x14ac:dyDescent="0.25">
      <c r="K47" t="s">
        <v>73</v>
      </c>
      <c r="L47">
        <f>COUNTIF(Scenario2[winner1-ability1],AvatarAbilities1Scenario2[[#This Row],[ability]])+COUNTIF(Scenario2[loser1-ability1],AvatarAbilities1Scenario2[[#This Row],[ability]])</f>
        <v>0</v>
      </c>
      <c r="M47">
        <f>COUNTIF(Scenario2[winner1-ability1],AvatarAbilities1Scenario2[[#This Row],[ability]])</f>
        <v>0</v>
      </c>
      <c r="N47" s="3">
        <f>IF(SUM(AvatarAbilities1Scenario2[[#This Row],[takes]]) &gt; 0,AvatarAbilities1Scenario2[[#This Row],[takes]]/SUM(AvatarAbilities1Scenario2[takes]),0)</f>
        <v>0</v>
      </c>
      <c r="O47" s="3">
        <f>IF(AvatarAbilities1Scenario2[[#This Row],[takes]]&gt;0,AvatarAbilities1Scenario2[[#This Row],[wins]]/AvatarAbilities1Scenario2[[#This Row],[takes]],0)</f>
        <v>0</v>
      </c>
      <c r="Q47">
        <v>3</v>
      </c>
      <c r="R47">
        <f>COUNTIFS(Scenario2[winner1],"avatar",Scenario2[winner1-pw],AvatarEquipScenario2[[#This Row],[level]])+COUNTIFS(Scenario2[loser1],"avatar",Scenario2[loser1-pw],AvatarEquipScenario2[[#This Row],[level]])</f>
        <v>11</v>
      </c>
      <c r="S47" s="18">
        <f>COUNTIFS(Scenario2[winner1],"avatar",Scenario2[winner1-cp],AvatarEquipScenario2[[#This Row],[level]])+COUNTIFS(Scenario2[loser1],"avatar",Scenario2[loser1-cp],AvatarEquipScenario2[[#This Row],[level]])</f>
        <v>4</v>
      </c>
    </row>
    <row r="48" spans="11:20" x14ac:dyDescent="0.25">
      <c r="K48" s="17"/>
      <c r="N48" s="3"/>
      <c r="O48" s="3"/>
      <c r="S48" s="18"/>
    </row>
    <row r="49" spans="11:19" x14ac:dyDescent="0.25">
      <c r="K49" s="19" t="s">
        <v>109</v>
      </c>
      <c r="L49" s="8" t="s">
        <v>110</v>
      </c>
      <c r="M49" s="8" t="s">
        <v>79</v>
      </c>
      <c r="N49" s="9" t="s">
        <v>117</v>
      </c>
      <c r="O49" s="9" t="s">
        <v>118</v>
      </c>
      <c r="S49" s="18"/>
    </row>
    <row r="50" spans="11:19" x14ac:dyDescent="0.25">
      <c r="K50" s="2" t="s">
        <v>74</v>
      </c>
      <c r="L50" s="2">
        <f>COUNTIF(Scenario2[winner1-ability2],AvatarAbilities2Scenario2[[#This Row],[ability]])+COUNTIF(Scenario2[loser1-ability2],AvatarAbilities2Scenario2[[#This Row],[ability]])</f>
        <v>7</v>
      </c>
      <c r="M50" s="2">
        <f>COUNTIF(Scenario2[winner1-ability2],AvatarAbilities2Scenario2[[#This Row],[ability]])</f>
        <v>1</v>
      </c>
      <c r="N50" s="12">
        <f>IF(SUM(AvatarAbilities2Scenario2[[#This Row],[takes]]) &gt; 0,AvatarAbilities2Scenario2[[#This Row],[takes]]/SUM(AvatarAbilities2Scenario2[takes]),0)</f>
        <v>0.5</v>
      </c>
      <c r="O50" s="12">
        <f>IF(AvatarAbilities2Scenario2[[#This Row],[takes]]&gt;0,AvatarAbilities2Scenario2[[#This Row],[wins]]/AvatarAbilities2Scenario2[[#This Row],[takes]],0)</f>
        <v>0.14285714285714285</v>
      </c>
      <c r="S50" s="18"/>
    </row>
    <row r="51" spans="11:19" x14ac:dyDescent="0.25">
      <c r="K51" t="s">
        <v>136</v>
      </c>
      <c r="L51" s="2">
        <f>COUNTIF(Scenario2[winner1-ability2],AvatarAbilities2Scenario2[[#This Row],[ability]])+COUNTIF(Scenario2[loser1-ability2],AvatarAbilities2Scenario2[[#This Row],[ability]])</f>
        <v>6</v>
      </c>
      <c r="M51" s="2">
        <f>COUNTIF(Scenario2[winner1-ability2],AvatarAbilities2Scenario2[[#This Row],[ability]])</f>
        <v>4</v>
      </c>
      <c r="N51" s="3">
        <f>IF(SUM(AvatarAbilities2Scenario2[[#This Row],[takes]]) &gt; 0,AvatarAbilities2Scenario2[[#This Row],[takes]]/SUM(AvatarAbilities2Scenario2[takes]),0)</f>
        <v>0.42857142857142855</v>
      </c>
      <c r="O51" s="3">
        <f>IF(AvatarAbilities2Scenario2[[#This Row],[takes]]&gt;0,AvatarAbilities2Scenario2[[#This Row],[wins]]/AvatarAbilities2Scenario2[[#This Row],[takes]],0)</f>
        <v>0.66666666666666663</v>
      </c>
      <c r="S51" s="18"/>
    </row>
    <row r="52" spans="11:19" x14ac:dyDescent="0.25">
      <c r="K52" s="10" t="s">
        <v>99</v>
      </c>
      <c r="L52" s="2">
        <f>COUNTIF(Scenario2[winner1-ability2],AvatarAbilities2Scenario2[[#This Row],[ability]])+COUNTIF(Scenario2[loser1-ability2],AvatarAbilities2Scenario2[[#This Row],[ability]])</f>
        <v>1</v>
      </c>
      <c r="M52" s="2">
        <f>COUNTIF(Scenario2[winner1-ability2],AvatarAbilities2Scenario2[[#This Row],[ability]])</f>
        <v>1</v>
      </c>
      <c r="N52" s="13">
        <f>IF(SUM(AvatarAbilities2Scenario2[[#This Row],[takes]]) &gt; 0,AvatarAbilities2Scenario2[[#This Row],[takes]]/SUM(AvatarAbilities2Scenario2[takes]),0)</f>
        <v>7.1428571428571425E-2</v>
      </c>
      <c r="O52" s="13">
        <f>IF(AvatarAbilities2Scenario2[[#This Row],[takes]]&gt;0,AvatarAbilities2Scenario2[[#This Row],[wins]]/AvatarAbilities2Scenario2[[#This Row],[takes]],0)</f>
        <v>1</v>
      </c>
      <c r="S52" s="18"/>
    </row>
    <row r="53" spans="11:19" x14ac:dyDescent="0.25">
      <c r="K53" s="17"/>
      <c r="N53" s="3"/>
      <c r="O53" s="3"/>
      <c r="S53" s="18"/>
    </row>
    <row r="54" spans="11:19" x14ac:dyDescent="0.25">
      <c r="K54" s="19" t="s">
        <v>109</v>
      </c>
      <c r="L54" s="8" t="s">
        <v>110</v>
      </c>
      <c r="M54" s="8" t="s">
        <v>79</v>
      </c>
      <c r="N54" s="9" t="s">
        <v>117</v>
      </c>
      <c r="O54" s="9" t="s">
        <v>118</v>
      </c>
      <c r="S54" s="18"/>
    </row>
    <row r="55" spans="11:19" x14ac:dyDescent="0.25">
      <c r="K55" s="1" t="s">
        <v>137</v>
      </c>
      <c r="L55" s="1">
        <f>COUNTIF(Scenario2[winner1-ability3],AvatarAbilities3Scenario2[[#This Row],[ability]])+COUNTIF(Scenario2[loser1-ability3],AvatarAbilities3Scenario2[[#This Row],[ability]])</f>
        <v>8</v>
      </c>
      <c r="M55" s="1">
        <f>COUNTIF(Scenario2[winner1-ability3],AvatarAbilities3Scenario2[[#This Row],[ability]])</f>
        <v>4</v>
      </c>
      <c r="N55" s="14">
        <f>IF(SUM(AvatarAbilities3Scenario2[[#This Row],[takes]]) &gt; 0,AvatarAbilities3Scenario2[[#This Row],[takes]]/SUM(AvatarAbilities3Scenario2[takes]),0)</f>
        <v>0.8</v>
      </c>
      <c r="O55" s="14">
        <f>IF(AvatarAbilities3Scenario2[[#This Row],[takes]]&gt;0,AvatarAbilities3Scenario2[[#This Row],[wins]]/AvatarAbilities3Scenario2[[#This Row],[takes]],0)</f>
        <v>0.5</v>
      </c>
      <c r="S55" s="18"/>
    </row>
    <row r="56" spans="11:19" x14ac:dyDescent="0.25">
      <c r="K56" s="2" t="s">
        <v>100</v>
      </c>
      <c r="L56" s="2">
        <f>COUNTIF(Scenario2[winner1-ability3],AvatarAbilities3Scenario2[[#This Row],[ability]])+COUNTIF(Scenario2[loser1-ability3],AvatarAbilities3Scenario2[[#This Row],[ability]])</f>
        <v>0</v>
      </c>
      <c r="M56" s="2">
        <f>COUNTIF(Scenario2[winner1-ability3],AvatarAbilities3Scenario2[[#This Row],[ability]])</f>
        <v>0</v>
      </c>
      <c r="N56" s="12">
        <f>IF(SUM(AvatarAbilities3Scenario2[[#This Row],[takes]]) &gt; 0,AvatarAbilities3Scenario2[[#This Row],[takes]]/SUM(AvatarAbilities3Scenario2[takes]),0)</f>
        <v>0</v>
      </c>
      <c r="O56" s="12">
        <f>IF(AvatarAbilities3Scenario2[[#This Row],[takes]]&gt;0,AvatarAbilities3Scenario2[[#This Row],[wins]]/AvatarAbilities3Scenario2[[#This Row],[takes]],0)</f>
        <v>0</v>
      </c>
      <c r="S56" s="18"/>
    </row>
    <row r="57" spans="11:19" x14ac:dyDescent="0.25">
      <c r="K57" s="11" t="s">
        <v>75</v>
      </c>
      <c r="L57" s="1">
        <f>COUNTIF(Scenario2[winner1-ability3],AvatarAbilities3Scenario2[[#This Row],[ability]])+COUNTIF(Scenario2[loser1-ability3],AvatarAbilities3Scenario2[[#This Row],[ability]])</f>
        <v>2</v>
      </c>
      <c r="M57" s="1">
        <f>COUNTIF(Scenario2[winner1-ability3],AvatarAbilities3Scenario2[[#This Row],[ability]])</f>
        <v>1</v>
      </c>
      <c r="N57" s="15">
        <f>IF(SUM(AvatarAbilities3Scenario2[[#This Row],[takes]]) &gt; 0,AvatarAbilities3Scenario2[[#This Row],[takes]]/SUM(AvatarAbilities3Scenario2[takes]),0)</f>
        <v>0.2</v>
      </c>
      <c r="O57" s="15">
        <f>IF(AvatarAbilities3Scenario2[[#This Row],[takes]]&gt;0,AvatarAbilities3Scenario2[[#This Row],[wins]]/AvatarAbilities3Scenario2[[#This Row],[takes]],0)</f>
        <v>0.5</v>
      </c>
      <c r="S57" s="18"/>
    </row>
    <row r="58" spans="11:19" x14ac:dyDescent="0.25">
      <c r="K58" s="17"/>
      <c r="N58" s="3"/>
      <c r="O58" s="3"/>
      <c r="S58" s="18"/>
    </row>
    <row r="59" spans="11:19" x14ac:dyDescent="0.25">
      <c r="K59" s="19" t="s">
        <v>109</v>
      </c>
      <c r="L59" s="8" t="s">
        <v>110</v>
      </c>
      <c r="M59" s="8" t="s">
        <v>79</v>
      </c>
      <c r="N59" s="9" t="s">
        <v>117</v>
      </c>
      <c r="O59" s="9" t="s">
        <v>118</v>
      </c>
      <c r="S59" s="18"/>
    </row>
    <row r="60" spans="11:19" x14ac:dyDescent="0.25">
      <c r="K60" s="2" t="s">
        <v>138</v>
      </c>
      <c r="L60" s="2">
        <f>COUNTIF(Scenario2[winner1-ability4],AvatarAbilities4Scenario2[[#This Row],[ability]])+COUNTIF(Scenario2[loser1-ability4],AvatarAbilities4Scenario2[[#This Row],[ability]])</f>
        <v>1</v>
      </c>
      <c r="M60" s="2">
        <f>COUNTIF(Scenario2[winner1-ability4],AvatarAbilities4Scenario2[[#This Row],[ability]])</f>
        <v>0</v>
      </c>
      <c r="N60" s="12">
        <f>IF(SUM(AvatarAbilities4Scenario2[[#This Row],[takes]]) &gt; 0,AvatarAbilities4Scenario2[[#This Row],[takes]]/SUM(AvatarAbilities4Scenario2[takes]),0)</f>
        <v>0.25</v>
      </c>
      <c r="O60" s="12">
        <f>IF(AvatarAbilities4Scenario2[[#This Row],[takes]]&gt;0,AvatarAbilities4Scenario2[[#This Row],[wins]]/AvatarAbilities4Scenario2[[#This Row],[takes]],0)</f>
        <v>0</v>
      </c>
      <c r="S60" s="18"/>
    </row>
    <row r="61" spans="11:19" x14ac:dyDescent="0.25">
      <c r="K61" s="2" t="s">
        <v>101</v>
      </c>
      <c r="L61" s="2">
        <f>COUNTIF(Scenario2[winner1-ability4],AvatarAbilities4Scenario2[[#This Row],[ability]])+COUNTIF(Scenario2[loser1-ability4],AvatarAbilities4Scenario2[[#This Row],[ability]])</f>
        <v>0</v>
      </c>
      <c r="M61" s="2">
        <f>COUNTIF(Scenario2[winner1-ability4],AvatarAbilities4Scenario2[[#This Row],[ability]])</f>
        <v>0</v>
      </c>
      <c r="N61" s="12">
        <f>IF(SUM(AvatarAbilities4Scenario2[[#This Row],[takes]]) &gt; 0,AvatarAbilities4Scenario2[[#This Row],[takes]]/SUM(AvatarAbilities4Scenario2[takes]),0)</f>
        <v>0</v>
      </c>
      <c r="O61" s="12">
        <f>IF(AvatarAbilities4Scenario2[[#This Row],[takes]]&gt;0,AvatarAbilities4Scenario2[[#This Row],[wins]]/AvatarAbilities4Scenario2[[#This Row],[takes]],0)</f>
        <v>0</v>
      </c>
      <c r="S61" s="18"/>
    </row>
    <row r="62" spans="11:19" ht="15.75" thickBot="1" x14ac:dyDescent="0.3">
      <c r="K62" s="10" t="s">
        <v>139</v>
      </c>
      <c r="L62" s="25">
        <f>COUNTIF(Scenario2[winner1-ability4],AvatarAbilities4Scenario2[[#This Row],[ability]])+COUNTIF(Scenario2[loser1-ability4],AvatarAbilities4Scenario2[[#This Row],[ability]])</f>
        <v>3</v>
      </c>
      <c r="M62" s="25">
        <f>COUNTIF(Scenario2[winner1-ability4],AvatarAbilities4Scenario2[[#This Row],[ability]])</f>
        <v>0</v>
      </c>
      <c r="N62" s="26">
        <f>IF(SUM(AvatarAbilities4Scenario2[[#This Row],[takes]]) &gt; 0,AvatarAbilities4Scenario2[[#This Row],[takes]]/SUM(AvatarAbilities4Scenario2[takes]),0)</f>
        <v>0.75</v>
      </c>
      <c r="O62" s="26">
        <f>IF(AvatarAbilities4Scenario2[[#This Row],[takes]]&gt;0,AvatarAbilities4Scenario2[[#This Row],[wins]]/AvatarAbilities4Scenario2[[#This Row],[takes]],0)</f>
        <v>0</v>
      </c>
      <c r="P62" s="27"/>
      <c r="Q62" s="27"/>
      <c r="R62" s="27"/>
      <c r="S62" s="28"/>
    </row>
    <row r="63" spans="11:19" ht="15.75" thickBot="1" x14ac:dyDescent="0.3"/>
    <row r="64" spans="11:19" ht="15.75" thickBot="1" x14ac:dyDescent="0.3">
      <c r="K64" s="36" t="s">
        <v>209</v>
      </c>
      <c r="L64" s="37"/>
      <c r="M64" s="37"/>
      <c r="N64" s="37"/>
      <c r="O64" s="37"/>
      <c r="P64" s="37"/>
      <c r="Q64" s="37"/>
      <c r="R64" s="37"/>
      <c r="S64" s="38"/>
    </row>
    <row r="65" spans="11:19" x14ac:dyDescent="0.25">
      <c r="K65" s="17" t="s">
        <v>109</v>
      </c>
      <c r="L65" t="s">
        <v>110</v>
      </c>
      <c r="M65" t="s">
        <v>79</v>
      </c>
      <c r="N65" s="3" t="s">
        <v>117</v>
      </c>
      <c r="O65" s="3" t="s">
        <v>118</v>
      </c>
      <c r="Q65" t="s">
        <v>161</v>
      </c>
      <c r="R65" t="s">
        <v>168</v>
      </c>
      <c r="S65" s="18" t="s">
        <v>164</v>
      </c>
    </row>
    <row r="66" spans="11:19" x14ac:dyDescent="0.25">
      <c r="K66" t="s">
        <v>44</v>
      </c>
      <c r="L66">
        <f>COUNTIF(Scenario3[winner1-ability1],AvatarAbilities1Scenario3[[#This Row],[ability]])+COUNTIF(Scenario3[loser1-ability1],AvatarAbilities1Scenario3[[#This Row],[ability]])+COUNTIF(Scenario3[loser2-ability1],AvatarAbilities1Scenario3[[#This Row],[ability]])</f>
        <v>0</v>
      </c>
      <c r="M66">
        <f>COUNTIF(Scenario3[winner1-ability1],AvatarAbilities1Scenario3[[#This Row],[ability]])</f>
        <v>0</v>
      </c>
      <c r="N66" s="3">
        <f>IF(SUM(AvatarAbilities1Scenario3[[#This Row],[takes]]) &gt; 0,AvatarAbilities1Scenario3[[#This Row],[takes]]/SUM(AvatarAbilities1Scenario3[takes]),0)</f>
        <v>0</v>
      </c>
      <c r="O66" s="3">
        <f>IF(AvatarAbilities1Scenario3[[#This Row],[takes]]&gt;0,AvatarAbilities1Scenario3[[#This Row],[wins]]/AvatarAbilities1Scenario3[[#This Row],[takes]],0)</f>
        <v>0</v>
      </c>
      <c r="Q66">
        <v>1</v>
      </c>
      <c r="R66">
        <f>COUNTIFS(Scenario3[winner1],"avatar",Scenario3[winner1-pw],AvatarEquipScenario3[[#This Row],[level]])+COUNTIFS(Scenario3[loser1],"avatar",Scenario3[loser1-pw],AvatarEquipScenario3[[#This Row],[level]])+COUNTIFS(Scenario3[loser2],"avatar",Scenario3[loser2-pw],AvatarEquipScenario3[[#This Row],[level]])</f>
        <v>2</v>
      </c>
      <c r="S66" s="18">
        <f>COUNTIFS(Scenario3[winner1],"avatar",Scenario3[winner1-cp],AvatarEquipScenario3[[#This Row],[level]])+COUNTIFS(Scenario3[loser1],"avatar",Scenario3[loser1-cp],AvatarEquipScenario3[[#This Row],[level]])+COUNTIFS(Scenario3[loser2],"avatar",Scenario3[loser2-cp],AvatarEquipScenario3[[#This Row],[level]])</f>
        <v>6</v>
      </c>
    </row>
    <row r="67" spans="11:19" x14ac:dyDescent="0.25">
      <c r="K67" t="s">
        <v>135</v>
      </c>
      <c r="L67">
        <f>COUNTIF(Scenario3[winner1-ability1],AvatarAbilities1Scenario3[[#This Row],[ability]])+COUNTIF(Scenario3[loser1-ability1],AvatarAbilities1Scenario3[[#This Row],[ability]])+COUNTIF(Scenario3[loser2-ability1],AvatarAbilities1Scenario3[[#This Row],[ability]])</f>
        <v>23</v>
      </c>
      <c r="M67">
        <f>COUNTIF(Scenario3[winner1-ability1],AvatarAbilities1Scenario3[[#This Row],[ability]])</f>
        <v>4</v>
      </c>
      <c r="N67" s="3">
        <f>IF(SUM(AvatarAbilities1Scenario3[[#This Row],[takes]]) &gt; 0,AvatarAbilities1Scenario3[[#This Row],[takes]]/SUM(AvatarAbilities1Scenario3[takes]),0)</f>
        <v>0.8214285714285714</v>
      </c>
      <c r="O67" s="3">
        <f>IF(AvatarAbilities1Scenario3[[#This Row],[takes]]&gt;0,AvatarAbilities1Scenario3[[#This Row],[wins]]/AvatarAbilities1Scenario3[[#This Row],[takes]],0)</f>
        <v>0.17391304347826086</v>
      </c>
      <c r="Q67">
        <v>2</v>
      </c>
      <c r="R67">
        <f>COUNTIFS(Scenario3[winner1],"avatar",Scenario3[winner1-pw],AvatarEquipScenario3[[#This Row],[level]])+COUNTIFS(Scenario3[loser1],"avatar",Scenario3[loser1-pw],AvatarEquipScenario3[[#This Row],[level]])+COUNTIFS(Scenario3[loser2],"avatar",Scenario3[loser2-pw],AvatarEquipScenario3[[#This Row],[level]])</f>
        <v>3</v>
      </c>
      <c r="S67" s="18">
        <f>COUNTIFS(Scenario3[winner1],"avatar",Scenario3[winner1-cp],AvatarEquipScenario3[[#This Row],[level]])+COUNTIFS(Scenario3[loser1],"avatar",Scenario3[loser1-cp],AvatarEquipScenario3[[#This Row],[level]])+COUNTIFS(Scenario3[loser2],"avatar",Scenario3[loser2-cp],AvatarEquipScenario3[[#This Row],[level]])</f>
        <v>4</v>
      </c>
    </row>
    <row r="68" spans="11:19" x14ac:dyDescent="0.25">
      <c r="K68" t="s">
        <v>73</v>
      </c>
      <c r="L68">
        <f>COUNTIF(Scenario3[winner1-ability1],AvatarAbilities1Scenario3[[#This Row],[ability]])+COUNTIF(Scenario3[loser1-ability1],AvatarAbilities1Scenario3[[#This Row],[ability]])+COUNTIF(Scenario3[loser2-ability1],AvatarAbilities1Scenario3[[#This Row],[ability]])</f>
        <v>5</v>
      </c>
      <c r="M68">
        <f>COUNTIF(Scenario3[winner1-ability1],AvatarAbilities1Scenario3[[#This Row],[ability]])</f>
        <v>0</v>
      </c>
      <c r="N68" s="3">
        <f>IF(SUM(AvatarAbilities1Scenario3[[#This Row],[takes]]) &gt; 0,AvatarAbilities1Scenario3[[#This Row],[takes]]/SUM(AvatarAbilities1Scenario3[takes]),0)</f>
        <v>0.17857142857142858</v>
      </c>
      <c r="O68" s="3">
        <f>IF(AvatarAbilities1Scenario3[[#This Row],[takes]]&gt;0,AvatarAbilities1Scenario3[[#This Row],[wins]]/AvatarAbilities1Scenario3[[#This Row],[takes]],0)</f>
        <v>0</v>
      </c>
      <c r="Q68">
        <v>3</v>
      </c>
      <c r="R68">
        <f>COUNTIFS(Scenario3[winner1],"avatar",Scenario3[winner1-pw],AvatarEquipScenario3[[#This Row],[level]])+COUNTIFS(Scenario3[loser1],"avatar",Scenario3[loser1-pw],AvatarEquipScenario3[[#This Row],[level]])+COUNTIFS(Scenario3[loser2],"avatar",Scenario3[loser2-pw],AvatarEquipScenario3[[#This Row],[level]])</f>
        <v>23</v>
      </c>
      <c r="S68" s="18">
        <f>COUNTIFS(Scenario3[winner1],"avatar",Scenario3[winner1-cp],AvatarEquipScenario3[[#This Row],[level]])+COUNTIFS(Scenario3[loser1],"avatar",Scenario3[loser1-cp],AvatarEquipScenario3[[#This Row],[level]])+COUNTIFS(Scenario3[loser2],"avatar",Scenario3[loser2-cp],AvatarEquipScenario3[[#This Row],[level]])</f>
        <v>18</v>
      </c>
    </row>
    <row r="69" spans="11:19" x14ac:dyDescent="0.25">
      <c r="K69" s="17"/>
      <c r="N69" s="3"/>
      <c r="O69" s="3"/>
      <c r="S69" s="18"/>
    </row>
    <row r="70" spans="11:19" x14ac:dyDescent="0.25">
      <c r="K70" s="19" t="s">
        <v>109</v>
      </c>
      <c r="L70" s="8" t="s">
        <v>110</v>
      </c>
      <c r="M70" s="8" t="s">
        <v>79</v>
      </c>
      <c r="N70" s="9" t="s">
        <v>117</v>
      </c>
      <c r="O70" s="9" t="s">
        <v>118</v>
      </c>
      <c r="S70" s="18"/>
    </row>
    <row r="71" spans="11:19" x14ac:dyDescent="0.25">
      <c r="K71" s="2" t="s">
        <v>74</v>
      </c>
      <c r="L71" s="2">
        <f>COUNTIF(Scenario3[winner1-ability2],AvatarAbilities2Scenario3[[#This Row],[ability]])+COUNTIF(Scenario3[loser1-ability2],AvatarAbilities2Scenario3[[#This Row],[ability]])+COUNTIF(Scenario3[loser2-ability2],AvatarAbilities2Scenario3[[#This Row],[ability]])</f>
        <v>10</v>
      </c>
      <c r="M71" s="2">
        <f>COUNTIF(Scenario3[winner1-ability2],AvatarAbilities2Scenario3[[#This Row],[ability]])</f>
        <v>2</v>
      </c>
      <c r="N71" s="12">
        <f>IF(SUM(AvatarAbilities2Scenario3[[#This Row],[takes]]) &gt; 0,AvatarAbilities2Scenario3[[#This Row],[takes]]/SUM(AvatarAbilities2Scenario3[takes]),0)</f>
        <v>0.37037037037037035</v>
      </c>
      <c r="O71" s="12">
        <f>IF(AvatarAbilities2Scenario3[[#This Row],[takes]]&gt;0,AvatarAbilities2Scenario3[[#This Row],[wins]]/AvatarAbilities2Scenario3[[#This Row],[takes]],0)</f>
        <v>0.2</v>
      </c>
      <c r="S71" s="18"/>
    </row>
    <row r="72" spans="11:19" x14ac:dyDescent="0.25">
      <c r="K72" t="s">
        <v>136</v>
      </c>
      <c r="L72" s="2">
        <f>COUNTIF(Scenario3[winner1-ability2],AvatarAbilities2Scenario3[[#This Row],[ability]])+COUNTIF(Scenario3[loser1-ability2],AvatarAbilities2Scenario3[[#This Row],[ability]])+COUNTIF(Scenario3[loser2-ability2],AvatarAbilities2Scenario3[[#This Row],[ability]])</f>
        <v>16</v>
      </c>
      <c r="M72" s="2">
        <f>COUNTIF(Scenario3[winner1-ability2],AvatarAbilities2Scenario3[[#This Row],[ability]])</f>
        <v>2</v>
      </c>
      <c r="N72" s="3">
        <f>IF(SUM(AvatarAbilities2Scenario3[[#This Row],[takes]]) &gt; 0,AvatarAbilities2Scenario3[[#This Row],[takes]]/SUM(AvatarAbilities2Scenario3[takes]),0)</f>
        <v>0.59259259259259256</v>
      </c>
      <c r="O72" s="3">
        <f>IF(AvatarAbilities2Scenario3[[#This Row],[takes]]&gt;0,AvatarAbilities2Scenario3[[#This Row],[wins]]/AvatarAbilities2Scenario3[[#This Row],[takes]],0)</f>
        <v>0.125</v>
      </c>
      <c r="S72" s="18"/>
    </row>
    <row r="73" spans="11:19" x14ac:dyDescent="0.25">
      <c r="K73" s="10" t="s">
        <v>99</v>
      </c>
      <c r="L73" s="2">
        <f>COUNTIF(Scenario3[winner1-ability2],AvatarAbilities2Scenario3[[#This Row],[ability]])+COUNTIF(Scenario3[loser1-ability2],AvatarAbilities2Scenario3[[#This Row],[ability]])+COUNTIF(Scenario3[loser2-ability2],AvatarAbilities2Scenario3[[#This Row],[ability]])</f>
        <v>1</v>
      </c>
      <c r="M73" s="2">
        <f>COUNTIF(Scenario3[winner1-ability2],AvatarAbilities2Scenario3[[#This Row],[ability]])</f>
        <v>0</v>
      </c>
      <c r="N73" s="13">
        <f>IF(SUM(AvatarAbilities2Scenario3[[#This Row],[takes]]) &gt; 0,AvatarAbilities2Scenario3[[#This Row],[takes]]/SUM(AvatarAbilities2Scenario3[takes]),0)</f>
        <v>3.7037037037037035E-2</v>
      </c>
      <c r="O73" s="13">
        <f>IF(AvatarAbilities2Scenario3[[#This Row],[takes]]&gt;0,AvatarAbilities2Scenario3[[#This Row],[wins]]/AvatarAbilities2Scenario3[[#This Row],[takes]],0)</f>
        <v>0</v>
      </c>
      <c r="S73" s="18"/>
    </row>
    <row r="74" spans="11:19" x14ac:dyDescent="0.25">
      <c r="K74" s="17"/>
      <c r="N74" s="3"/>
      <c r="O74" s="3"/>
      <c r="S74" s="18"/>
    </row>
    <row r="75" spans="11:19" x14ac:dyDescent="0.25">
      <c r="K75" s="19" t="s">
        <v>109</v>
      </c>
      <c r="L75" s="8" t="s">
        <v>110</v>
      </c>
      <c r="M75" s="8" t="s">
        <v>79</v>
      </c>
      <c r="N75" s="9" t="s">
        <v>117</v>
      </c>
      <c r="O75" s="9" t="s">
        <v>118</v>
      </c>
      <c r="S75" s="18"/>
    </row>
    <row r="76" spans="11:19" x14ac:dyDescent="0.25">
      <c r="K76" s="1" t="s">
        <v>137</v>
      </c>
      <c r="L76" s="1">
        <f>COUNTIF(Scenario3[winner1-ability3],AvatarAbilities3Scenario3[[#This Row],[ability]])+COUNTIF(Scenario3[loser1-ability3],AvatarAbilities3Scenario3[[#This Row],[ability]])+COUNTIF(Scenario3[loser2-ability3],AvatarAbilities3Scenario3[[#This Row],[ability]])</f>
        <v>7</v>
      </c>
      <c r="M76" s="1">
        <f>COUNTIF(Scenario3[winner1-ability3],AvatarAbilities3Scenario3[[#This Row],[ability]])</f>
        <v>2</v>
      </c>
      <c r="N76" s="14">
        <f>IF(SUM(AvatarAbilities3Scenario3[[#This Row],[takes]]) &gt; 0,AvatarAbilities3Scenario3[[#This Row],[takes]]/SUM(AvatarAbilities3Scenario3[takes]),0)</f>
        <v>0.26923076923076922</v>
      </c>
      <c r="O76" s="14">
        <f>IF(AvatarAbilities3Scenario3[[#This Row],[takes]]&gt;0,AvatarAbilities3Scenario3[[#This Row],[wins]]/AvatarAbilities3Scenario3[[#This Row],[takes]],0)</f>
        <v>0.2857142857142857</v>
      </c>
      <c r="S76" s="18"/>
    </row>
    <row r="77" spans="11:19" x14ac:dyDescent="0.25">
      <c r="K77" s="2" t="s">
        <v>100</v>
      </c>
      <c r="L77" s="2">
        <f>COUNTIF(Scenario3[winner1-ability3],AvatarAbilities3Scenario3[[#This Row],[ability]])+COUNTIF(Scenario3[loser1-ability3],AvatarAbilities3Scenario3[[#This Row],[ability]])+COUNTIF(Scenario3[loser2-ability3],AvatarAbilities3Scenario3[[#This Row],[ability]])</f>
        <v>13</v>
      </c>
      <c r="M77" s="2">
        <f>COUNTIF(Scenario3[winner1-ability3],AvatarAbilities3Scenario3[[#This Row],[ability]])</f>
        <v>2</v>
      </c>
      <c r="N77" s="12">
        <f>IF(SUM(AvatarAbilities3Scenario3[[#This Row],[takes]]) &gt; 0,AvatarAbilities3Scenario3[[#This Row],[takes]]/SUM(AvatarAbilities3Scenario3[takes]),0)</f>
        <v>0.5</v>
      </c>
      <c r="O77" s="12">
        <f>IF(AvatarAbilities3Scenario3[[#This Row],[takes]]&gt;0,AvatarAbilities3Scenario3[[#This Row],[wins]]/AvatarAbilities3Scenario3[[#This Row],[takes]],0)</f>
        <v>0.15384615384615385</v>
      </c>
      <c r="S77" s="18"/>
    </row>
    <row r="78" spans="11:19" x14ac:dyDescent="0.25">
      <c r="K78" s="11" t="s">
        <v>75</v>
      </c>
      <c r="L78" s="1">
        <f>COUNTIF(Scenario3[winner1-ability3],AvatarAbilities3Scenario3[[#This Row],[ability]])+COUNTIF(Scenario3[loser1-ability3],AvatarAbilities3Scenario3[[#This Row],[ability]])+COUNTIF(Scenario3[loser2-ability3],AvatarAbilities3Scenario3[[#This Row],[ability]])</f>
        <v>6</v>
      </c>
      <c r="M78" s="1">
        <f>COUNTIF(Scenario3[winner1-ability3],AvatarAbilities3Scenario3[[#This Row],[ability]])</f>
        <v>0</v>
      </c>
      <c r="N78" s="15">
        <f>IF(SUM(AvatarAbilities3Scenario3[[#This Row],[takes]]) &gt; 0,AvatarAbilities3Scenario3[[#This Row],[takes]]/SUM(AvatarAbilities3Scenario3[takes]),0)</f>
        <v>0.23076923076923078</v>
      </c>
      <c r="O78" s="15">
        <f>IF(AvatarAbilities3Scenario3[[#This Row],[takes]]&gt;0,AvatarAbilities3Scenario3[[#This Row],[wins]]/AvatarAbilities3Scenario3[[#This Row],[takes]],0)</f>
        <v>0</v>
      </c>
      <c r="S78" s="18"/>
    </row>
    <row r="79" spans="11:19" x14ac:dyDescent="0.25">
      <c r="K79" s="17"/>
      <c r="N79" s="3"/>
      <c r="O79" s="3"/>
      <c r="S79" s="18"/>
    </row>
    <row r="80" spans="11:19" x14ac:dyDescent="0.25">
      <c r="K80" s="19" t="s">
        <v>109</v>
      </c>
      <c r="L80" s="8" t="s">
        <v>110</v>
      </c>
      <c r="M80" s="8" t="s">
        <v>79</v>
      </c>
      <c r="N80" s="9" t="s">
        <v>117</v>
      </c>
      <c r="O80" s="9" t="s">
        <v>118</v>
      </c>
      <c r="S80" s="18"/>
    </row>
    <row r="81" spans="11:19" x14ac:dyDescent="0.25">
      <c r="K81" s="2" t="s">
        <v>138</v>
      </c>
      <c r="L81" s="2">
        <f>COUNTIF(Scenario3[winner1-ability4],AvatarAbilities4Scenario3[[#This Row],[ability]])+COUNTIF(Scenario3[loser1-ability4],AvatarAbilities4Scenario3[[#This Row],[ability]])+COUNTIF(Scenario3[loser2-ability4],AvatarAbilities4Scenario3[[#This Row],[ability]])</f>
        <v>8</v>
      </c>
      <c r="M81" s="2">
        <f>COUNTIF(Scenario3[winner1-ability4],AvatarAbilities4Scenario3[[#This Row],[ability]])</f>
        <v>3</v>
      </c>
      <c r="N81" s="12">
        <f>IF(SUM(AvatarAbilities4Scenario3[[#This Row],[takes]]) &gt; 0,AvatarAbilities4Scenario3[[#This Row],[takes]]/SUM(AvatarAbilities4Scenario3[takes]),0)</f>
        <v>0.34782608695652173</v>
      </c>
      <c r="O81" s="12">
        <f>IF(AvatarAbilities4Scenario3[[#This Row],[takes]]&gt;0,AvatarAbilities4Scenario3[[#This Row],[wins]]/AvatarAbilities4Scenario3[[#This Row],[takes]],0)</f>
        <v>0.375</v>
      </c>
      <c r="S81" s="18"/>
    </row>
    <row r="82" spans="11:19" x14ac:dyDescent="0.25">
      <c r="K82" s="2" t="s">
        <v>101</v>
      </c>
      <c r="L82" s="2">
        <f>COUNTIF(Scenario3[winner1-ability4],AvatarAbilities4Scenario3[[#This Row],[ability]])+COUNTIF(Scenario3[loser1-ability4],AvatarAbilities4Scenario3[[#This Row],[ability]])+COUNTIF(Scenario3[loser2-ability4],AvatarAbilities4Scenario3[[#This Row],[ability]])</f>
        <v>5</v>
      </c>
      <c r="M82" s="2">
        <f>COUNTIF(Scenario3[winner1-ability4],AvatarAbilities4Scenario3[[#This Row],[ability]])</f>
        <v>0</v>
      </c>
      <c r="N82" s="12">
        <f>IF(SUM(AvatarAbilities4Scenario3[[#This Row],[takes]]) &gt; 0,AvatarAbilities4Scenario3[[#This Row],[takes]]/SUM(AvatarAbilities4Scenario3[takes]),0)</f>
        <v>0.21739130434782608</v>
      </c>
      <c r="O82" s="12">
        <f>IF(AvatarAbilities4Scenario3[[#This Row],[takes]]&gt;0,AvatarAbilities4Scenario3[[#This Row],[wins]]/AvatarAbilities4Scenario3[[#This Row],[takes]],0)</f>
        <v>0</v>
      </c>
      <c r="S82" s="18"/>
    </row>
    <row r="83" spans="11:19" ht="15.75" thickBot="1" x14ac:dyDescent="0.3">
      <c r="K83" s="10" t="s">
        <v>139</v>
      </c>
      <c r="L83" s="2">
        <f>COUNTIF(Scenario3[winner1-ability4],AvatarAbilities4Scenario3[[#This Row],[ability]])+COUNTIF(Scenario3[loser1-ability4],AvatarAbilities4Scenario3[[#This Row],[ability]])+COUNTIF(Scenario3[loser2-ability4],AvatarAbilities4Scenario3[[#This Row],[ability]])</f>
        <v>10</v>
      </c>
      <c r="M83" s="2">
        <f>COUNTIF(Scenario3[winner1-ability4],AvatarAbilities4Scenario3[[#This Row],[ability]])</f>
        <v>1</v>
      </c>
      <c r="N83" s="26">
        <f>IF(SUM(AvatarAbilities4Scenario3[[#This Row],[takes]]) &gt; 0,AvatarAbilities4Scenario3[[#This Row],[takes]]/SUM(AvatarAbilities4Scenario3[takes]),0)</f>
        <v>0.43478260869565216</v>
      </c>
      <c r="O83" s="26">
        <f>IF(AvatarAbilities4Scenario3[[#This Row],[takes]]&gt;0,AvatarAbilities4Scenario3[[#This Row],[wins]]/AvatarAbilities4Scenario3[[#This Row],[takes]],0)</f>
        <v>0.1</v>
      </c>
      <c r="P83" s="27"/>
      <c r="Q83" s="27"/>
      <c r="R83" s="27"/>
      <c r="S83" s="28"/>
    </row>
    <row r="84" spans="11:19" ht="15.75" thickBot="1" x14ac:dyDescent="0.3"/>
    <row r="85" spans="11:19" ht="15.75" thickBot="1" x14ac:dyDescent="0.3">
      <c r="K85" s="36" t="s">
        <v>219</v>
      </c>
      <c r="L85" s="37"/>
      <c r="M85" s="37"/>
      <c r="N85" s="37"/>
      <c r="O85" s="37"/>
      <c r="P85" s="37"/>
      <c r="Q85" s="37"/>
      <c r="R85" s="37"/>
      <c r="S85" s="38"/>
    </row>
    <row r="86" spans="11:19" x14ac:dyDescent="0.25">
      <c r="K86" s="17" t="s">
        <v>109</v>
      </c>
      <c r="L86" t="s">
        <v>110</v>
      </c>
      <c r="M86" t="s">
        <v>79</v>
      </c>
      <c r="N86" s="3" t="s">
        <v>117</v>
      </c>
      <c r="O86" s="3" t="s">
        <v>118</v>
      </c>
      <c r="Q86" t="s">
        <v>161</v>
      </c>
      <c r="R86" t="s">
        <v>168</v>
      </c>
      <c r="S86" s="18" t="s">
        <v>164</v>
      </c>
    </row>
    <row r="87" spans="11:19" x14ac:dyDescent="0.25">
      <c r="K87" t="s">
        <v>44</v>
      </c>
      <c r="L87">
        <f>COUNTIF(Scenario4[winner1-ability1],AvatarAbilities1Scenario4[[#This Row],[ability]])+COUNTIF(Scenario4[loser1-ability1],AvatarAbilities1Scenario4[[#This Row],[ability]])+COUNTIF(Scenario4[loser2-ability1],AvatarAbilities1Scenario4[[#This Row],[ability]])+COUNTIF(Scenario4[loser3-ability1],AvatarAbilities1Scenario4[[#This Row],[ability]])</f>
        <v>1</v>
      </c>
      <c r="M87">
        <f>COUNTIF(Scenario4[winner1-ability1],AvatarAbilities1Scenario4[[#This Row],[ability]])</f>
        <v>0</v>
      </c>
      <c r="N87" s="3">
        <f>IF(SUM(AvatarAbilities1Scenario4[[#This Row],[takes]]) &gt; 0,AvatarAbilities1Scenario4[[#This Row],[takes]]/SUM(AvatarAbilities1Scenario4[takes]),0)</f>
        <v>1.7857142857142856E-2</v>
      </c>
      <c r="O87" s="3">
        <f>IF(AvatarAbilities1Scenario4[[#This Row],[takes]]&gt;0,AvatarAbilities1Scenario4[[#This Row],[wins]]/AvatarAbilities1Scenario4[[#This Row],[takes]],0)</f>
        <v>0</v>
      </c>
      <c r="Q87">
        <v>1</v>
      </c>
      <c r="R87">
        <f>COUNTIFS(Scenario4[winner1],"avatar",Scenario4[winner1-pw],AvatarEquipScenario4[[#This Row],[level]])+COUNTIFS(Scenario4[loser1],"avatar",Scenario4[loser1-pw],AvatarEquipScenario4[[#This Row],[level]])+COUNTIFS(Scenario4[loser2],"avatar",Scenario4[loser2-pw],AvatarEquipScenario4[[#This Row],[level]])+COUNTIFS(Scenario4[loser3],"avatar",Scenario4[loser3-pw],AvatarEquipScenario4[[#This Row],[level]])</f>
        <v>6</v>
      </c>
      <c r="S87" s="18">
        <f>COUNTIFS(Scenario4[winner1],"avatar",Scenario4[winner1-cp],AvatarEquipScenario4[[#This Row],[level]])+COUNTIFS(Scenario4[loser1],"avatar",Scenario4[loser1-cp],AvatarEquipScenario4[[#This Row],[level]])+COUNTIFS(Scenario4[loser2],"avatar",Scenario4[loser2-cp],AvatarEquipScenario4[[#This Row],[level]])+COUNTIFS(Scenario4[loser3],"avatar",Scenario4[loser3-cp],AvatarEquipScenario4[[#This Row],[level]])</f>
        <v>11</v>
      </c>
    </row>
    <row r="88" spans="11:19" x14ac:dyDescent="0.25">
      <c r="K88" t="s">
        <v>135</v>
      </c>
      <c r="L88">
        <f>COUNTIF(Scenario4[winner1-ability1],AvatarAbilities1Scenario4[[#This Row],[ability]])+COUNTIF(Scenario4[loser1-ability1],AvatarAbilities1Scenario4[[#This Row],[ability]])+COUNTIF(Scenario4[loser2-ability1],AvatarAbilities1Scenario4[[#This Row],[ability]])+COUNTIF(Scenario4[loser3-ability1],AvatarAbilities1Scenario4[[#This Row],[ability]])</f>
        <v>23</v>
      </c>
      <c r="M88">
        <f>COUNTIF(Scenario4[winner1-ability1],AvatarAbilities1Scenario4[[#This Row],[ability]])</f>
        <v>6</v>
      </c>
      <c r="N88" s="3">
        <f>IF(SUM(AvatarAbilities1Scenario4[[#This Row],[takes]]) &gt; 0,AvatarAbilities1Scenario4[[#This Row],[takes]]/SUM(AvatarAbilities1Scenario4[takes]),0)</f>
        <v>0.4107142857142857</v>
      </c>
      <c r="O88" s="3">
        <f>IF(AvatarAbilities1Scenario4[[#This Row],[takes]]&gt;0,AvatarAbilities1Scenario4[[#This Row],[wins]]/AvatarAbilities1Scenario4[[#This Row],[takes]],0)</f>
        <v>0.2608695652173913</v>
      </c>
      <c r="Q88">
        <v>2</v>
      </c>
      <c r="R88">
        <f>COUNTIFS(Scenario4[winner1],"avatar",Scenario4[winner1-pw],AvatarEquipScenario4[[#This Row],[level]])+COUNTIFS(Scenario4[loser1],"avatar",Scenario4[loser1-pw],AvatarEquipScenario4[[#This Row],[level]])+COUNTIFS(Scenario4[loser2],"avatar",Scenario4[loser2-pw],AvatarEquipScenario4[[#This Row],[level]])+COUNTIFS(Scenario4[loser3],"avatar",Scenario4[loser3-pw],AvatarEquipScenario4[[#This Row],[level]])</f>
        <v>3</v>
      </c>
      <c r="S88" s="18">
        <f>COUNTIFS(Scenario4[winner1],"avatar",Scenario4[winner1-cp],AvatarEquipScenario4[[#This Row],[level]])+COUNTIFS(Scenario4[loser1],"avatar",Scenario4[loser1-cp],AvatarEquipScenario4[[#This Row],[level]])+COUNTIFS(Scenario4[loser2],"avatar",Scenario4[loser2-cp],AvatarEquipScenario4[[#This Row],[level]])+COUNTIFS(Scenario4[loser3],"avatar",Scenario4[loser3-cp],AvatarEquipScenario4[[#This Row],[level]])</f>
        <v>6</v>
      </c>
    </row>
    <row r="89" spans="11:19" x14ac:dyDescent="0.25">
      <c r="K89" t="s">
        <v>73</v>
      </c>
      <c r="L89">
        <f>COUNTIF(Scenario4[winner1-ability1],AvatarAbilities1Scenario4[[#This Row],[ability]])+COUNTIF(Scenario4[loser1-ability1],AvatarAbilities1Scenario4[[#This Row],[ability]])+COUNTIF(Scenario4[loser2-ability1],AvatarAbilities1Scenario4[[#This Row],[ability]])+COUNTIF(Scenario4[loser3-ability1],AvatarAbilities1Scenario4[[#This Row],[ability]])</f>
        <v>32</v>
      </c>
      <c r="M89">
        <f>COUNTIF(Scenario4[winner1-ability1],AvatarAbilities1Scenario4[[#This Row],[ability]])</f>
        <v>6</v>
      </c>
      <c r="N89" s="3">
        <f>IF(SUM(AvatarAbilities1Scenario4[[#This Row],[takes]]) &gt; 0,AvatarAbilities1Scenario4[[#This Row],[takes]]/SUM(AvatarAbilities1Scenario4[takes]),0)</f>
        <v>0.5714285714285714</v>
      </c>
      <c r="O89" s="3">
        <f>IF(AvatarAbilities1Scenario4[[#This Row],[takes]]&gt;0,AvatarAbilities1Scenario4[[#This Row],[wins]]/AvatarAbilities1Scenario4[[#This Row],[takes]],0)</f>
        <v>0.1875</v>
      </c>
      <c r="Q89">
        <v>3</v>
      </c>
      <c r="R89">
        <f>COUNTIFS(Scenario4[winner1],"avatar",Scenario4[winner1-pw],AvatarEquipScenario4[[#This Row],[level]])+COUNTIFS(Scenario4[loser1],"avatar",Scenario4[loser1-pw],AvatarEquipScenario4[[#This Row],[level]])+COUNTIFS(Scenario4[loser2],"avatar",Scenario4[loser2-pw],AvatarEquipScenario4[[#This Row],[level]])+COUNTIFS(Scenario4[loser3],"avatar",Scenario4[loser3-pw],AvatarEquipScenario4[[#This Row],[level]])</f>
        <v>47</v>
      </c>
      <c r="S89" s="18">
        <f>COUNTIFS(Scenario4[winner1],"avatar",Scenario4[winner1-cp],AvatarEquipScenario4[[#This Row],[level]])+COUNTIFS(Scenario4[loser1],"avatar",Scenario4[loser1-cp],AvatarEquipScenario4[[#This Row],[level]])+COUNTIFS(Scenario4[loser2],"avatar",Scenario4[loser2-cp],AvatarEquipScenario4[[#This Row],[level]])+COUNTIFS(Scenario4[loser3],"avatar",Scenario4[loser3-cp],AvatarEquipScenario4[[#This Row],[level]])</f>
        <v>39</v>
      </c>
    </row>
    <row r="90" spans="11:19" x14ac:dyDescent="0.25">
      <c r="K90" s="17"/>
      <c r="N90" s="3"/>
      <c r="O90" s="3"/>
      <c r="S90" s="18"/>
    </row>
    <row r="91" spans="11:19" x14ac:dyDescent="0.25">
      <c r="K91" s="19" t="s">
        <v>109</v>
      </c>
      <c r="L91" s="8" t="s">
        <v>110</v>
      </c>
      <c r="M91" s="8" t="s">
        <v>79</v>
      </c>
      <c r="N91" s="9" t="s">
        <v>117</v>
      </c>
      <c r="O91" s="9" t="s">
        <v>118</v>
      </c>
      <c r="S91" s="18"/>
    </row>
    <row r="92" spans="11:19" x14ac:dyDescent="0.25">
      <c r="K92" s="2" t="s">
        <v>74</v>
      </c>
      <c r="L92" s="2">
        <f>COUNTIF(Scenario4[winner1-ability2],AvatarAbilities2Scenario4[[#This Row],[ability]])+COUNTIF(Scenario4[loser1-ability2],AvatarAbilities2Scenario4[[#This Row],[ability]])+COUNTIF(Scenario4[loser2-ability2],AvatarAbilities2Scenario4[[#This Row],[ability]])+COUNTIF(Scenario4[loser3-ability2],AvatarAbilities2Scenario4[[#This Row],[ability]])</f>
        <v>15</v>
      </c>
      <c r="M92" s="2">
        <f>COUNTIF(Scenario4[winner1-ability2],AvatarAbilities2Scenario4[[#This Row],[ability]])</f>
        <v>3</v>
      </c>
      <c r="N92" s="12">
        <f>IF(SUM(AvatarAbilities2Scenario4[[#This Row],[takes]]) &gt; 0,AvatarAbilities2Scenario4[[#This Row],[takes]]/SUM(AvatarAbilities2Scenario4[takes]),0)</f>
        <v>0.26785714285714285</v>
      </c>
      <c r="O92" s="12">
        <f>IF(AvatarAbilities2Scenario4[[#This Row],[takes]]&gt;0,AvatarAbilities2Scenario4[[#This Row],[wins]]/AvatarAbilities2Scenario4[[#This Row],[takes]],0)</f>
        <v>0.2</v>
      </c>
      <c r="S92" s="18"/>
    </row>
    <row r="93" spans="11:19" x14ac:dyDescent="0.25">
      <c r="K93" t="s">
        <v>136</v>
      </c>
      <c r="L93" s="2">
        <f>COUNTIF(Scenario4[winner1-ability2],AvatarAbilities2Scenario4[[#This Row],[ability]])+COUNTIF(Scenario4[loser1-ability2],AvatarAbilities2Scenario4[[#This Row],[ability]])+COUNTIF(Scenario4[loser2-ability2],AvatarAbilities2Scenario4[[#This Row],[ability]])+COUNTIF(Scenario4[loser3-ability2],AvatarAbilities2Scenario4[[#This Row],[ability]])</f>
        <v>38</v>
      </c>
      <c r="M93" s="2">
        <f>COUNTIF(Scenario4[winner1-ability2],AvatarAbilities2Scenario4[[#This Row],[ability]])</f>
        <v>8</v>
      </c>
      <c r="N93" s="3">
        <f>IF(SUM(AvatarAbilities2Scenario4[[#This Row],[takes]]) &gt; 0,AvatarAbilities2Scenario4[[#This Row],[takes]]/SUM(AvatarAbilities2Scenario4[takes]),0)</f>
        <v>0.6785714285714286</v>
      </c>
      <c r="O93" s="3">
        <f>IF(AvatarAbilities2Scenario4[[#This Row],[takes]]&gt;0,AvatarAbilities2Scenario4[[#This Row],[wins]]/AvatarAbilities2Scenario4[[#This Row],[takes]],0)</f>
        <v>0.21052631578947367</v>
      </c>
      <c r="S93" s="18"/>
    </row>
    <row r="94" spans="11:19" x14ac:dyDescent="0.25">
      <c r="K94" s="10" t="s">
        <v>99</v>
      </c>
      <c r="L94" s="2">
        <f>COUNTIF(Scenario4[winner1-ability2],AvatarAbilities2Scenario4[[#This Row],[ability]])+COUNTIF(Scenario4[loser1-ability2],AvatarAbilities2Scenario4[[#This Row],[ability]])+COUNTIF(Scenario4[loser2-ability2],AvatarAbilities2Scenario4[[#This Row],[ability]])+COUNTIF(Scenario4[loser3-ability2],AvatarAbilities2Scenario4[[#This Row],[ability]])</f>
        <v>3</v>
      </c>
      <c r="M94" s="2">
        <f>COUNTIF(Scenario4[winner1-ability2],AvatarAbilities2Scenario4[[#This Row],[ability]])</f>
        <v>1</v>
      </c>
      <c r="N94" s="13">
        <f>IF(SUM(AvatarAbilities2Scenario4[[#This Row],[takes]]) &gt; 0,AvatarAbilities2Scenario4[[#This Row],[takes]]/SUM(AvatarAbilities2Scenario4[takes]),0)</f>
        <v>5.3571428571428568E-2</v>
      </c>
      <c r="O94" s="13">
        <f>IF(AvatarAbilities2Scenario4[[#This Row],[takes]]&gt;0,AvatarAbilities2Scenario4[[#This Row],[wins]]/AvatarAbilities2Scenario4[[#This Row],[takes]],0)</f>
        <v>0.33333333333333331</v>
      </c>
      <c r="S94" s="18"/>
    </row>
    <row r="95" spans="11:19" x14ac:dyDescent="0.25">
      <c r="K95" s="17"/>
      <c r="N95" s="3"/>
      <c r="O95" s="3"/>
      <c r="S95" s="18"/>
    </row>
    <row r="96" spans="11:19" x14ac:dyDescent="0.25">
      <c r="K96" s="19" t="s">
        <v>109</v>
      </c>
      <c r="L96" s="8" t="s">
        <v>110</v>
      </c>
      <c r="M96" s="8" t="s">
        <v>79</v>
      </c>
      <c r="N96" s="9" t="s">
        <v>117</v>
      </c>
      <c r="O96" s="9" t="s">
        <v>118</v>
      </c>
      <c r="S96" s="18"/>
    </row>
    <row r="97" spans="11:19" x14ac:dyDescent="0.25">
      <c r="K97" s="1" t="s">
        <v>137</v>
      </c>
      <c r="L97" s="1">
        <f>COUNTIF(Scenario4[winner1-ability3],AvatarAbilities3Scenario4[[#This Row],[ability]])+COUNTIF(Scenario4[loser1-ability3],AvatarAbilities3Scenario4[[#This Row],[ability]])+COUNTIF(Scenario4[loser2-ability3],AvatarAbilities3Scenario4[[#This Row],[ability]])+COUNTIF(Scenario4[loser3-ability3],AvatarAbilities3Scenario4[[#This Row],[ability]])</f>
        <v>11</v>
      </c>
      <c r="M97" s="1">
        <f>COUNTIF(Scenario4[winner1-ability3],AvatarAbilities3Scenario4[[#This Row],[ability]])</f>
        <v>5</v>
      </c>
      <c r="N97" s="14">
        <f>IF(SUM(AvatarAbilities3Scenario4[[#This Row],[takes]]) &gt; 0,AvatarAbilities3Scenario4[[#This Row],[takes]]/SUM(AvatarAbilities3Scenario4[takes]),0)</f>
        <v>0.22</v>
      </c>
      <c r="O97" s="14">
        <f>IF(AvatarAbilities3Scenario4[[#This Row],[takes]]&gt;0,AvatarAbilities3Scenario4[[#This Row],[wins]]/AvatarAbilities3Scenario4[[#This Row],[takes]],0)</f>
        <v>0.45454545454545453</v>
      </c>
      <c r="S97" s="18"/>
    </row>
    <row r="98" spans="11:19" x14ac:dyDescent="0.25">
      <c r="K98" s="2" t="s">
        <v>100</v>
      </c>
      <c r="L98" s="2">
        <f>COUNTIF(Scenario4[winner1-ability3],AvatarAbilities3Scenario4[[#This Row],[ability]])+COUNTIF(Scenario4[loser1-ability3],AvatarAbilities3Scenario4[[#This Row],[ability]])+COUNTIF(Scenario4[loser2-ability3],AvatarAbilities3Scenario4[[#This Row],[ability]])+COUNTIF(Scenario4[loser3-ability3],AvatarAbilities3Scenario4[[#This Row],[ability]])</f>
        <v>32</v>
      </c>
      <c r="M98" s="2">
        <f>COUNTIF(Scenario4[winner1-ability3],AvatarAbilities3Scenario4[[#This Row],[ability]])</f>
        <v>4</v>
      </c>
      <c r="N98" s="12">
        <f>IF(SUM(AvatarAbilities3Scenario4[[#This Row],[takes]]) &gt; 0,AvatarAbilities3Scenario4[[#This Row],[takes]]/SUM(AvatarAbilities3Scenario4[takes]),0)</f>
        <v>0.64</v>
      </c>
      <c r="O98" s="12">
        <f>IF(AvatarAbilities3Scenario4[[#This Row],[takes]]&gt;0,AvatarAbilities3Scenario4[[#This Row],[wins]]/AvatarAbilities3Scenario4[[#This Row],[takes]],0)</f>
        <v>0.125</v>
      </c>
      <c r="S98" s="18"/>
    </row>
    <row r="99" spans="11:19" x14ac:dyDescent="0.25">
      <c r="K99" s="11" t="s">
        <v>75</v>
      </c>
      <c r="L99" s="1">
        <f>COUNTIF(Scenario4[winner1-ability3],AvatarAbilities3Scenario4[[#This Row],[ability]])+COUNTIF(Scenario4[loser1-ability3],AvatarAbilities3Scenario4[[#This Row],[ability]])+COUNTIF(Scenario4[loser2-ability3],AvatarAbilities3Scenario4[[#This Row],[ability]])+COUNTIF(Scenario4[loser3-ability3],AvatarAbilities3Scenario4[[#This Row],[ability]])</f>
        <v>7</v>
      </c>
      <c r="M99" s="1">
        <f>COUNTIF(Scenario4[winner1-ability3],AvatarAbilities3Scenario4[[#This Row],[ability]])</f>
        <v>3</v>
      </c>
      <c r="N99" s="15">
        <f>IF(SUM(AvatarAbilities3Scenario4[[#This Row],[takes]]) &gt; 0,AvatarAbilities3Scenario4[[#This Row],[takes]]/SUM(AvatarAbilities3Scenario4[takes]),0)</f>
        <v>0.14000000000000001</v>
      </c>
      <c r="O99" s="15">
        <f>IF(AvatarAbilities3Scenario4[[#This Row],[takes]]&gt;0,AvatarAbilities3Scenario4[[#This Row],[wins]]/AvatarAbilities3Scenario4[[#This Row],[takes]],0)</f>
        <v>0.42857142857142855</v>
      </c>
      <c r="S99" s="18"/>
    </row>
    <row r="100" spans="11:19" x14ac:dyDescent="0.25">
      <c r="K100" s="17"/>
      <c r="N100" s="3"/>
      <c r="O100" s="3"/>
      <c r="S100" s="18"/>
    </row>
    <row r="101" spans="11:19" x14ac:dyDescent="0.25">
      <c r="K101" s="19" t="s">
        <v>109</v>
      </c>
      <c r="L101" s="8" t="s">
        <v>110</v>
      </c>
      <c r="M101" s="8" t="s">
        <v>79</v>
      </c>
      <c r="N101" s="9" t="s">
        <v>117</v>
      </c>
      <c r="O101" s="9" t="s">
        <v>118</v>
      </c>
      <c r="S101" s="18"/>
    </row>
    <row r="102" spans="11:19" x14ac:dyDescent="0.25">
      <c r="K102" s="2" t="s">
        <v>138</v>
      </c>
      <c r="L102" s="2">
        <f>COUNTIF(Scenario4[winner1-ability4],AvatarAbilities4Scenario4[[#This Row],[ability]])+COUNTIF(Scenario4[loser1-ability4],AvatarAbilities4Scenario4[[#This Row],[ability]])+COUNTIF(Scenario4[loser2-ability4],AvatarAbilities4Scenario4[[#This Row],[ability]])+COUNTIF(Scenario4[loser3-ability4],AvatarAbilities4Scenario4[[#This Row],[ability]])</f>
        <v>15</v>
      </c>
      <c r="M102" s="2">
        <f>COUNTIF(Scenario4[winner1-ability4],AvatarAbilities4Scenario4[[#This Row],[ability]])</f>
        <v>5</v>
      </c>
      <c r="N102" s="12">
        <f>IF(SUM(AvatarAbilities4Scenario4[[#This Row],[takes]]) &gt; 0,AvatarAbilities4Scenario4[[#This Row],[takes]]/SUM(AvatarAbilities4Scenario4[takes]),0)</f>
        <v>0.33333333333333331</v>
      </c>
      <c r="O102" s="12">
        <f>IF(AvatarAbilities4Scenario4[[#This Row],[takes]]&gt;0,AvatarAbilities4Scenario4[[#This Row],[wins]]/AvatarAbilities4Scenario4[[#This Row],[takes]],0)</f>
        <v>0.33333333333333331</v>
      </c>
      <c r="S102" s="18"/>
    </row>
    <row r="103" spans="11:19" x14ac:dyDescent="0.25">
      <c r="K103" s="2" t="s">
        <v>101</v>
      </c>
      <c r="L103" s="2">
        <f>COUNTIF(Scenario4[winner1-ability4],AvatarAbilities4Scenario4[[#This Row],[ability]])+COUNTIF(Scenario4[loser1-ability4],AvatarAbilities4Scenario4[[#This Row],[ability]])+COUNTIF(Scenario4[loser2-ability4],AvatarAbilities4Scenario4[[#This Row],[ability]])+COUNTIF(Scenario4[loser3-ability4],AvatarAbilities4Scenario4[[#This Row],[ability]])</f>
        <v>6</v>
      </c>
      <c r="M103" s="2">
        <f>COUNTIF(Scenario4[winner1-ability4],AvatarAbilities4Scenario4[[#This Row],[ability]])</f>
        <v>0</v>
      </c>
      <c r="N103" s="12">
        <f>IF(SUM(AvatarAbilities4Scenario4[[#This Row],[takes]]) &gt; 0,AvatarAbilities4Scenario4[[#This Row],[takes]]/SUM(AvatarAbilities4Scenario4[takes]),0)</f>
        <v>0.13333333333333333</v>
      </c>
      <c r="O103" s="12">
        <f>IF(AvatarAbilities4Scenario4[[#This Row],[takes]]&gt;0,AvatarAbilities4Scenario4[[#This Row],[wins]]/AvatarAbilities4Scenario4[[#This Row],[takes]],0)</f>
        <v>0</v>
      </c>
      <c r="S103" s="18"/>
    </row>
    <row r="104" spans="11:19" ht="15.75" thickBot="1" x14ac:dyDescent="0.3">
      <c r="K104" s="10" t="s">
        <v>139</v>
      </c>
      <c r="L104" s="2">
        <f>COUNTIF(Scenario4[winner1-ability4],AvatarAbilities4Scenario4[[#This Row],[ability]])+COUNTIF(Scenario4[loser1-ability4],AvatarAbilities4Scenario4[[#This Row],[ability]])+COUNTIF(Scenario4[loser2-ability4],AvatarAbilities4Scenario4[[#This Row],[ability]])+COUNTIF(Scenario4[loser3-ability4],AvatarAbilities4Scenario4[[#This Row],[ability]])</f>
        <v>24</v>
      </c>
      <c r="M104" s="2">
        <f>COUNTIF(Scenario4[winner1-ability4],AvatarAbilities4Scenario4[[#This Row],[ability]])</f>
        <v>5</v>
      </c>
      <c r="N104" s="26">
        <f>IF(SUM(AvatarAbilities4Scenario4[[#This Row],[takes]]) &gt; 0,AvatarAbilities4Scenario4[[#This Row],[takes]]/SUM(AvatarAbilities4Scenario4[takes]),0)</f>
        <v>0.53333333333333333</v>
      </c>
      <c r="O104" s="26">
        <f>IF(AvatarAbilities4Scenario4[[#This Row],[takes]]&gt;0,AvatarAbilities4Scenario4[[#This Row],[wins]]/AvatarAbilities4Scenario4[[#This Row],[takes]],0)</f>
        <v>0.20833333333333334</v>
      </c>
      <c r="P104" s="27"/>
      <c r="Q104" s="27"/>
      <c r="R104" s="27"/>
      <c r="S104" s="28"/>
    </row>
    <row r="105" spans="11:19" ht="15.75" thickBot="1" x14ac:dyDescent="0.3"/>
    <row r="106" spans="11:19" ht="15.75" thickBot="1" x14ac:dyDescent="0.3">
      <c r="K106" s="36" t="s">
        <v>220</v>
      </c>
      <c r="L106" s="37"/>
      <c r="M106" s="37"/>
      <c r="N106" s="37"/>
      <c r="O106" s="37"/>
      <c r="P106" s="37"/>
      <c r="Q106" s="37"/>
      <c r="R106" s="37"/>
      <c r="S106" s="38"/>
    </row>
    <row r="107" spans="11:19" x14ac:dyDescent="0.25">
      <c r="K107" s="17" t="s">
        <v>109</v>
      </c>
      <c r="L107" t="s">
        <v>110</v>
      </c>
      <c r="M107" t="s">
        <v>79</v>
      </c>
      <c r="N107" s="3" t="s">
        <v>117</v>
      </c>
      <c r="O107" s="3" t="s">
        <v>118</v>
      </c>
      <c r="Q107" t="s">
        <v>161</v>
      </c>
      <c r="R107" t="s">
        <v>168</v>
      </c>
      <c r="S107" s="18" t="s">
        <v>164</v>
      </c>
    </row>
    <row r="108" spans="11:19" x14ac:dyDescent="0.25">
      <c r="K108" t="s">
        <v>44</v>
      </c>
      <c r="L108">
        <f>COUNTIF(Scenario5[winner1-ability1],AvatarAbilities1Scenario5[[#This Row],[ability]])+COUNTIF(Scenario5[winner2-ability1],AvatarAbilities1Scenario5[[#This Row],[ability]])+COUNTIF(Scenario5[loser1-ability1],AvatarAbilities1Scenario5[[#This Row],[ability]])+COUNTIF(Scenario5[loser2-ability1],AvatarAbilities1Scenario5[[#This Row],[ability]])</f>
        <v>25</v>
      </c>
      <c r="M108">
        <f>COUNTIF(Scenario5[winner1-ability1],AvatarAbilities1Scenario5[[#This Row],[ability]])+COUNTIF(Scenario5[winner2-ability1],AvatarAbilities1Scenario5[[#This Row],[ability]])</f>
        <v>18</v>
      </c>
      <c r="N108" s="3">
        <f>IF(SUM(AvatarAbilities1Scenario5[[#This Row],[takes]]) &gt; 0,AvatarAbilities1Scenario5[[#This Row],[takes]]/SUM(AvatarAbilities1Scenario5[takes]),0)</f>
        <v>0.14880952380952381</v>
      </c>
      <c r="O108" s="3">
        <f>IF(AvatarAbilities1Scenario5[[#This Row],[takes]]&gt;0,AvatarAbilities1Scenario5[[#This Row],[wins]]/AvatarAbilities1Scenario5[[#This Row],[takes]],0)</f>
        <v>0.72</v>
      </c>
      <c r="Q108">
        <v>1</v>
      </c>
      <c r="R108">
        <f>COUNTIFS(Scenario5[winner1],"avatar",Scenario5[winner1-pw],AvatarEquipScenario5[[#This Row],[level]])+COUNTIFS(Scenario5[winner2],"avatar",Scenario5[winner2-pw],AvatarEquipScenario5[[#This Row],[level]])+COUNTIFS(Scenario5[loser1],"avatar",Scenario5[loser1-pw],AvatarEquipScenario5[[#This Row],[level]])+COUNTIFS(Scenario5[loser2],"avatar",Scenario5[loser2-pw],AvatarEquipScenario5[[#This Row],[level]])</f>
        <v>52</v>
      </c>
      <c r="S108" s="18">
        <f>COUNTIFS(Scenario5[winner1],"avatar",Scenario5[winner1-cp],AvatarEquipScenario5[[#This Row],[level]])+COUNTIFS(Scenario5[winner2],"avatar",Scenario5[winner2-cp],AvatarEquipScenario5[[#This Row],[level]])+COUNTIFS(Scenario5[loser1],"avatar",Scenario5[loser1-cp],AvatarEquipScenario5[[#This Row],[level]])+COUNTIFS(Scenario5[loser2],"avatar",Scenario5[loser2-cp],AvatarEquipScenario5[[#This Row],[level]])</f>
        <v>118</v>
      </c>
    </row>
    <row r="109" spans="11:19" x14ac:dyDescent="0.25">
      <c r="K109" t="s">
        <v>135</v>
      </c>
      <c r="L109">
        <f>COUNTIF(Scenario5[winner1-ability1],AvatarAbilities1Scenario5[[#This Row],[ability]])+COUNTIF(Scenario5[winner2-ability1],AvatarAbilities1Scenario5[[#This Row],[ability]])+COUNTIF(Scenario5[loser1-ability1],AvatarAbilities1Scenario5[[#This Row],[ability]])+COUNTIF(Scenario5[loser2-ability1],AvatarAbilities1Scenario5[[#This Row],[ability]])</f>
        <v>79</v>
      </c>
      <c r="M109">
        <f>COUNTIF(Scenario5[winner1-ability1],AvatarAbilities1Scenario5[[#This Row],[ability]])+COUNTIF(Scenario5[winner2-ability1],AvatarAbilities1Scenario5[[#This Row],[ability]])</f>
        <v>43</v>
      </c>
      <c r="N109" s="3">
        <f>IF(SUM(AvatarAbilities1Scenario5[[#This Row],[takes]]) &gt; 0,AvatarAbilities1Scenario5[[#This Row],[takes]]/SUM(AvatarAbilities1Scenario5[takes]),0)</f>
        <v>0.47023809523809523</v>
      </c>
      <c r="O109" s="3">
        <f>IF(AvatarAbilities1Scenario5[[#This Row],[takes]]&gt;0,AvatarAbilities1Scenario5[[#This Row],[wins]]/AvatarAbilities1Scenario5[[#This Row],[takes]],0)</f>
        <v>0.54430379746835444</v>
      </c>
      <c r="Q109">
        <v>2</v>
      </c>
      <c r="R109">
        <f>COUNTIFS(Scenario5[winner1],"avatar",Scenario5[winner1-pw],AvatarEquipScenario5[[#This Row],[level]])+COUNTIFS(Scenario5[winner2],"avatar",Scenario5[winner2-pw],AvatarEquipScenario5[[#This Row],[level]])+COUNTIFS(Scenario5[loser1],"avatar",Scenario5[loser1-pw],AvatarEquipScenario5[[#This Row],[level]])+COUNTIFS(Scenario5[loser2],"avatar",Scenario5[loser2-pw],AvatarEquipScenario5[[#This Row],[level]])</f>
        <v>38</v>
      </c>
      <c r="S109" s="18">
        <f>COUNTIFS(Scenario5[winner1],"avatar",Scenario5[winner1-cp],AvatarEquipScenario5[[#This Row],[level]])+COUNTIFS(Scenario5[winner2],"avatar",Scenario5[winner2-cp],AvatarEquipScenario5[[#This Row],[level]])+COUNTIFS(Scenario5[loser1],"avatar",Scenario5[loser1-cp],AvatarEquipScenario5[[#This Row],[level]])+COUNTIFS(Scenario5[loser2],"avatar",Scenario5[loser2-cp],AvatarEquipScenario5[[#This Row],[level]])</f>
        <v>16</v>
      </c>
    </row>
    <row r="110" spans="11:19" x14ac:dyDescent="0.25">
      <c r="K110" t="s">
        <v>73</v>
      </c>
      <c r="L110">
        <f>COUNTIF(Scenario5[winner1-ability1],AvatarAbilities1Scenario5[[#This Row],[ability]])+COUNTIF(Scenario5[winner2-ability1],AvatarAbilities1Scenario5[[#This Row],[ability]])+COUNTIF(Scenario5[loser1-ability1],AvatarAbilities1Scenario5[[#This Row],[ability]])+COUNTIF(Scenario5[loser2-ability1],AvatarAbilities1Scenario5[[#This Row],[ability]])</f>
        <v>64</v>
      </c>
      <c r="M110">
        <f>COUNTIF(Scenario5[winner1-ability1],AvatarAbilities1Scenario5[[#This Row],[ability]])+COUNTIF(Scenario5[winner2-ability1],AvatarAbilities1Scenario5[[#This Row],[ability]])</f>
        <v>20</v>
      </c>
      <c r="N110" s="3">
        <f>IF(SUM(AvatarAbilities1Scenario5[[#This Row],[takes]]) &gt; 0,AvatarAbilities1Scenario5[[#This Row],[takes]]/SUM(AvatarAbilities1Scenario5[takes]),0)</f>
        <v>0.38095238095238093</v>
      </c>
      <c r="O110" s="3">
        <f>IF(AvatarAbilities1Scenario5[[#This Row],[takes]]&gt;0,AvatarAbilities1Scenario5[[#This Row],[wins]]/AvatarAbilities1Scenario5[[#This Row],[takes]],0)</f>
        <v>0.3125</v>
      </c>
      <c r="Q110">
        <v>3</v>
      </c>
      <c r="R110">
        <f>COUNTIFS(Scenario5[winner1],"avatar",Scenario5[winner1-pw],AvatarEquipScenario5[[#This Row],[level]])+COUNTIFS(Scenario5[winner2],"avatar",Scenario5[winner2-pw],AvatarEquipScenario5[[#This Row],[level]])+COUNTIFS(Scenario5[loser1],"avatar",Scenario5[loser1-pw],AvatarEquipScenario5[[#This Row],[level]])+COUNTIFS(Scenario5[loser2],"avatar",Scenario5[loser2-pw],AvatarEquipScenario5[[#This Row],[level]])</f>
        <v>78</v>
      </c>
      <c r="S110" s="18">
        <f>COUNTIFS(Scenario5[winner1],"avatar",Scenario5[winner1-cp],AvatarEquipScenario5[[#This Row],[level]])+COUNTIFS(Scenario5[winner2],"avatar",Scenario5[winner2-cp],AvatarEquipScenario5[[#This Row],[level]])+COUNTIFS(Scenario5[loser1],"avatar",Scenario5[loser1-cp],AvatarEquipScenario5[[#This Row],[level]])+COUNTIFS(Scenario5[loser2],"avatar",Scenario5[loser2-cp],AvatarEquipScenario5[[#This Row],[level]])</f>
        <v>34</v>
      </c>
    </row>
    <row r="111" spans="11:19" x14ac:dyDescent="0.25">
      <c r="K111" s="17"/>
      <c r="N111" s="3"/>
      <c r="O111" s="3"/>
      <c r="S111" s="18"/>
    </row>
    <row r="112" spans="11:19" x14ac:dyDescent="0.25">
      <c r="K112" s="19" t="s">
        <v>109</v>
      </c>
      <c r="L112" s="8" t="s">
        <v>110</v>
      </c>
      <c r="M112" s="8" t="s">
        <v>79</v>
      </c>
      <c r="N112" s="9" t="s">
        <v>117</v>
      </c>
      <c r="O112" s="9" t="s">
        <v>118</v>
      </c>
      <c r="S112" s="18"/>
    </row>
    <row r="113" spans="11:19" x14ac:dyDescent="0.25">
      <c r="K113" s="2" t="s">
        <v>74</v>
      </c>
      <c r="L113" s="2">
        <f>COUNTIF(Scenario5[winner1-ability2],AvatarAbilities2Scenario5[[#This Row],[ability]])+COUNTIF(Scenario5[winner2-ability2],AvatarAbilities2Scenario5[[#This Row],[ability]])+COUNTIF(Scenario5[loser1-ability2],AvatarAbilities2Scenario5[[#This Row],[ability]])+COUNTIF(Scenario5[loser2-ability2],AvatarAbilities2Scenario5[[#This Row],[ability]])</f>
        <v>42</v>
      </c>
      <c r="M113" s="2">
        <f>COUNTIF(Scenario5[winner1-ability2],AvatarAbilities2Scenario5[[#This Row],[ability]])+COUNTIF(Scenario5[winner2-ability2],AvatarAbilities2Scenario5[[#This Row],[ability]])</f>
        <v>22</v>
      </c>
      <c r="N113" s="12">
        <f>IF(SUM(AvatarAbilities2Scenario5[[#This Row],[takes]]) &gt; 0,AvatarAbilities2Scenario5[[#This Row],[takes]]/SUM(AvatarAbilities2Scenario5[takes]),0)</f>
        <v>0.2857142857142857</v>
      </c>
      <c r="O113" s="12">
        <f>IF(AvatarAbilities2Scenario5[[#This Row],[takes]]&gt;0,AvatarAbilities2Scenario5[[#This Row],[wins]]/AvatarAbilities2Scenario5[[#This Row],[takes]],0)</f>
        <v>0.52380952380952384</v>
      </c>
      <c r="S113" s="18"/>
    </row>
    <row r="114" spans="11:19" x14ac:dyDescent="0.25">
      <c r="K114" t="s">
        <v>136</v>
      </c>
      <c r="L114" s="2">
        <f>COUNTIF(Scenario5[winner1-ability2],AvatarAbilities2Scenario5[[#This Row],[ability]])+COUNTIF(Scenario5[winner2-ability2],AvatarAbilities2Scenario5[[#This Row],[ability]])+COUNTIF(Scenario5[loser1-ability2],AvatarAbilities2Scenario5[[#This Row],[ability]])+COUNTIF(Scenario5[loser2-ability2],AvatarAbilities2Scenario5[[#This Row],[ability]])</f>
        <v>65</v>
      </c>
      <c r="M114" s="2">
        <f>COUNTIF(Scenario5[winner1-ability2],AvatarAbilities2Scenario5[[#This Row],[ability]])+COUNTIF(Scenario5[winner2-ability2],AvatarAbilities2Scenario5[[#This Row],[ability]])</f>
        <v>29</v>
      </c>
      <c r="N114" s="3">
        <f>IF(SUM(AvatarAbilities2Scenario5[[#This Row],[takes]]) &gt; 0,AvatarAbilities2Scenario5[[#This Row],[takes]]/SUM(AvatarAbilities2Scenario5[takes]),0)</f>
        <v>0.44217687074829931</v>
      </c>
      <c r="O114" s="3">
        <f>IF(AvatarAbilities2Scenario5[[#This Row],[takes]]&gt;0,AvatarAbilities2Scenario5[[#This Row],[wins]]/AvatarAbilities2Scenario5[[#This Row],[takes]],0)</f>
        <v>0.44615384615384618</v>
      </c>
      <c r="S114" s="18"/>
    </row>
    <row r="115" spans="11:19" x14ac:dyDescent="0.25">
      <c r="K115" s="10" t="s">
        <v>99</v>
      </c>
      <c r="L115" s="2">
        <f>COUNTIF(Scenario5[winner1-ability2],AvatarAbilities2Scenario5[[#This Row],[ability]])+COUNTIF(Scenario5[winner2-ability2],AvatarAbilities2Scenario5[[#This Row],[ability]])+COUNTIF(Scenario5[loser1-ability2],AvatarAbilities2Scenario5[[#This Row],[ability]])+COUNTIF(Scenario5[loser2-ability2],AvatarAbilities2Scenario5[[#This Row],[ability]])</f>
        <v>40</v>
      </c>
      <c r="M115" s="2">
        <f>COUNTIF(Scenario5[winner1-ability2],AvatarAbilities2Scenario5[[#This Row],[ability]])+COUNTIF(Scenario5[winner2-ability2],AvatarAbilities2Scenario5[[#This Row],[ability]])</f>
        <v>20</v>
      </c>
      <c r="N115" s="13">
        <f>IF(SUM(AvatarAbilities2Scenario5[[#This Row],[takes]]) &gt; 0,AvatarAbilities2Scenario5[[#This Row],[takes]]/SUM(AvatarAbilities2Scenario5[takes]),0)</f>
        <v>0.27210884353741499</v>
      </c>
      <c r="O115" s="13">
        <f>IF(AvatarAbilities2Scenario5[[#This Row],[takes]]&gt;0,AvatarAbilities2Scenario5[[#This Row],[wins]]/AvatarAbilities2Scenario5[[#This Row],[takes]],0)</f>
        <v>0.5</v>
      </c>
      <c r="S115" s="18"/>
    </row>
    <row r="116" spans="11:19" x14ac:dyDescent="0.25">
      <c r="K116" s="17"/>
      <c r="N116" s="3"/>
      <c r="O116" s="3"/>
      <c r="S116" s="18"/>
    </row>
    <row r="117" spans="11:19" x14ac:dyDescent="0.25">
      <c r="K117" s="19" t="s">
        <v>109</v>
      </c>
      <c r="L117" s="8" t="s">
        <v>110</v>
      </c>
      <c r="M117" s="8" t="s">
        <v>79</v>
      </c>
      <c r="N117" s="9" t="s">
        <v>117</v>
      </c>
      <c r="O117" s="9" t="s">
        <v>118</v>
      </c>
      <c r="S117" s="18"/>
    </row>
    <row r="118" spans="11:19" x14ac:dyDescent="0.25">
      <c r="K118" s="1" t="s">
        <v>137</v>
      </c>
      <c r="L118" s="1">
        <f>COUNTIF(Scenario5[winner1-ability3],AvatarAbilities3Scenario5[[#This Row],[ability]])+COUNTIF(Scenario5[winner2-ability3],AvatarAbilities3Scenario5[[#This Row],[ability]])+COUNTIF(Scenario5[loser1-ability3],AvatarAbilities3Scenario5[[#This Row],[ability]])+COUNTIF(Scenario5[loser2-ability3],AvatarAbilities3Scenario5[[#This Row],[ability]])</f>
        <v>43</v>
      </c>
      <c r="M118" s="1">
        <f>COUNTIF(Scenario5[winner1-ability3],AvatarAbilities3Scenario5[[#This Row],[ability]])+COUNTIF(Scenario5[winner2-ability3],AvatarAbilities3Scenario5[[#This Row],[ability]])</f>
        <v>25</v>
      </c>
      <c r="N118" s="14">
        <f>IF(SUM(AvatarAbilities3Scenario5[[#This Row],[takes]]) &gt; 0,AvatarAbilities3Scenario5[[#This Row],[takes]]/SUM(AvatarAbilities3Scenario5[takes]),0)</f>
        <v>0.36752136752136755</v>
      </c>
      <c r="O118" s="14">
        <f>IF(AvatarAbilities3Scenario5[[#This Row],[takes]]&gt;0,AvatarAbilities3Scenario5[[#This Row],[wins]]/AvatarAbilities3Scenario5[[#This Row],[takes]],0)</f>
        <v>0.58139534883720934</v>
      </c>
      <c r="S118" s="18"/>
    </row>
    <row r="119" spans="11:19" x14ac:dyDescent="0.25">
      <c r="K119" s="2" t="s">
        <v>100</v>
      </c>
      <c r="L119" s="2">
        <f>COUNTIF(Scenario5[winner1-ability3],AvatarAbilities3Scenario5[[#This Row],[ability]])+COUNTIF(Scenario5[winner2-ability3],AvatarAbilities3Scenario5[[#This Row],[ability]])+COUNTIF(Scenario5[loser1-ability3],AvatarAbilities3Scenario5[[#This Row],[ability]])+COUNTIF(Scenario5[loser2-ability3],AvatarAbilities3Scenario5[[#This Row],[ability]])</f>
        <v>17</v>
      </c>
      <c r="M119" s="2">
        <f>COUNTIF(Scenario5[winner1-ability3],AvatarAbilities3Scenario5[[#This Row],[ability]])+COUNTIF(Scenario5[winner2-ability3],AvatarAbilities3Scenario5[[#This Row],[ability]])</f>
        <v>8</v>
      </c>
      <c r="N119" s="12">
        <f>IF(SUM(AvatarAbilities3Scenario5[[#This Row],[takes]]) &gt; 0,AvatarAbilities3Scenario5[[#This Row],[takes]]/SUM(AvatarAbilities3Scenario5[takes]),0)</f>
        <v>0.14529914529914531</v>
      </c>
      <c r="O119" s="12">
        <f>IF(AvatarAbilities3Scenario5[[#This Row],[takes]]&gt;0,AvatarAbilities3Scenario5[[#This Row],[wins]]/AvatarAbilities3Scenario5[[#This Row],[takes]],0)</f>
        <v>0.47058823529411764</v>
      </c>
      <c r="S119" s="18"/>
    </row>
    <row r="120" spans="11:19" x14ac:dyDescent="0.25">
      <c r="K120" s="11" t="s">
        <v>75</v>
      </c>
      <c r="L120" s="1">
        <f>COUNTIF(Scenario5[winner1-ability3],AvatarAbilities3Scenario5[[#This Row],[ability]])+COUNTIF(Scenario5[winner2-ability3],AvatarAbilities3Scenario5[[#This Row],[ability]])+COUNTIF(Scenario5[loser1-ability3],AvatarAbilities3Scenario5[[#This Row],[ability]])+COUNTIF(Scenario5[loser2-ability3],AvatarAbilities3Scenario5[[#This Row],[ability]])</f>
        <v>57</v>
      </c>
      <c r="M120" s="1">
        <f>COUNTIF(Scenario5[winner1-ability3],AvatarAbilities3Scenario5[[#This Row],[ability]])+COUNTIF(Scenario5[winner2-ability3],AvatarAbilities3Scenario5[[#This Row],[ability]])</f>
        <v>31</v>
      </c>
      <c r="N120" s="15">
        <f>IF(SUM(AvatarAbilities3Scenario5[[#This Row],[takes]]) &gt; 0,AvatarAbilities3Scenario5[[#This Row],[takes]]/SUM(AvatarAbilities3Scenario5[takes]),0)</f>
        <v>0.48717948717948717</v>
      </c>
      <c r="O120" s="15">
        <f>IF(AvatarAbilities3Scenario5[[#This Row],[takes]]&gt;0,AvatarAbilities3Scenario5[[#This Row],[wins]]/AvatarAbilities3Scenario5[[#This Row],[takes]],0)</f>
        <v>0.54385964912280704</v>
      </c>
      <c r="S120" s="18"/>
    </row>
    <row r="121" spans="11:19" x14ac:dyDescent="0.25">
      <c r="K121" s="17"/>
      <c r="N121" s="3"/>
      <c r="O121" s="3"/>
      <c r="S121" s="18"/>
    </row>
    <row r="122" spans="11:19" x14ac:dyDescent="0.25">
      <c r="K122" s="19" t="s">
        <v>109</v>
      </c>
      <c r="L122" s="8" t="s">
        <v>110</v>
      </c>
      <c r="M122" s="8" t="s">
        <v>79</v>
      </c>
      <c r="N122" s="9" t="s">
        <v>117</v>
      </c>
      <c r="O122" s="9" t="s">
        <v>118</v>
      </c>
      <c r="S122" s="18"/>
    </row>
    <row r="123" spans="11:19" x14ac:dyDescent="0.25">
      <c r="K123" s="2" t="s">
        <v>138</v>
      </c>
      <c r="L123" s="2">
        <f>COUNTIF(Scenario5[winner1-ability4],AvatarAbilities4Scenario5[[#This Row],[ability]])+COUNTIF(Scenario5[winner2-ability4],AvatarAbilities4Scenario5[[#This Row],[ability]])+COUNTIF(Scenario5[loser1-ability4],AvatarAbilities4Scenario5[[#This Row],[ability]])+COUNTIF(Scenario5[loser2-ability4],AvatarAbilities4Scenario5[[#This Row],[ability]])</f>
        <v>17</v>
      </c>
      <c r="M123" s="2">
        <f>COUNTIF(Scenario5[winner1-ability4],AvatarAbilities4Scenario5[[#This Row],[ability]])+COUNTIF(Scenario5[winner2-ability4],AvatarAbilities4Scenario5[[#This Row],[ability]])</f>
        <v>10</v>
      </c>
      <c r="N123" s="12">
        <f>IF(SUM(AvatarAbilities4Scenario5[[#This Row],[takes]]) &gt; 0,AvatarAbilities4Scenario5[[#This Row],[takes]]/SUM(AvatarAbilities4Scenario5[takes]),0)</f>
        <v>0.22368421052631579</v>
      </c>
      <c r="O123" s="12">
        <f>IF(AvatarAbilities4Scenario5[[#This Row],[takes]]&gt;0,AvatarAbilities4Scenario5[[#This Row],[wins]]/AvatarAbilities4Scenario5[[#This Row],[takes]],0)</f>
        <v>0.58823529411764708</v>
      </c>
      <c r="S123" s="18"/>
    </row>
    <row r="124" spans="11:19" x14ac:dyDescent="0.25">
      <c r="K124" s="2" t="s">
        <v>101</v>
      </c>
      <c r="L124" s="2">
        <f>COUNTIF(Scenario5[winner1-ability4],AvatarAbilities4Scenario5[[#This Row],[ability]])+COUNTIF(Scenario5[winner2-ability4],AvatarAbilities4Scenario5[[#This Row],[ability]])+COUNTIF(Scenario5[loser1-ability4],AvatarAbilities4Scenario5[[#This Row],[ability]])+COUNTIF(Scenario5[loser2-ability4],AvatarAbilities4Scenario5[[#This Row],[ability]])</f>
        <v>33</v>
      </c>
      <c r="M124" s="2">
        <f>COUNTIF(Scenario5[winner1-ability4],AvatarAbilities4Scenario5[[#This Row],[ability]])+COUNTIF(Scenario5[winner2-ability4],AvatarAbilities4Scenario5[[#This Row],[ability]])</f>
        <v>15</v>
      </c>
      <c r="N124" s="12">
        <f>IF(SUM(AvatarAbilities4Scenario5[[#This Row],[takes]]) &gt; 0,AvatarAbilities4Scenario5[[#This Row],[takes]]/SUM(AvatarAbilities4Scenario5[takes]),0)</f>
        <v>0.43421052631578949</v>
      </c>
      <c r="O124" s="12">
        <f>IF(AvatarAbilities4Scenario5[[#This Row],[takes]]&gt;0,AvatarAbilities4Scenario5[[#This Row],[wins]]/AvatarAbilities4Scenario5[[#This Row],[takes]],0)</f>
        <v>0.45454545454545453</v>
      </c>
      <c r="S124" s="18"/>
    </row>
    <row r="125" spans="11:19" ht="15.75" thickBot="1" x14ac:dyDescent="0.3">
      <c r="K125" s="10" t="s">
        <v>139</v>
      </c>
      <c r="L125" s="2">
        <f>COUNTIF(Scenario5[winner1-ability4],AvatarAbilities4Scenario5[[#This Row],[ability]])+COUNTIF(Scenario5[winner2-ability4],AvatarAbilities4Scenario5[[#This Row],[ability]])+COUNTIF(Scenario5[loser1-ability4],AvatarAbilities4Scenario5[[#This Row],[ability]])+COUNTIF(Scenario5[loser2-ability4],AvatarAbilities4Scenario5[[#This Row],[ability]])</f>
        <v>26</v>
      </c>
      <c r="M125" s="2">
        <f>COUNTIF(Scenario5[winner1-ability4],AvatarAbilities4Scenario5[[#This Row],[ability]])+COUNTIF(Scenario5[winner2-ability4],AvatarAbilities4Scenario5[[#This Row],[ability]])</f>
        <v>17</v>
      </c>
      <c r="N125" s="26">
        <f>IF(SUM(AvatarAbilities4Scenario5[[#This Row],[takes]]) &gt; 0,AvatarAbilities4Scenario5[[#This Row],[takes]]/SUM(AvatarAbilities4Scenario5[takes]),0)</f>
        <v>0.34210526315789475</v>
      </c>
      <c r="O125" s="26">
        <f>IF(AvatarAbilities4Scenario5[[#This Row],[takes]]&gt;0,AvatarAbilities4Scenario5[[#This Row],[wins]]/AvatarAbilities4Scenario5[[#This Row],[takes]],0)</f>
        <v>0.65384615384615385</v>
      </c>
      <c r="P125" s="27"/>
      <c r="Q125" s="27"/>
      <c r="R125" s="27"/>
      <c r="S125" s="28"/>
    </row>
  </sheetData>
  <mergeCells count="7">
    <mergeCell ref="K106:S106"/>
    <mergeCell ref="K85:S85"/>
    <mergeCell ref="A1:I1"/>
    <mergeCell ref="K1:S1"/>
    <mergeCell ref="K22:S22"/>
    <mergeCell ref="K43:S43"/>
    <mergeCell ref="K64:S64"/>
  </mergeCells>
  <pageMargins left="0.7" right="0.7" top="0.75" bottom="0.75" header="0.3" footer="0.3"/>
  <pageSetup paperSize="9" orientation="portrait" r:id="rId1"/>
  <tableParts count="3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3A7A-D6FB-4CD4-BA26-26E3032FAEEE}">
  <dimension ref="A1:V125"/>
  <sheetViews>
    <sheetView workbookViewId="0">
      <selection activeCell="E26" sqref="E26"/>
    </sheetView>
  </sheetViews>
  <sheetFormatPr defaultRowHeight="15" x14ac:dyDescent="0.25"/>
  <cols>
    <col min="1" max="1" width="18.85546875" bestFit="1" customWidth="1"/>
    <col min="2" max="2" width="8" bestFit="1" customWidth="1"/>
    <col min="3" max="3" width="7.42578125" bestFit="1" customWidth="1"/>
    <col min="4" max="4" width="18.42578125" style="3" bestFit="1" customWidth="1"/>
    <col min="5" max="5" width="15.5703125" style="3" bestFit="1" customWidth="1"/>
    <col min="6" max="6" width="3.5703125" customWidth="1"/>
    <col min="7" max="7" width="7.7109375" bestFit="1" customWidth="1"/>
    <col min="8" max="8" width="7.140625" bestFit="1" customWidth="1"/>
    <col min="9" max="9" width="12.85546875" bestFit="1" customWidth="1"/>
    <col min="10" max="10" width="3.85546875" customWidth="1"/>
    <col min="11" max="11" width="18.85546875" bestFit="1" customWidth="1"/>
    <col min="12" max="12" width="8" bestFit="1" customWidth="1"/>
    <col min="13" max="13" width="7.42578125" bestFit="1" customWidth="1"/>
    <col min="14" max="14" width="18.42578125" bestFit="1" customWidth="1"/>
    <col min="15" max="15" width="15.5703125" bestFit="1" customWidth="1"/>
    <col min="16" max="16" width="4" customWidth="1"/>
    <col min="17" max="17" width="7.7109375" bestFit="1" customWidth="1"/>
    <col min="18" max="18" width="7.140625" bestFit="1" customWidth="1"/>
    <col min="19" max="19" width="12.85546875" bestFit="1" customWidth="1"/>
    <col min="20" max="20" width="11.85546875" bestFit="1" customWidth="1"/>
    <col min="21" max="21" width="16.85546875" bestFit="1" customWidth="1"/>
    <col min="22" max="22" width="7.140625" bestFit="1" customWidth="1"/>
  </cols>
  <sheetData>
    <row r="1" spans="1:22" ht="15.75" thickBot="1" x14ac:dyDescent="0.3">
      <c r="A1" s="36" t="s">
        <v>181</v>
      </c>
      <c r="B1" s="37"/>
      <c r="C1" s="37"/>
      <c r="D1" s="37"/>
      <c r="E1" s="37"/>
      <c r="F1" s="37"/>
      <c r="G1" s="37"/>
      <c r="H1" s="37"/>
      <c r="I1" s="38"/>
      <c r="K1" s="36" t="s">
        <v>182</v>
      </c>
      <c r="L1" s="37"/>
      <c r="M1" s="37"/>
      <c r="N1" s="37"/>
      <c r="O1" s="37"/>
      <c r="P1" s="37"/>
      <c r="Q1" s="37"/>
      <c r="R1" s="37"/>
      <c r="S1" s="38"/>
      <c r="T1" s="29"/>
      <c r="U1" t="s">
        <v>174</v>
      </c>
      <c r="V1" s="3" t="s">
        <v>175</v>
      </c>
    </row>
    <row r="2" spans="1:22" x14ac:dyDescent="0.25">
      <c r="A2" s="17" t="s">
        <v>109</v>
      </c>
      <c r="B2" t="s">
        <v>110</v>
      </c>
      <c r="C2" t="s">
        <v>79</v>
      </c>
      <c r="D2" s="3" t="s">
        <v>117</v>
      </c>
      <c r="E2" s="3" t="s">
        <v>118</v>
      </c>
      <c r="G2" t="s">
        <v>161</v>
      </c>
      <c r="H2" t="s">
        <v>169</v>
      </c>
      <c r="I2" s="18" t="s">
        <v>164</v>
      </c>
      <c r="K2" s="17" t="s">
        <v>109</v>
      </c>
      <c r="L2" t="s">
        <v>110</v>
      </c>
      <c r="M2" t="s">
        <v>79</v>
      </c>
      <c r="N2" s="3" t="s">
        <v>117</v>
      </c>
      <c r="O2" s="3" t="s">
        <v>118</v>
      </c>
      <c r="Q2" t="s">
        <v>161</v>
      </c>
      <c r="R2" t="s">
        <v>169</v>
      </c>
      <c r="S2" s="18" t="s">
        <v>164</v>
      </c>
      <c r="U2" t="s">
        <v>201</v>
      </c>
      <c r="V2" s="3">
        <f>H4/SUM(ShadowEquip[bow])</f>
        <v>0.29635761589403975</v>
      </c>
    </row>
    <row r="3" spans="1:22" x14ac:dyDescent="0.25">
      <c r="A3" t="s">
        <v>47</v>
      </c>
      <c r="B3">
        <f>L3+L24+L45+L66+L87+L108</f>
        <v>207</v>
      </c>
      <c r="C3">
        <f>M3+M24+M45+M66+M87+M108</f>
        <v>97</v>
      </c>
      <c r="D3" s="3">
        <f>IF(SUM(ShadowAbilities1[[#This Row],[takes]]) &gt; 0,ShadowAbilities1[[#This Row],[takes]]/SUM(ShadowAbilities1[takes]),0)</f>
        <v>0.34271523178807944</v>
      </c>
      <c r="E3" s="3">
        <f>IF(ShadowAbilities1[[#This Row],[takes]]&gt;0,ShadowAbilities1[[#This Row],[wins]]/ShadowAbilities1[[#This Row],[takes]],0)</f>
        <v>0.46859903381642515</v>
      </c>
      <c r="G3">
        <v>1</v>
      </c>
      <c r="H3">
        <f>R3+R24+R45+R66+R87+R108</f>
        <v>29</v>
      </c>
      <c r="I3" s="18">
        <f>S3+S24+S45+S66+S87+S108</f>
        <v>443</v>
      </c>
      <c r="K3" t="s">
        <v>47</v>
      </c>
      <c r="L3">
        <f>COUNTIF(Scenario0[winner1-ability1],ShadowAbilities1Scenario0[[#This Row],[ability]])+COUNTIF(Scenario0[winner2-ability1],ShadowAbilities1Scenario0[[#This Row],[ability]])+COUNTIF(Scenario0[loser1-ability1],ShadowAbilities1Scenario0[[#This Row],[ability]])+COUNTIF(Scenario0[loser2-ability1],ShadowAbilities1Scenario0[[#This Row],[ability]])</f>
        <v>148</v>
      </c>
      <c r="M3">
        <f>COUNTIF(Scenario0[winner1-ability1],ShadowAbilities1Scenario0[[#This Row],[ability]])+COUNTIF(Scenario0[winner2-ability1],ShadowAbilities1Scenario0[[#This Row],[ability]])</f>
        <v>74</v>
      </c>
      <c r="N3" s="3">
        <f>IF(SUM(ShadowAbilities1Scenario0[[#This Row],[takes]]) &gt; 0,ShadowAbilities1Scenario0[[#This Row],[takes]]/SUM(ShadowAbilities1Scenario0[takes]),0)</f>
        <v>0.88095238095238093</v>
      </c>
      <c r="O3" s="3">
        <f>IF(ShadowAbilities1Scenario0[[#This Row],[takes]]&gt;0,ShadowAbilities1Scenario0[[#This Row],[wins]]/ShadowAbilities1Scenario0[[#This Row],[takes]],0)</f>
        <v>0.5</v>
      </c>
      <c r="Q3">
        <v>1</v>
      </c>
      <c r="R3">
        <f>COUNTIFS(Scenario0[winner1],"shadow",Scenario0[winner1-pw],ShadowEquipScenario0[[#This Row],[level]])+COUNTIFS(Scenario0[winner2],"shadow",Scenario0[winner2-pw],ShadowEquipScenario0[[#This Row],[level]])+COUNTIFS(Scenario0[loser1],"shadow",Scenario0[loser1-pw],ShadowEquipScenario0[[#This Row],[level]])+COUNTIFS(Scenario0[loser2],"shadow",Scenario0[loser2-pw],ShadowEquipScenario0[[#This Row],[level]])</f>
        <v>17</v>
      </c>
      <c r="S3" s="18">
        <f>COUNTIFS(Scenario0[winner1],"shadow",Scenario0[winner1-cp],ShadowEquipScenario0[[#This Row],[level]])+COUNTIFS(Scenario0[winner2],"shadow",Scenario0[winner2-cp],ShadowEquipScenario0[[#This Row],[level]])+COUNTIFS(Scenario0[loser1],"shadow",Scenario0[loser1-cp],ShadowEquipScenario0[[#This Row],[level]])+COUNTIFS(Scenario0[loser2],"shadow",Scenario0[loser2-cp],ShadowEquipScenario0[[#This Row],[level]])</f>
        <v>144</v>
      </c>
      <c r="U3" t="s">
        <v>202</v>
      </c>
      <c r="V3" s="16">
        <f>H5/SUM(ShadowEquip[bow])</f>
        <v>0.6556291390728477</v>
      </c>
    </row>
    <row r="4" spans="1:22" x14ac:dyDescent="0.25">
      <c r="A4" t="s">
        <v>86</v>
      </c>
      <c r="B4">
        <f t="shared" ref="B4:B5" si="0">L4+L25+L46+L67+L88+L109</f>
        <v>226</v>
      </c>
      <c r="C4">
        <f t="shared" ref="C4:C5" si="1">M4+M25+M46+M67+M88+M109</f>
        <v>80</v>
      </c>
      <c r="D4" s="3">
        <f>IF(SUM(ShadowAbilities1[[#This Row],[takes]]) &gt; 0,ShadowAbilities1[[#This Row],[takes]]/SUM(ShadowAbilities1[takes]),0)</f>
        <v>0.3741721854304636</v>
      </c>
      <c r="E4" s="3">
        <f>IF(ShadowAbilities1[[#This Row],[takes]]&gt;0,ShadowAbilities1[[#This Row],[wins]]/ShadowAbilities1[[#This Row],[takes]],0)</f>
        <v>0.35398230088495575</v>
      </c>
      <c r="G4">
        <v>2</v>
      </c>
      <c r="H4">
        <f t="shared" ref="H4:H5" si="2">R4+R25+R46+R67+R88+R109</f>
        <v>179</v>
      </c>
      <c r="I4" s="18">
        <f t="shared" ref="I4:I5" si="3">S4+S25+S46+S67+S88+S109</f>
        <v>62</v>
      </c>
      <c r="K4" t="s">
        <v>86</v>
      </c>
      <c r="L4">
        <f>COUNTIF(Scenario0[winner1-ability1],ShadowAbilities1Scenario0[[#This Row],[ability]])+COUNTIF(Scenario0[winner2-ability1],ShadowAbilities1Scenario0[[#This Row],[ability]])+COUNTIF(Scenario0[loser1-ability1],ShadowAbilities1Scenario0[[#This Row],[ability]])+COUNTIF(Scenario0[loser2-ability1],ShadowAbilities1Scenario0[[#This Row],[ability]])</f>
        <v>17</v>
      </c>
      <c r="M4">
        <f>COUNTIF(Scenario0[winner1-ability1],ShadowAbilities1Scenario0[[#This Row],[ability]])+COUNTIF(Scenario0[winner2-ability1],ShadowAbilities1Scenario0[[#This Row],[ability]])</f>
        <v>6</v>
      </c>
      <c r="N4" s="3">
        <f>IF(SUM(ShadowAbilities1Scenario0[[#This Row],[takes]]) &gt; 0,ShadowAbilities1Scenario0[[#This Row],[takes]]/SUM(ShadowAbilities1Scenario0[takes]),0)</f>
        <v>0.10119047619047619</v>
      </c>
      <c r="O4" s="3">
        <f>IF(ShadowAbilities1Scenario0[[#This Row],[takes]]&gt;0,ShadowAbilities1Scenario0[[#This Row],[wins]]/ShadowAbilities1Scenario0[[#This Row],[takes]],0)</f>
        <v>0.35294117647058826</v>
      </c>
      <c r="Q4">
        <v>2</v>
      </c>
      <c r="R4">
        <f>COUNTIFS(Scenario0[winner1],"shadow",Scenario0[winner1-pw],ShadowEquipScenario0[[#This Row],[level]])+COUNTIFS(Scenario0[winner2],"shadow",Scenario0[winner2-pw],ShadowEquipScenario0[[#This Row],[level]])+COUNTIFS(Scenario0[loser1],"shadow",Scenario0[loser1-pw],ShadowEquipScenario0[[#This Row],[level]])+COUNTIFS(Scenario0[loser2],"shadow",Scenario0[loser2-pw],ShadowEquipScenario0[[#This Row],[level]])</f>
        <v>88</v>
      </c>
      <c r="S4" s="18">
        <f>COUNTIFS(Scenario0[winner1],"shadow",Scenario0[winner1-cp],ShadowEquipScenario0[[#This Row],[level]])+COUNTIFS(Scenario0[winner2],"shadow",Scenario0[winner2-cp],ShadowEquipScenario0[[#This Row],[level]])+COUNTIFS(Scenario0[loser1],"shadow",Scenario0[loser1-cp],ShadowEquipScenario0[[#This Row],[level]])+COUNTIFS(Scenario0[loser2],"shadow",Scenario0[loser2-cp],ShadowEquipScenario0[[#This Row],[level]])</f>
        <v>19</v>
      </c>
      <c r="U4" t="s">
        <v>179</v>
      </c>
      <c r="V4" s="3">
        <f>ShadowEquip[[#This Row],[chestpiece]]/SUM(ShadowEquip[chestpiece])</f>
        <v>0.10264900662251655</v>
      </c>
    </row>
    <row r="5" spans="1:22" x14ac:dyDescent="0.25">
      <c r="A5" t="s">
        <v>140</v>
      </c>
      <c r="B5">
        <f t="shared" si="0"/>
        <v>171</v>
      </c>
      <c r="C5">
        <f t="shared" si="1"/>
        <v>100</v>
      </c>
      <c r="D5" s="3">
        <f>IF(SUM(ShadowAbilities1[[#This Row],[takes]]) &gt; 0,ShadowAbilities1[[#This Row],[takes]]/SUM(ShadowAbilities1[takes]),0)</f>
        <v>0.28311258278145696</v>
      </c>
      <c r="E5" s="3">
        <f>IF(ShadowAbilities1[[#This Row],[takes]]&gt;0,ShadowAbilities1[[#This Row],[wins]]/ShadowAbilities1[[#This Row],[takes]],0)</f>
        <v>0.58479532163742687</v>
      </c>
      <c r="G5">
        <v>3</v>
      </c>
      <c r="H5">
        <f t="shared" si="2"/>
        <v>396</v>
      </c>
      <c r="I5" s="18">
        <f t="shared" si="3"/>
        <v>99</v>
      </c>
      <c r="K5" t="s">
        <v>140</v>
      </c>
      <c r="L5">
        <f>COUNTIF(Scenario0[winner1-ability1],ShadowAbilities1Scenario0[[#This Row],[ability]])+COUNTIF(Scenario0[winner2-ability1],ShadowAbilities1Scenario0[[#This Row],[ability]])+COUNTIF(Scenario0[loser1-ability1],ShadowAbilities1Scenario0[[#This Row],[ability]])+COUNTIF(Scenario0[loser2-ability1],ShadowAbilities1Scenario0[[#This Row],[ability]])</f>
        <v>3</v>
      </c>
      <c r="M5">
        <f>COUNTIF(Scenario0[winner1-ability1],ShadowAbilities1Scenario0[[#This Row],[ability]])+COUNTIF(Scenario0[winner2-ability1],ShadowAbilities1Scenario0[[#This Row],[ability]])</f>
        <v>1</v>
      </c>
      <c r="N5" s="3">
        <f>IF(SUM(ShadowAbilities1Scenario0[[#This Row],[takes]]) &gt; 0,ShadowAbilities1Scenario0[[#This Row],[takes]]/SUM(ShadowAbilities1Scenario0[takes]),0)</f>
        <v>1.7857142857142856E-2</v>
      </c>
      <c r="O5" s="3">
        <f>IF(ShadowAbilities1Scenario0[[#This Row],[takes]]&gt;0,ShadowAbilities1Scenario0[[#This Row],[wins]]/ShadowAbilities1Scenario0[[#This Row],[takes]],0)</f>
        <v>0.33333333333333331</v>
      </c>
      <c r="Q5">
        <v>3</v>
      </c>
      <c r="R5">
        <f>COUNTIFS(Scenario0[winner1],"shadow",Scenario0[winner1-pw],ShadowEquipScenario0[[#This Row],[level]])+COUNTIFS(Scenario0[winner2],"shadow",Scenario0[winner2-pw],ShadowEquipScenario0[[#This Row],[level]])+COUNTIFS(Scenario0[loser1],"shadow",Scenario0[loser1-pw],ShadowEquipScenario0[[#This Row],[level]])+COUNTIFS(Scenario0[loser2],"shadow",Scenario0[loser2-pw],ShadowEquipScenario0[[#This Row],[level]])</f>
        <v>63</v>
      </c>
      <c r="S5" s="18">
        <f>COUNTIFS(Scenario0[winner1],"shadow",Scenario0[winner1-cp],ShadowEquipScenario0[[#This Row],[level]])+COUNTIFS(Scenario0[winner2],"shadow",Scenario0[winner2-cp],ShadowEquipScenario0[[#This Row],[level]])+COUNTIFS(Scenario0[loser1],"shadow",Scenario0[loser1-cp],ShadowEquipScenario0[[#This Row],[level]])+COUNTIFS(Scenario0[loser2],"shadow",Scenario0[loser2-cp],ShadowEquipScenario0[[#This Row],[level]])</f>
        <v>5</v>
      </c>
      <c r="U5" t="s">
        <v>180</v>
      </c>
      <c r="V5" s="16">
        <f>ShadowEquip[[#This Row],[chestpiece]]/SUM(ShadowEquip[chestpiece])</f>
        <v>0.16390728476821192</v>
      </c>
    </row>
    <row r="6" spans="1:22" x14ac:dyDescent="0.25">
      <c r="A6" s="17"/>
      <c r="I6" s="18"/>
      <c r="K6" s="17"/>
      <c r="N6" s="3"/>
      <c r="O6" s="3"/>
      <c r="S6" s="18"/>
      <c r="U6" t="s">
        <v>176</v>
      </c>
      <c r="V6" s="3">
        <f>SUM(ShadowAbilities2[takes])/SUM(ShadowAbilities1[takes])</f>
        <v>0.38741721854304634</v>
      </c>
    </row>
    <row r="7" spans="1:22" x14ac:dyDescent="0.25">
      <c r="A7" s="19" t="s">
        <v>109</v>
      </c>
      <c r="B7" s="8" t="s">
        <v>110</v>
      </c>
      <c r="C7" s="8" t="s">
        <v>79</v>
      </c>
      <c r="D7" s="9" t="s">
        <v>117</v>
      </c>
      <c r="E7" s="9" t="s">
        <v>118</v>
      </c>
      <c r="I7" s="18"/>
      <c r="K7" s="19" t="s">
        <v>109</v>
      </c>
      <c r="L7" s="8" t="s">
        <v>110</v>
      </c>
      <c r="M7" s="8" t="s">
        <v>79</v>
      </c>
      <c r="N7" s="9" t="s">
        <v>117</v>
      </c>
      <c r="O7" s="9" t="s">
        <v>118</v>
      </c>
      <c r="S7" s="18"/>
      <c r="U7" t="s">
        <v>177</v>
      </c>
      <c r="V7" s="3">
        <f>SUM(ShadowAbilities3[takes])/SUM(ShadowAbilities1[takes])</f>
        <v>0.27649006622516559</v>
      </c>
    </row>
    <row r="8" spans="1:22" x14ac:dyDescent="0.25">
      <c r="A8" s="2" t="s">
        <v>141</v>
      </c>
      <c r="B8" s="2">
        <f>L8+L29+L50+L71+L92+L113</f>
        <v>137</v>
      </c>
      <c r="C8" s="2">
        <f>M8+M29+M50+M71+M92+M113</f>
        <v>64</v>
      </c>
      <c r="D8" s="12">
        <f>IF(SUM(ShadowAbilities2[[#This Row],[takes]]) &gt; 0,ShadowAbilities2[[#This Row],[takes]]/SUM(ShadowAbilities2[takes]),0)</f>
        <v>0.5854700854700855</v>
      </c>
      <c r="E8" s="12">
        <f>IF(ShadowAbilities2[[#This Row],[takes]]&gt;0,ShadowAbilities2[[#This Row],[wins]]/ShadowAbilities2[[#This Row],[takes]],0)</f>
        <v>0.46715328467153283</v>
      </c>
      <c r="I8" s="18"/>
      <c r="K8" s="2" t="s">
        <v>141</v>
      </c>
      <c r="L8" s="2">
        <f>COUNTIF(Scenario0[winner1-ability2],ShadowAbilities2Scenario0[[#This Row],[ability]])+COUNTIF(Scenario0[winner2-ability2],ShadowAbilities2Scenario0[[#This Row],[ability]])+COUNTIF(Scenario0[loser1-ability2],ShadowAbilities2Scenario0[[#This Row],[ability]])+COUNTIF(Scenario0[loser2-ability2],ShadowAbilities2Scenario0[[#This Row],[ability]])</f>
        <v>5</v>
      </c>
      <c r="M8" s="2">
        <f>COUNTIF(Scenario0[winner1-ability2],ShadowAbilities2Scenario0[[#This Row],[ability]])+COUNTIF(Scenario0[winner2-ability2],ShadowAbilities2Scenario0[[#This Row],[ability]])</f>
        <v>3</v>
      </c>
      <c r="N8" s="12">
        <f>IF(SUM(ShadowAbilities2Scenario0[[#This Row],[takes]]) &gt; 0,ShadowAbilities2Scenario0[[#This Row],[takes]]/SUM(ShadowAbilities2Scenario0[takes]),0)</f>
        <v>0.5</v>
      </c>
      <c r="O8" s="12">
        <f>IF(ShadowAbilities2Scenario0[[#This Row],[takes]]&gt;0,ShadowAbilities2Scenario0[[#This Row],[wins]]/ShadowAbilities2Scenario0[[#This Row],[takes]],0)</f>
        <v>0.6</v>
      </c>
      <c r="S8" s="18"/>
      <c r="U8" t="s">
        <v>178</v>
      </c>
      <c r="V8" s="16">
        <f>SUM(ShadowAbilities4[takes])/SUM(ShadowAbilities1[takes])</f>
        <v>0.20695364238410596</v>
      </c>
    </row>
    <row r="9" spans="1:22" x14ac:dyDescent="0.25">
      <c r="A9" t="s">
        <v>92</v>
      </c>
      <c r="B9" s="2">
        <f t="shared" ref="B9:B10" si="4">L9+L30+L51+L72+L93+L114</f>
        <v>13</v>
      </c>
      <c r="C9" s="2">
        <f t="shared" ref="C9:C10" si="5">M9+M30+M51+M72+M93+M114</f>
        <v>7</v>
      </c>
      <c r="D9" s="3">
        <f>IF(SUM(ShadowAbilities2[[#This Row],[takes]]) &gt; 0,ShadowAbilities2[[#This Row],[takes]]/SUM(ShadowAbilities2[takes]),0)</f>
        <v>5.5555555555555552E-2</v>
      </c>
      <c r="E9" s="3">
        <f>IF(ShadowAbilities2[[#This Row],[takes]]&gt;0,ShadowAbilities2[[#This Row],[wins]]/ShadowAbilities2[[#This Row],[takes]],0)</f>
        <v>0.53846153846153844</v>
      </c>
      <c r="I9" s="18"/>
      <c r="K9" t="s">
        <v>92</v>
      </c>
      <c r="L9" s="2">
        <f>COUNTIF(Scenario0[winner1-ability2],ShadowAbilities2Scenario0[[#This Row],[ability]])+COUNTIF(Scenario0[winner2-ability2],ShadowAbilities2Scenario0[[#This Row],[ability]])+COUNTIF(Scenario0[loser1-ability2],ShadowAbilities2Scenario0[[#This Row],[ability]])+COUNTIF(Scenario0[loser2-ability2],ShadowAbilities2Scenario0[[#This Row],[ability]])</f>
        <v>0</v>
      </c>
      <c r="M9" s="2">
        <f>COUNTIF(Scenario0[winner1-ability2],ShadowAbilities2Scenario0[[#This Row],[ability]])+COUNTIF(Scenario0[winner2-ability2],ShadowAbilities2Scenario0[[#This Row],[ability]])</f>
        <v>0</v>
      </c>
      <c r="N9" s="3">
        <f>IF(SUM(ShadowAbilities2Scenario0[[#This Row],[takes]]) &gt; 0,ShadowAbilities2Scenario0[[#This Row],[takes]]/SUM(ShadowAbilities2Scenario0[takes]),0)</f>
        <v>0</v>
      </c>
      <c r="O9" s="3">
        <f>IF(ShadowAbilities2Scenario0[[#This Row],[takes]]&gt;0,ShadowAbilities2Scenario0[[#This Row],[wins]]/ShadowAbilities2Scenario0[[#This Row],[takes]],0)</f>
        <v>0</v>
      </c>
      <c r="S9" s="18"/>
      <c r="U9" t="s">
        <v>194</v>
      </c>
      <c r="V9" s="33">
        <f>(SUM(ShadowAbilities2[takes])+SUM(ShadowAbilities3[takes])+SUM(ShadowAbilities4[takes])+SUM(H4:H5)+SUM(I4:I5))/SUM(ShadowAbilities1[takes])</f>
        <v>2.0894039735099339</v>
      </c>
    </row>
    <row r="10" spans="1:22" x14ac:dyDescent="0.25">
      <c r="A10" s="10" t="s">
        <v>76</v>
      </c>
      <c r="B10" s="2">
        <f t="shared" si="4"/>
        <v>84</v>
      </c>
      <c r="C10" s="2">
        <f t="shared" si="5"/>
        <v>40</v>
      </c>
      <c r="D10" s="13">
        <f>IF(SUM(ShadowAbilities2[[#This Row],[takes]]) &gt; 0,ShadowAbilities2[[#This Row],[takes]]/SUM(ShadowAbilities2[takes]),0)</f>
        <v>0.35897435897435898</v>
      </c>
      <c r="E10" s="13">
        <f>IF(ShadowAbilities2[[#This Row],[takes]]&gt;0,ShadowAbilities2[[#This Row],[wins]]/ShadowAbilities2[[#This Row],[takes]],0)</f>
        <v>0.47619047619047616</v>
      </c>
      <c r="I10" s="18"/>
      <c r="K10" s="10" t="s">
        <v>76</v>
      </c>
      <c r="L10" s="2">
        <f>COUNTIF(Scenario0[winner1-ability2],ShadowAbilities2Scenario0[[#This Row],[ability]])+COUNTIF(Scenario0[winner2-ability2],ShadowAbilities2Scenario0[[#This Row],[ability]])+COUNTIF(Scenario0[loser1-ability2],ShadowAbilities2Scenario0[[#This Row],[ability]])+COUNTIF(Scenario0[loser2-ability2],ShadowAbilities2Scenario0[[#This Row],[ability]])</f>
        <v>5</v>
      </c>
      <c r="M10" s="2">
        <f>COUNTIF(Scenario0[winner1-ability2],ShadowAbilities2Scenario0[[#This Row],[ability]])+COUNTIF(Scenario0[winner2-ability2],ShadowAbilities2Scenario0[[#This Row],[ability]])</f>
        <v>3</v>
      </c>
      <c r="N10" s="13">
        <f>IF(SUM(ShadowAbilities2Scenario0[[#This Row],[takes]]) &gt; 0,ShadowAbilities2Scenario0[[#This Row],[takes]]/SUM(ShadowAbilities2Scenario0[takes]),0)</f>
        <v>0.5</v>
      </c>
      <c r="O10" s="13">
        <f>IF(ShadowAbilities2Scenario0[[#This Row],[takes]]&gt;0,ShadowAbilities2Scenario0[[#This Row],[wins]]/ShadowAbilities2Scenario0[[#This Row],[takes]],0)</f>
        <v>0.6</v>
      </c>
      <c r="S10" s="18"/>
    </row>
    <row r="11" spans="1:22" x14ac:dyDescent="0.25">
      <c r="A11" s="17"/>
      <c r="I11" s="18"/>
      <c r="K11" s="17"/>
      <c r="N11" s="3"/>
      <c r="O11" s="3"/>
      <c r="S11" s="18"/>
    </row>
    <row r="12" spans="1:22" x14ac:dyDescent="0.25">
      <c r="A12" s="19" t="s">
        <v>109</v>
      </c>
      <c r="B12" s="8" t="s">
        <v>110</v>
      </c>
      <c r="C12" s="8" t="s">
        <v>79</v>
      </c>
      <c r="D12" s="9" t="s">
        <v>117</v>
      </c>
      <c r="E12" s="9" t="s">
        <v>118</v>
      </c>
      <c r="I12" s="18"/>
      <c r="K12" s="19" t="s">
        <v>109</v>
      </c>
      <c r="L12" s="8" t="s">
        <v>110</v>
      </c>
      <c r="M12" s="8" t="s">
        <v>79</v>
      </c>
      <c r="N12" s="9" t="s">
        <v>117</v>
      </c>
      <c r="O12" s="9" t="s">
        <v>118</v>
      </c>
      <c r="S12" s="18"/>
    </row>
    <row r="13" spans="1:22" x14ac:dyDescent="0.25">
      <c r="A13" s="1" t="s">
        <v>102</v>
      </c>
      <c r="B13" s="1">
        <f>L13+L34+L55+L76+L97+L118</f>
        <v>69</v>
      </c>
      <c r="C13" s="1">
        <f>M13+M34+M55+M76+M97+M118</f>
        <v>33</v>
      </c>
      <c r="D13" s="14">
        <f>IF(SUM(ShadowAbilities3[[#This Row],[takes]]) &gt; 0,ShadowAbilities3[[#This Row],[takes]]/SUM(ShadowAbilities3[takes]),0)</f>
        <v>0.41317365269461076</v>
      </c>
      <c r="E13" s="14">
        <f>IF(ShadowAbilities3[[#This Row],[takes]]&gt;0,ShadowAbilities3[[#This Row],[wins]]/ShadowAbilities3[[#This Row],[takes]],0)</f>
        <v>0.47826086956521741</v>
      </c>
      <c r="I13" s="18"/>
      <c r="K13" s="1" t="s">
        <v>102</v>
      </c>
      <c r="L13" s="1">
        <f>COUNTIF(Scenario0[winner1-ability3],ShadowAbilities3Scenario0[[#This Row],[ability]])+COUNTIF(Scenario0[winner2-ability3],ShadowAbilities3Scenario0[[#This Row],[ability]])+COUNTIF(Scenario0[loser1-ability3],ShadowAbilities3Scenario0[[#This Row],[ability]])+COUNTIF(Scenario0[loser2-ability3],ShadowAbilities3Scenario0[[#This Row],[ability]])</f>
        <v>4</v>
      </c>
      <c r="M13" s="1">
        <f>COUNTIF(Scenario0[winner1-ability3],ShadowAbilities3Scenario0[[#This Row],[ability]])+COUNTIF(Scenario0[winner2-ability3],ShadowAbilities3Scenario0[[#This Row],[ability]])</f>
        <v>2</v>
      </c>
      <c r="N13" s="14">
        <f>IF(SUM(ShadowAbilities3Scenario0[[#This Row],[takes]]) &gt; 0,ShadowAbilities3Scenario0[[#This Row],[takes]]/SUM(ShadowAbilities3Scenario0[takes]),0)</f>
        <v>0.66666666666666663</v>
      </c>
      <c r="O13" s="14">
        <f>IF(ShadowAbilities3Scenario0[[#This Row],[takes]]&gt;0,ShadowAbilities3Scenario0[[#This Row],[wins]]/ShadowAbilities3Scenario0[[#This Row],[takes]],0)</f>
        <v>0.5</v>
      </c>
      <c r="S13" s="18"/>
    </row>
    <row r="14" spans="1:22" x14ac:dyDescent="0.25">
      <c r="A14" s="2" t="s">
        <v>142</v>
      </c>
      <c r="B14" s="2">
        <f t="shared" ref="B14:B15" si="6">L14+L35+L56+L77+L98+L119</f>
        <v>35</v>
      </c>
      <c r="C14" s="2">
        <f t="shared" ref="C14:C15" si="7">M14+M35+M56+M77+M98+M119</f>
        <v>14</v>
      </c>
      <c r="D14" s="12">
        <f>IF(SUM(ShadowAbilities3[[#This Row],[takes]]) &gt; 0,ShadowAbilities3[[#This Row],[takes]]/SUM(ShadowAbilities3[takes]),0)</f>
        <v>0.20958083832335328</v>
      </c>
      <c r="E14" s="12">
        <f>IF(ShadowAbilities3[[#This Row],[takes]]&gt;0,ShadowAbilities3[[#This Row],[wins]]/ShadowAbilities3[[#This Row],[takes]],0)</f>
        <v>0.4</v>
      </c>
      <c r="I14" s="18"/>
      <c r="K14" s="2" t="s">
        <v>142</v>
      </c>
      <c r="L14" s="2">
        <f>COUNTIF(Scenario0[winner1-ability3],ShadowAbilities3Scenario0[[#This Row],[ability]])+COUNTIF(Scenario0[winner2-ability3],ShadowAbilities3Scenario0[[#This Row],[ability]])+COUNTIF(Scenario0[loser1-ability3],ShadowAbilities3Scenario0[[#This Row],[ability]])+COUNTIF(Scenario0[loser2-ability3],ShadowAbilities3Scenario0[[#This Row],[ability]])</f>
        <v>1</v>
      </c>
      <c r="M14" s="2">
        <f>COUNTIF(Scenario0[winner1-ability3],ShadowAbilities3Scenario0[[#This Row],[ability]])+COUNTIF(Scenario0[winner2-ability3],ShadowAbilities3Scenario0[[#This Row],[ability]])</f>
        <v>1</v>
      </c>
      <c r="N14" s="12">
        <f>IF(SUM(ShadowAbilities3Scenario0[[#This Row],[takes]]) &gt; 0,ShadowAbilities3Scenario0[[#This Row],[takes]]/SUM(ShadowAbilities3Scenario0[takes]),0)</f>
        <v>0.16666666666666666</v>
      </c>
      <c r="O14" s="12">
        <f>IF(ShadowAbilities3Scenario0[[#This Row],[takes]]&gt;0,ShadowAbilities3Scenario0[[#This Row],[wins]]/ShadowAbilities3Scenario0[[#This Row],[takes]],0)</f>
        <v>1</v>
      </c>
      <c r="S14" s="18"/>
    </row>
    <row r="15" spans="1:22" x14ac:dyDescent="0.25">
      <c r="A15" s="11" t="s">
        <v>93</v>
      </c>
      <c r="B15" s="1">
        <f t="shared" si="6"/>
        <v>63</v>
      </c>
      <c r="C15" s="1">
        <f t="shared" si="7"/>
        <v>26</v>
      </c>
      <c r="D15" s="15">
        <f>IF(SUM(ShadowAbilities3[[#This Row],[takes]]) &gt; 0,ShadowAbilities3[[#This Row],[takes]]/SUM(ShadowAbilities3[takes]),0)</f>
        <v>0.3772455089820359</v>
      </c>
      <c r="E15" s="15">
        <f>IF(ShadowAbilities3[[#This Row],[takes]]&gt;0,ShadowAbilities3[[#This Row],[wins]]/ShadowAbilities3[[#This Row],[takes]],0)</f>
        <v>0.41269841269841268</v>
      </c>
      <c r="I15" s="18"/>
      <c r="K15" s="11" t="s">
        <v>93</v>
      </c>
      <c r="L15" s="1">
        <f>COUNTIF(Scenario0[winner1-ability3],ShadowAbilities3Scenario0[[#This Row],[ability]])+COUNTIF(Scenario0[winner2-ability3],ShadowAbilities3Scenario0[[#This Row],[ability]])+COUNTIF(Scenario0[loser1-ability3],ShadowAbilities3Scenario0[[#This Row],[ability]])+COUNTIF(Scenario0[loser2-ability3],ShadowAbilities3Scenario0[[#This Row],[ability]])</f>
        <v>1</v>
      </c>
      <c r="M15" s="1">
        <f>COUNTIF(Scenario0[winner1-ability3],ShadowAbilities3Scenario0[[#This Row],[ability]])+COUNTIF(Scenario0[winner2-ability3],ShadowAbilities3Scenario0[[#This Row],[ability]])</f>
        <v>1</v>
      </c>
      <c r="N15" s="15">
        <f>IF(SUM(ShadowAbilities3Scenario0[[#This Row],[takes]]) &gt; 0,ShadowAbilities3Scenario0[[#This Row],[takes]]/SUM(ShadowAbilities3Scenario0[takes]),0)</f>
        <v>0.16666666666666666</v>
      </c>
      <c r="O15" s="15">
        <f>IF(ShadowAbilities3Scenario0[[#This Row],[takes]]&gt;0,ShadowAbilities3Scenario0[[#This Row],[wins]]/ShadowAbilities3Scenario0[[#This Row],[takes]],0)</f>
        <v>1</v>
      </c>
      <c r="S15" s="18"/>
    </row>
    <row r="16" spans="1:22" x14ac:dyDescent="0.25">
      <c r="A16" s="17"/>
      <c r="I16" s="18"/>
      <c r="K16" s="17"/>
      <c r="N16" s="3"/>
      <c r="O16" s="3"/>
      <c r="S16" s="18"/>
    </row>
    <row r="17" spans="1:20" x14ac:dyDescent="0.25">
      <c r="A17" s="19" t="s">
        <v>109</v>
      </c>
      <c r="B17" s="8" t="s">
        <v>110</v>
      </c>
      <c r="C17" s="8" t="s">
        <v>79</v>
      </c>
      <c r="D17" s="9" t="s">
        <v>117</v>
      </c>
      <c r="E17" s="9" t="s">
        <v>118</v>
      </c>
      <c r="I17" s="18"/>
      <c r="K17" s="19" t="s">
        <v>109</v>
      </c>
      <c r="L17" s="8" t="s">
        <v>110</v>
      </c>
      <c r="M17" s="8" t="s">
        <v>79</v>
      </c>
      <c r="N17" s="9" t="s">
        <v>117</v>
      </c>
      <c r="O17" s="9" t="s">
        <v>118</v>
      </c>
      <c r="S17" s="18"/>
    </row>
    <row r="18" spans="1:20" x14ac:dyDescent="0.25">
      <c r="A18" s="2" t="s">
        <v>143</v>
      </c>
      <c r="B18" s="2">
        <f>L18+L39+L60+L81+L102+L123</f>
        <v>34</v>
      </c>
      <c r="C18" s="2">
        <f>M18+M39+M60+M81+M102+M123</f>
        <v>10</v>
      </c>
      <c r="D18" s="12">
        <f>IF(SUM(ShadowAbilities4[[#This Row],[takes]]) &gt; 0,ShadowAbilities4[[#This Row],[takes]]/SUM(ShadowAbilities4[takes]),0)</f>
        <v>0.27200000000000002</v>
      </c>
      <c r="E18" s="12">
        <f>IF(ShadowAbilities4[[#This Row],[takes]]&gt;0,ShadowAbilities4[[#This Row],[wins]]/ShadowAbilities4[[#This Row],[takes]],0)</f>
        <v>0.29411764705882354</v>
      </c>
      <c r="I18" s="18"/>
      <c r="K18" s="2" t="s">
        <v>143</v>
      </c>
      <c r="L18" s="2">
        <f>COUNTIF(Scenario0[winner1-ability4],ShadowAbilities4Scenario0[[#This Row],[ability]])+COUNTIF(Scenario0[winner2-ability4],ShadowAbilities4Scenario0[[#This Row],[ability]])+COUNTIF(Scenario0[loser1-ability4],ShadowAbilities4Scenario0[[#This Row],[ability]])+COUNTIF(Scenario0[loser2-ability4],ShadowAbilities4Scenario0[[#This Row],[ability]])</f>
        <v>0</v>
      </c>
      <c r="M18" s="2">
        <f>COUNTIF(Scenario0[winner1-ability4],ShadowAbilities4Scenario0[[#This Row],[ability]])+COUNTIF(Scenario0[winner2-ability4],ShadowAbilities4Scenario0[[#This Row],[ability]])</f>
        <v>0</v>
      </c>
      <c r="N18" s="12">
        <f>IF(SUM(ShadowAbilities4Scenario0[[#This Row],[takes]]) &gt; 0,ShadowAbilities4Scenario0[[#This Row],[takes]]/SUM(ShadowAbilities4Scenario0[takes]),0)</f>
        <v>0</v>
      </c>
      <c r="O18" s="12">
        <f>IF(ShadowAbilities4Scenario0[[#This Row],[takes]]&gt;0,ShadowAbilities4Scenario0[[#This Row],[wins]]/ShadowAbilities4Scenario0[[#This Row],[takes]],0)</f>
        <v>0</v>
      </c>
      <c r="S18" s="18"/>
    </row>
    <row r="19" spans="1:20" x14ac:dyDescent="0.25">
      <c r="A19" s="2" t="s">
        <v>144</v>
      </c>
      <c r="B19" s="2">
        <f t="shared" ref="B19:B20" si="8">L19+L40+L61+L82+L103+L124</f>
        <v>51</v>
      </c>
      <c r="C19" s="2">
        <f t="shared" ref="C19:C20" si="9">M19+M40+M61+M82+M103+M124</f>
        <v>17</v>
      </c>
      <c r="D19" s="12">
        <f>IF(SUM(ShadowAbilities4[[#This Row],[takes]]) &gt; 0,ShadowAbilities4[[#This Row],[takes]]/SUM(ShadowAbilities4[takes]),0)</f>
        <v>0.40799999999999997</v>
      </c>
      <c r="E19" s="12">
        <f>IF(ShadowAbilities4[[#This Row],[takes]]&gt;0,ShadowAbilities4[[#This Row],[wins]]/ShadowAbilities4[[#This Row],[takes]],0)</f>
        <v>0.33333333333333331</v>
      </c>
      <c r="I19" s="18"/>
      <c r="K19" s="2" t="s">
        <v>144</v>
      </c>
      <c r="L19" s="2">
        <f>COUNTIF(Scenario0[winner1-ability4],ShadowAbilities4Scenario0[[#This Row],[ability]])+COUNTIF(Scenario0[winner2-ability4],ShadowAbilities4Scenario0[[#This Row],[ability]])+COUNTIF(Scenario0[loser1-ability4],ShadowAbilities4Scenario0[[#This Row],[ability]])+COUNTIF(Scenario0[loser2-ability4],ShadowAbilities4Scenario0[[#This Row],[ability]])</f>
        <v>2</v>
      </c>
      <c r="M19" s="2">
        <f>COUNTIF(Scenario0[winner1-ability4],ShadowAbilities4Scenario0[[#This Row],[ability]])+COUNTIF(Scenario0[winner2-ability4],ShadowAbilities4Scenario0[[#This Row],[ability]])</f>
        <v>1</v>
      </c>
      <c r="N19" s="12">
        <f>IF(SUM(ShadowAbilities4Scenario0[[#This Row],[takes]]) &gt; 0,ShadowAbilities4Scenario0[[#This Row],[takes]]/SUM(ShadowAbilities4Scenario0[takes]),0)</f>
        <v>1</v>
      </c>
      <c r="O19" s="12">
        <f>IF(ShadowAbilities4Scenario0[[#This Row],[takes]]&gt;0,ShadowAbilities4Scenario0[[#This Row],[wins]]/ShadowAbilities4Scenario0[[#This Row],[takes]],0)</f>
        <v>0.5</v>
      </c>
      <c r="S19" s="18"/>
    </row>
    <row r="20" spans="1:20" ht="15.75" thickBot="1" x14ac:dyDescent="0.3">
      <c r="A20" s="10" t="s">
        <v>94</v>
      </c>
      <c r="B20" s="2">
        <f t="shared" si="8"/>
        <v>40</v>
      </c>
      <c r="C20" s="2">
        <f t="shared" si="9"/>
        <v>13</v>
      </c>
      <c r="D20" s="26">
        <f>IF(SUM(ShadowAbilities4[[#This Row],[takes]]) &gt; 0,ShadowAbilities4[[#This Row],[takes]]/SUM(ShadowAbilities4[takes]),0)</f>
        <v>0.32</v>
      </c>
      <c r="E20" s="26">
        <f>IF(ShadowAbilities4[[#This Row],[takes]]&gt;0,ShadowAbilities4[[#This Row],[wins]]/ShadowAbilities4[[#This Row],[takes]],0)</f>
        <v>0.32500000000000001</v>
      </c>
      <c r="F20" s="27"/>
      <c r="G20" s="27"/>
      <c r="H20" s="27"/>
      <c r="I20" s="28"/>
      <c r="K20" s="10" t="s">
        <v>94</v>
      </c>
      <c r="L20" s="25">
        <f>COUNTIF(Scenario0[winner1-ability4],ShadowAbilities4Scenario0[[#This Row],[ability]])+COUNTIF(Scenario0[winner2-ability4],ShadowAbilities4Scenario0[[#This Row],[ability]])+COUNTIF(Scenario0[loser1-ability4],ShadowAbilities4Scenario0[[#This Row],[ability]])+COUNTIF(Scenario0[loser2-ability4],ShadowAbilities4Scenario0[[#This Row],[ability]])</f>
        <v>0</v>
      </c>
      <c r="M20" s="25">
        <f>COUNTIF(Scenario0[winner1-ability4],ShadowAbilities4Scenario0[[#This Row],[ability]])+COUNTIF(Scenario0[winner2-ability4],ShadowAbilities4Scenario0[[#This Row],[ability]])</f>
        <v>0</v>
      </c>
      <c r="N20" s="26">
        <f>IF(SUM(ShadowAbilities4Scenario0[[#This Row],[takes]]) &gt; 0,ShadowAbilities4Scenario0[[#This Row],[takes]]/SUM(ShadowAbilities4Scenario0[takes]),0)</f>
        <v>0</v>
      </c>
      <c r="O20" s="26">
        <f>IF(ShadowAbilities4Scenario0[[#This Row],[takes]]&gt;0,ShadowAbilities4Scenario0[[#This Row],[wins]]/ShadowAbilities4Scenario0[[#This Row],[takes]],0)</f>
        <v>0</v>
      </c>
      <c r="P20" s="27"/>
      <c r="Q20" s="27"/>
      <c r="R20" s="27"/>
      <c r="S20" s="28"/>
    </row>
    <row r="21" spans="1:20" ht="15.75" thickBot="1" x14ac:dyDescent="0.3"/>
    <row r="22" spans="1:20" ht="15.75" thickBot="1" x14ac:dyDescent="0.3">
      <c r="K22" s="36" t="s">
        <v>183</v>
      </c>
      <c r="L22" s="37"/>
      <c r="M22" s="37"/>
      <c r="N22" s="37"/>
      <c r="O22" s="37"/>
      <c r="P22" s="37"/>
      <c r="Q22" s="37"/>
      <c r="R22" s="37"/>
      <c r="S22" s="38"/>
      <c r="T22" s="29"/>
    </row>
    <row r="23" spans="1:20" x14ac:dyDescent="0.25">
      <c r="K23" s="17" t="s">
        <v>109</v>
      </c>
      <c r="L23" t="s">
        <v>110</v>
      </c>
      <c r="M23" t="s">
        <v>79</v>
      </c>
      <c r="N23" s="3" t="s">
        <v>117</v>
      </c>
      <c r="O23" s="3" t="s">
        <v>118</v>
      </c>
      <c r="Q23" t="s">
        <v>161</v>
      </c>
      <c r="R23" t="s">
        <v>169</v>
      </c>
      <c r="S23" s="18" t="s">
        <v>164</v>
      </c>
    </row>
    <row r="24" spans="1:20" x14ac:dyDescent="0.25">
      <c r="K24" t="s">
        <v>47</v>
      </c>
      <c r="L24">
        <f>COUNTIF(Scenario1[winner1-ability1],ShadowAbilities1Scenario1[[#This Row],[ability]])+COUNTIF(Scenario1[winner2-ability1],ShadowAbilities1Scenario1[[#This Row],[ability]])+COUNTIF(Scenario1[loser1-ability1],ShadowAbilities1Scenario1[[#This Row],[ability]])+COUNTIF(Scenario1[loser2-ability1],ShadowAbilities1Scenario1[[#This Row],[ability]])</f>
        <v>36</v>
      </c>
      <c r="M24">
        <f>COUNTIF(Scenario1[winner1-ability1],ShadowAbilities1Scenario1[[#This Row],[ability]])+COUNTIF(Scenario1[winner2-ability1],ShadowAbilities1Scenario1[[#This Row],[ability]])</f>
        <v>17</v>
      </c>
      <c r="N24" s="3">
        <f>IF(SUM(ShadowAbilities1Scenario1[[#This Row],[takes]]) &gt; 0,ShadowAbilities1Scenario1[[#This Row],[takes]]/SUM(ShadowAbilities1Scenario1[takes]),0)</f>
        <v>0.21428571428571427</v>
      </c>
      <c r="O24" s="3">
        <f>IF(ShadowAbilities1Scenario1[[#This Row],[takes]]&gt;0,ShadowAbilities1Scenario1[[#This Row],[wins]]/ShadowAbilities1Scenario1[[#This Row],[takes]],0)</f>
        <v>0.47222222222222221</v>
      </c>
      <c r="Q24">
        <v>1</v>
      </c>
      <c r="R24">
        <f>COUNTIFS(Scenario1[winner1],"shadow",Scenario1[winner1-pw],ShadowEquipScenario1[[#This Row],[level]])+COUNTIFS(Scenario1[winner2],"shadow",Scenario1[winner2-pw],ShadowEquipScenario1[[#This Row],[level]])+COUNTIFS(Scenario1[loser1],"shadow",Scenario1[loser1-pw],ShadowEquipScenario1[[#This Row],[level]])+COUNTIFS(Scenario1[loser2],"shadow",Scenario1[loser2-pw],ShadowEquipScenario1[[#This Row],[level]])</f>
        <v>5</v>
      </c>
      <c r="S24" s="18">
        <f>COUNTIFS(Scenario1[winner1],"shadow",Scenario1[winner1-cp],ShadowEquipScenario1[[#This Row],[level]])+COUNTIFS(Scenario1[winner2],"shadow",Scenario1[winner2-cp],ShadowEquipScenario1[[#This Row],[level]])+COUNTIFS(Scenario1[loser1],"shadow",Scenario1[loser1-cp],ShadowEquipScenario1[[#This Row],[level]])+COUNTIFS(Scenario1[loser2],"shadow",Scenario1[loser2-cp],ShadowEquipScenario1[[#This Row],[level]])</f>
        <v>145</v>
      </c>
    </row>
    <row r="25" spans="1:20" x14ac:dyDescent="0.25">
      <c r="K25" t="s">
        <v>86</v>
      </c>
      <c r="L25">
        <f>COUNTIF(Scenario1[winner1-ability1],ShadowAbilities1Scenario1[[#This Row],[ability]])+COUNTIF(Scenario1[winner2-ability1],ShadowAbilities1Scenario1[[#This Row],[ability]])+COUNTIF(Scenario1[loser1-ability1],ShadowAbilities1Scenario1[[#This Row],[ability]])+COUNTIF(Scenario1[loser2-ability1],ShadowAbilities1Scenario1[[#This Row],[ability]])</f>
        <v>57</v>
      </c>
      <c r="M25">
        <f>COUNTIF(Scenario1[winner1-ability1],ShadowAbilities1Scenario1[[#This Row],[ability]])+COUNTIF(Scenario1[winner2-ability1],ShadowAbilities1Scenario1[[#This Row],[ability]])</f>
        <v>25</v>
      </c>
      <c r="N25" s="3">
        <f>IF(SUM(ShadowAbilities1Scenario1[[#This Row],[takes]]) &gt; 0,ShadowAbilities1Scenario1[[#This Row],[takes]]/SUM(ShadowAbilities1Scenario1[takes]),0)</f>
        <v>0.3392857142857143</v>
      </c>
      <c r="O25" s="3">
        <f>IF(ShadowAbilities1Scenario1[[#This Row],[takes]]&gt;0,ShadowAbilities1Scenario1[[#This Row],[wins]]/ShadowAbilities1Scenario1[[#This Row],[takes]],0)</f>
        <v>0.43859649122807015</v>
      </c>
      <c r="Q25">
        <v>2</v>
      </c>
      <c r="R25">
        <f>COUNTIFS(Scenario1[winner1],"shadow",Scenario1[winner1-pw],ShadowEquipScenario1[[#This Row],[level]])+COUNTIFS(Scenario1[winner2],"shadow",Scenario1[winner2-pw],ShadowEquipScenario1[[#This Row],[level]])+COUNTIFS(Scenario1[loser1],"shadow",Scenario1[loser1-pw],ShadowEquipScenario1[[#This Row],[level]])+COUNTIFS(Scenario1[loser2],"shadow",Scenario1[loser2-pw],ShadowEquipScenario1[[#This Row],[level]])</f>
        <v>67</v>
      </c>
      <c r="S25" s="18">
        <f>COUNTIFS(Scenario1[winner1],"shadow",Scenario1[winner1-cp],ShadowEquipScenario1[[#This Row],[level]])+COUNTIFS(Scenario1[winner2],"shadow",Scenario1[winner2-cp],ShadowEquipScenario1[[#This Row],[level]])+COUNTIFS(Scenario1[loser1],"shadow",Scenario1[loser1-cp],ShadowEquipScenario1[[#This Row],[level]])+COUNTIFS(Scenario1[loser2],"shadow",Scenario1[loser2-cp],ShadowEquipScenario1[[#This Row],[level]])</f>
        <v>18</v>
      </c>
    </row>
    <row r="26" spans="1:20" x14ac:dyDescent="0.25">
      <c r="K26" t="s">
        <v>140</v>
      </c>
      <c r="L26">
        <f>COUNTIF(Scenario1[winner1-ability1],ShadowAbilities1Scenario1[[#This Row],[ability]])+COUNTIF(Scenario1[winner2-ability1],ShadowAbilities1Scenario1[[#This Row],[ability]])+COUNTIF(Scenario1[loser1-ability1],ShadowAbilities1Scenario1[[#This Row],[ability]])+COUNTIF(Scenario1[loser2-ability1],ShadowAbilities1Scenario1[[#This Row],[ability]])</f>
        <v>75</v>
      </c>
      <c r="M26">
        <f>COUNTIF(Scenario1[winner1-ability1],ShadowAbilities1Scenario1[[#This Row],[ability]])+COUNTIF(Scenario1[winner2-ability1],ShadowAbilities1Scenario1[[#This Row],[ability]])</f>
        <v>43</v>
      </c>
      <c r="N26" s="3">
        <f>IF(SUM(ShadowAbilities1Scenario1[[#This Row],[takes]]) &gt; 0,ShadowAbilities1Scenario1[[#This Row],[takes]]/SUM(ShadowAbilities1Scenario1[takes]),0)</f>
        <v>0.44642857142857145</v>
      </c>
      <c r="O26" s="3">
        <f>IF(ShadowAbilities1Scenario1[[#This Row],[takes]]&gt;0,ShadowAbilities1Scenario1[[#This Row],[wins]]/ShadowAbilities1Scenario1[[#This Row],[takes]],0)</f>
        <v>0.57333333333333336</v>
      </c>
      <c r="Q26">
        <v>3</v>
      </c>
      <c r="R26">
        <f>COUNTIFS(Scenario1[winner1],"shadow",Scenario1[winner1-pw],ShadowEquipScenario1[[#This Row],[level]])+COUNTIFS(Scenario1[winner2],"shadow",Scenario1[winner2-pw],ShadowEquipScenario1[[#This Row],[level]])+COUNTIFS(Scenario1[loser1],"shadow",Scenario1[loser1-pw],ShadowEquipScenario1[[#This Row],[level]])+COUNTIFS(Scenario1[loser2],"shadow",Scenario1[loser2-pw],ShadowEquipScenario1[[#This Row],[level]])</f>
        <v>96</v>
      </c>
      <c r="S26" s="18">
        <f>COUNTIFS(Scenario1[winner1],"shadow",Scenario1[winner1-cp],ShadowEquipScenario1[[#This Row],[level]])+COUNTIFS(Scenario1[winner2],"shadow",Scenario1[winner2-cp],ShadowEquipScenario1[[#This Row],[level]])+COUNTIFS(Scenario1[loser1],"shadow",Scenario1[loser1-cp],ShadowEquipScenario1[[#This Row],[level]])+COUNTIFS(Scenario1[loser2],"shadow",Scenario1[loser2-cp],ShadowEquipScenario1[[#This Row],[level]])</f>
        <v>5</v>
      </c>
    </row>
    <row r="27" spans="1:20" x14ac:dyDescent="0.25">
      <c r="K27" s="17"/>
      <c r="N27" s="3"/>
      <c r="O27" s="3"/>
      <c r="S27" s="18"/>
    </row>
    <row r="28" spans="1:20" x14ac:dyDescent="0.25">
      <c r="K28" s="19" t="s">
        <v>109</v>
      </c>
      <c r="L28" s="8" t="s">
        <v>110</v>
      </c>
      <c r="M28" s="8" t="s">
        <v>79</v>
      </c>
      <c r="N28" s="9" t="s">
        <v>117</v>
      </c>
      <c r="O28" s="9" t="s">
        <v>118</v>
      </c>
      <c r="S28" s="18"/>
    </row>
    <row r="29" spans="1:20" x14ac:dyDescent="0.25">
      <c r="K29" s="2" t="s">
        <v>141</v>
      </c>
      <c r="L29" s="2">
        <f>COUNTIF(Scenario1[winner1-ability2],ShadowAbilities2Scenario1[[#This Row],[ability]])+COUNTIF(Scenario1[winner2-ability2],ShadowAbilities2Scenario1[[#This Row],[ability]])+COUNTIF(Scenario1[loser1-ability2],ShadowAbilities2Scenario1[[#This Row],[ability]])+COUNTIF(Scenario1[loser2-ability2],ShadowAbilities2Scenario1[[#This Row],[ability]])</f>
        <v>10</v>
      </c>
      <c r="M29" s="2">
        <f>COUNTIF(Scenario1[winner1-ability2],ShadowAbilities2Scenario1[[#This Row],[ability]])+COUNTIF(Scenario1[winner2-ability2],ShadowAbilities2Scenario1[[#This Row],[ability]])</f>
        <v>7</v>
      </c>
      <c r="N29" s="12">
        <f>IF(SUM(ShadowAbilities2Scenario1[[#This Row],[takes]]) &gt; 0,ShadowAbilities2Scenario1[[#This Row],[takes]]/SUM(ShadowAbilities2Scenario1[takes]),0)</f>
        <v>0.66666666666666663</v>
      </c>
      <c r="O29" s="12">
        <f>IF(ShadowAbilities2Scenario1[[#This Row],[takes]]&gt;0,ShadowAbilities2Scenario1[[#This Row],[wins]]/ShadowAbilities2Scenario1[[#This Row],[takes]],0)</f>
        <v>0.7</v>
      </c>
      <c r="S29" s="18"/>
    </row>
    <row r="30" spans="1:20" x14ac:dyDescent="0.25">
      <c r="K30" t="s">
        <v>92</v>
      </c>
      <c r="L30" s="2">
        <f>COUNTIF(Scenario1[winner1-ability2],ShadowAbilities2Scenario1[[#This Row],[ability]])+COUNTIF(Scenario1[winner2-ability2],ShadowAbilities2Scenario1[[#This Row],[ability]])+COUNTIF(Scenario1[loser1-ability2],ShadowAbilities2Scenario1[[#This Row],[ability]])+COUNTIF(Scenario1[loser2-ability2],ShadowAbilities2Scenario1[[#This Row],[ability]])</f>
        <v>0</v>
      </c>
      <c r="M30" s="2">
        <f>COUNTIF(Scenario1[winner1-ability2],ShadowAbilities2Scenario1[[#This Row],[ability]])+COUNTIF(Scenario1[winner2-ability2],ShadowAbilities2Scenario1[[#This Row],[ability]])</f>
        <v>0</v>
      </c>
      <c r="N30" s="3">
        <f>IF(SUM(ShadowAbilities2Scenario1[[#This Row],[takes]]) &gt; 0,ShadowAbilities2Scenario1[[#This Row],[takes]]/SUM(ShadowAbilities2Scenario1[takes]),0)</f>
        <v>0</v>
      </c>
      <c r="O30" s="3">
        <f>IF(ShadowAbilities2Scenario1[[#This Row],[takes]]&gt;0,ShadowAbilities2Scenario1[[#This Row],[wins]]/ShadowAbilities2Scenario1[[#This Row],[takes]],0)</f>
        <v>0</v>
      </c>
      <c r="S30" s="18"/>
    </row>
    <row r="31" spans="1:20" x14ac:dyDescent="0.25">
      <c r="K31" s="10" t="s">
        <v>76</v>
      </c>
      <c r="L31" s="2">
        <f>COUNTIF(Scenario1[winner1-ability2],ShadowAbilities2Scenario1[[#This Row],[ability]])+COUNTIF(Scenario1[winner2-ability2],ShadowAbilities2Scenario1[[#This Row],[ability]])+COUNTIF(Scenario1[loser1-ability2],ShadowAbilities2Scenario1[[#This Row],[ability]])+COUNTIF(Scenario1[loser2-ability2],ShadowAbilities2Scenario1[[#This Row],[ability]])</f>
        <v>5</v>
      </c>
      <c r="M31" s="2">
        <f>COUNTIF(Scenario1[winner1-ability2],ShadowAbilities2Scenario1[[#This Row],[ability]])+COUNTIF(Scenario1[winner2-ability2],ShadowAbilities2Scenario1[[#This Row],[ability]])</f>
        <v>3</v>
      </c>
      <c r="N31" s="13">
        <f>IF(SUM(ShadowAbilities2Scenario1[[#This Row],[takes]]) &gt; 0,ShadowAbilities2Scenario1[[#This Row],[takes]]/SUM(ShadowAbilities2Scenario1[takes]),0)</f>
        <v>0.33333333333333331</v>
      </c>
      <c r="O31" s="13">
        <f>IF(ShadowAbilities2Scenario1[[#This Row],[takes]]&gt;0,ShadowAbilities2Scenario1[[#This Row],[wins]]/ShadowAbilities2Scenario1[[#This Row],[takes]],0)</f>
        <v>0.6</v>
      </c>
      <c r="S31" s="18"/>
    </row>
    <row r="32" spans="1:20" x14ac:dyDescent="0.25">
      <c r="K32" s="17"/>
      <c r="N32" s="3"/>
      <c r="O32" s="3"/>
      <c r="S32" s="18"/>
    </row>
    <row r="33" spans="11:20" x14ac:dyDescent="0.25">
      <c r="K33" s="19" t="s">
        <v>109</v>
      </c>
      <c r="L33" s="8" t="s">
        <v>110</v>
      </c>
      <c r="M33" s="8" t="s">
        <v>79</v>
      </c>
      <c r="N33" s="9" t="s">
        <v>117</v>
      </c>
      <c r="O33" s="9" t="s">
        <v>118</v>
      </c>
      <c r="S33" s="18"/>
    </row>
    <row r="34" spans="11:20" x14ac:dyDescent="0.25">
      <c r="K34" s="1" t="s">
        <v>102</v>
      </c>
      <c r="L34" s="1">
        <f>COUNTIF(Scenario1[winner1-ability3],ShadowAbilities3Scenario1[[#This Row],[ability]])+COUNTIF(Scenario1[winner2-ability3],ShadowAbilities3Scenario1[[#This Row],[ability]])+COUNTIF(Scenario1[loser1-ability3],ShadowAbilities3Scenario1[[#This Row],[ability]])+COUNTIF(Scenario1[loser2-ability3],ShadowAbilities3Scenario1[[#This Row],[ability]])</f>
        <v>3</v>
      </c>
      <c r="M34" s="1">
        <f>COUNTIF(Scenario1[winner1-ability3],ShadowAbilities3Scenario1[[#This Row],[ability]])+COUNTIF(Scenario1[winner2-ability3],ShadowAbilities3Scenario1[[#This Row],[ability]])</f>
        <v>3</v>
      </c>
      <c r="N34" s="14">
        <f>IF(SUM(ShadowAbilities3Scenario1[[#This Row],[takes]]) &gt; 0,ShadowAbilities3Scenario1[[#This Row],[takes]]/SUM(ShadowAbilities3Scenario1[takes]),0)</f>
        <v>0.5</v>
      </c>
      <c r="O34" s="14">
        <f>IF(ShadowAbilities3Scenario1[[#This Row],[takes]]&gt;0,ShadowAbilities3Scenario1[[#This Row],[wins]]/ShadowAbilities3Scenario1[[#This Row],[takes]],0)</f>
        <v>1</v>
      </c>
      <c r="S34" s="18"/>
    </row>
    <row r="35" spans="11:20" x14ac:dyDescent="0.25">
      <c r="K35" s="2" t="s">
        <v>142</v>
      </c>
      <c r="L35" s="2">
        <f>COUNTIF(Scenario1[winner1-ability3],ShadowAbilities3Scenario1[[#This Row],[ability]])+COUNTIF(Scenario1[winner2-ability3],ShadowAbilities3Scenario1[[#This Row],[ability]])+COUNTIF(Scenario1[loser1-ability3],ShadowAbilities3Scenario1[[#This Row],[ability]])+COUNTIF(Scenario1[loser2-ability3],ShadowAbilities3Scenario1[[#This Row],[ability]])</f>
        <v>0</v>
      </c>
      <c r="M35" s="2">
        <f>COUNTIF(Scenario1[winner1-ability3],ShadowAbilities3Scenario1[[#This Row],[ability]])+COUNTIF(Scenario1[winner2-ability3],ShadowAbilities3Scenario1[[#This Row],[ability]])</f>
        <v>0</v>
      </c>
      <c r="N35" s="12">
        <f>IF(SUM(ShadowAbilities3Scenario1[[#This Row],[takes]]) &gt; 0,ShadowAbilities3Scenario1[[#This Row],[takes]]/SUM(ShadowAbilities3Scenario1[takes]),0)</f>
        <v>0</v>
      </c>
      <c r="O35" s="12">
        <f>IF(ShadowAbilities3Scenario1[[#This Row],[takes]]&gt;0,ShadowAbilities3Scenario1[[#This Row],[wins]]/ShadowAbilities3Scenario1[[#This Row],[takes]],0)</f>
        <v>0</v>
      </c>
      <c r="S35" s="18"/>
    </row>
    <row r="36" spans="11:20" x14ac:dyDescent="0.25">
      <c r="K36" s="11" t="s">
        <v>93</v>
      </c>
      <c r="L36" s="1">
        <f>COUNTIF(Scenario1[winner1-ability3],ShadowAbilities3Scenario1[[#This Row],[ability]])+COUNTIF(Scenario1[winner2-ability3],ShadowAbilities3Scenario1[[#This Row],[ability]])+COUNTIF(Scenario1[loser1-ability3],ShadowAbilities3Scenario1[[#This Row],[ability]])+COUNTIF(Scenario1[loser2-ability3],ShadowAbilities3Scenario1[[#This Row],[ability]])</f>
        <v>3</v>
      </c>
      <c r="M36" s="1">
        <f>COUNTIF(Scenario1[winner1-ability3],ShadowAbilities3Scenario1[[#This Row],[ability]])+COUNTIF(Scenario1[winner2-ability3],ShadowAbilities3Scenario1[[#This Row],[ability]])</f>
        <v>1</v>
      </c>
      <c r="N36" s="15">
        <f>IF(SUM(ShadowAbilities3Scenario1[[#This Row],[takes]]) &gt; 0,ShadowAbilities3Scenario1[[#This Row],[takes]]/SUM(ShadowAbilities3Scenario1[takes]),0)</f>
        <v>0.5</v>
      </c>
      <c r="O36" s="15">
        <f>IF(ShadowAbilities3Scenario1[[#This Row],[takes]]&gt;0,ShadowAbilities3Scenario1[[#This Row],[wins]]/ShadowAbilities3Scenario1[[#This Row],[takes]],0)</f>
        <v>0.33333333333333331</v>
      </c>
      <c r="S36" s="18"/>
    </row>
    <row r="37" spans="11:20" x14ac:dyDescent="0.25">
      <c r="K37" s="17"/>
      <c r="N37" s="3"/>
      <c r="O37" s="3"/>
      <c r="S37" s="18"/>
    </row>
    <row r="38" spans="11:20" x14ac:dyDescent="0.25">
      <c r="K38" s="19" t="s">
        <v>109</v>
      </c>
      <c r="L38" s="8" t="s">
        <v>110</v>
      </c>
      <c r="M38" s="8" t="s">
        <v>79</v>
      </c>
      <c r="N38" s="9" t="s">
        <v>117</v>
      </c>
      <c r="O38" s="9" t="s">
        <v>118</v>
      </c>
      <c r="S38" s="18"/>
    </row>
    <row r="39" spans="11:20" x14ac:dyDescent="0.25">
      <c r="K39" s="2" t="s">
        <v>143</v>
      </c>
      <c r="L39" s="2">
        <f>COUNTIF(Scenario1[winner1-ability4],ShadowAbilities4Scenario1[[#This Row],[ability]])+COUNTIF(Scenario1[winner2-ability4],ShadowAbilities4Scenario1[[#This Row],[ability]])+COUNTIF(Scenario1[loser1-ability4],ShadowAbilities4Scenario1[[#This Row],[ability]])+COUNTIF(Scenario1[loser2-ability4],ShadowAbilities4Scenario1[[#This Row],[ability]])</f>
        <v>0</v>
      </c>
      <c r="M39" s="2">
        <f>COUNTIF(Scenario1[winner1-ability4],ShadowAbilities4Scenario1[[#This Row],[ability]])+COUNTIF(Scenario1[winner2-ability4],ShadowAbilities4Scenario1[[#This Row],[ability]])</f>
        <v>0</v>
      </c>
      <c r="N39" s="12">
        <f>IF(SUM(ShadowAbilities4Scenario1[[#This Row],[takes]]) &gt; 0,ShadowAbilities4Scenario1[[#This Row],[takes]]/SUM(ShadowAbilities4Scenario1[takes]),0)</f>
        <v>0</v>
      </c>
      <c r="O39" s="12">
        <f>IF(ShadowAbilities4Scenario1[[#This Row],[takes]]&gt;0,ShadowAbilities4Scenario1[[#This Row],[wins]]/ShadowAbilities4Scenario1[[#This Row],[takes]],0)</f>
        <v>0</v>
      </c>
      <c r="S39" s="18"/>
    </row>
    <row r="40" spans="11:20" x14ac:dyDescent="0.25">
      <c r="K40" s="2" t="s">
        <v>144</v>
      </c>
      <c r="L40" s="2">
        <f>COUNTIF(Scenario1[winner1-ability4],ShadowAbilities4Scenario1[[#This Row],[ability]])+COUNTIF(Scenario1[winner2-ability4],ShadowAbilities4Scenario1[[#This Row],[ability]])+COUNTIF(Scenario1[loser1-ability4],ShadowAbilities4Scenario1[[#This Row],[ability]])+COUNTIF(Scenario1[loser2-ability4],ShadowAbilities4Scenario1[[#This Row],[ability]])</f>
        <v>1</v>
      </c>
      <c r="M40" s="2">
        <f>COUNTIF(Scenario1[winner1-ability4],ShadowAbilities4Scenario1[[#This Row],[ability]])+COUNTIF(Scenario1[winner2-ability4],ShadowAbilities4Scenario1[[#This Row],[ability]])</f>
        <v>0</v>
      </c>
      <c r="N40" s="12">
        <f>IF(SUM(ShadowAbilities4Scenario1[[#This Row],[takes]]) &gt; 0,ShadowAbilities4Scenario1[[#This Row],[takes]]/SUM(ShadowAbilities4Scenario1[takes]),0)</f>
        <v>0.5</v>
      </c>
      <c r="O40" s="12">
        <f>IF(ShadowAbilities4Scenario1[[#This Row],[takes]]&gt;0,ShadowAbilities4Scenario1[[#This Row],[wins]]/ShadowAbilities4Scenario1[[#This Row],[takes]],0)</f>
        <v>0</v>
      </c>
      <c r="S40" s="18"/>
    </row>
    <row r="41" spans="11:20" ht="15.75" thickBot="1" x14ac:dyDescent="0.3">
      <c r="K41" s="10" t="s">
        <v>94</v>
      </c>
      <c r="L41" s="25">
        <f>COUNTIF(Scenario1[winner1-ability4],ShadowAbilities4Scenario1[[#This Row],[ability]])+COUNTIF(Scenario1[winner2-ability4],ShadowAbilities4Scenario1[[#This Row],[ability]])+COUNTIF(Scenario1[loser1-ability4],ShadowAbilities4Scenario1[[#This Row],[ability]])+COUNTIF(Scenario1[loser2-ability4],ShadowAbilities4Scenario1[[#This Row],[ability]])</f>
        <v>1</v>
      </c>
      <c r="M41" s="25">
        <f>COUNTIF(Scenario1[winner1-ability4],ShadowAbilities4Scenario1[[#This Row],[ability]])+COUNTIF(Scenario1[winner2-ability4],ShadowAbilities4Scenario1[[#This Row],[ability]])</f>
        <v>1</v>
      </c>
      <c r="N41" s="26">
        <f>IF(SUM(ShadowAbilities4Scenario1[[#This Row],[takes]]) &gt; 0,ShadowAbilities4Scenario1[[#This Row],[takes]]/SUM(ShadowAbilities4Scenario1[takes]),0)</f>
        <v>0.5</v>
      </c>
      <c r="O41" s="26">
        <f>IF(ShadowAbilities4Scenario1[[#This Row],[takes]]&gt;0,ShadowAbilities4Scenario1[[#This Row],[wins]]/ShadowAbilities4Scenario1[[#This Row],[takes]],0)</f>
        <v>1</v>
      </c>
      <c r="P41" s="27"/>
      <c r="Q41" s="27"/>
      <c r="R41" s="27"/>
      <c r="S41" s="28"/>
    </row>
    <row r="42" spans="11:20" ht="15.75" thickBot="1" x14ac:dyDescent="0.3"/>
    <row r="43" spans="11:20" ht="15.75" thickBot="1" x14ac:dyDescent="0.3">
      <c r="K43" s="36" t="s">
        <v>184</v>
      </c>
      <c r="L43" s="37"/>
      <c r="M43" s="37"/>
      <c r="N43" s="37"/>
      <c r="O43" s="37"/>
      <c r="P43" s="37"/>
      <c r="Q43" s="37"/>
      <c r="R43" s="37"/>
      <c r="S43" s="38"/>
      <c r="T43" s="29"/>
    </row>
    <row r="44" spans="11:20" x14ac:dyDescent="0.25">
      <c r="K44" s="17" t="s">
        <v>109</v>
      </c>
      <c r="L44" t="s">
        <v>110</v>
      </c>
      <c r="M44" t="s">
        <v>79</v>
      </c>
      <c r="N44" s="3" t="s">
        <v>117</v>
      </c>
      <c r="O44" s="3" t="s">
        <v>118</v>
      </c>
      <c r="Q44" t="s">
        <v>161</v>
      </c>
      <c r="R44" t="s">
        <v>169</v>
      </c>
      <c r="S44" s="18" t="s">
        <v>164</v>
      </c>
    </row>
    <row r="45" spans="11:20" x14ac:dyDescent="0.25">
      <c r="K45" t="s">
        <v>47</v>
      </c>
      <c r="L45">
        <f>COUNTIF(Scenario2[winner1-ability1],ShadowAbilities1Scenario2[[#This Row],[ability]])+COUNTIF(Scenario2[loser1-ability1],ShadowAbilities1Scenario2[[#This Row],[ability]])</f>
        <v>0</v>
      </c>
      <c r="M45">
        <f>COUNTIF(Scenario2[winner1-ability1],ShadowAbilities1Scenario2[[#This Row],[ability]])</f>
        <v>0</v>
      </c>
      <c r="N45" s="3">
        <f>IF(SUM(ShadowAbilities1Scenario2[[#This Row],[takes]]) &gt; 0,ShadowAbilities1Scenario2[[#This Row],[takes]]/SUM(ShadowAbilities1Scenario2[takes]),0)</f>
        <v>0</v>
      </c>
      <c r="O45" s="3">
        <f>IF(ShadowAbilities1Scenario2[[#This Row],[takes]]&gt;0,ShadowAbilities1Scenario2[[#This Row],[wins]]/ShadowAbilities1Scenario2[[#This Row],[takes]],0)</f>
        <v>0</v>
      </c>
      <c r="Q45">
        <v>1</v>
      </c>
      <c r="R45">
        <f>COUNTIFS(Scenario2[winner1],"shadow",Scenario2[winner1-pw],ShadowEquipScenario2[[#This Row],[level]])+COUNTIFS(Scenario2[loser1],"shadow",Scenario2[loser1-pw],ShadowEquipScenario2[[#This Row],[level]])</f>
        <v>0</v>
      </c>
      <c r="S45" s="18">
        <f>COUNTIFS(Scenario2[winner1],"shadow",Scenario2[winner1-cp],ShadowEquipScenario2[[#This Row],[level]])+COUNTIFS(Scenario2[loser1],"shadow",Scenario2[loser1-cp],ShadowEquipScenario2[[#This Row],[level]])</f>
        <v>13</v>
      </c>
    </row>
    <row r="46" spans="11:20" x14ac:dyDescent="0.25">
      <c r="K46" t="s">
        <v>86</v>
      </c>
      <c r="L46">
        <f>COUNTIF(Scenario2[winner1-ability1],ShadowAbilities1Scenario2[[#This Row],[ability]])+COUNTIF(Scenario2[loser1-ability1],ShadowAbilities1Scenario2[[#This Row],[ability]])</f>
        <v>9</v>
      </c>
      <c r="M46">
        <f>COUNTIF(Scenario2[winner1-ability1],ShadowAbilities1Scenario2[[#This Row],[ability]])</f>
        <v>1</v>
      </c>
      <c r="N46" s="3">
        <f>IF(SUM(ShadowAbilities1Scenario2[[#This Row],[takes]]) &gt; 0,ShadowAbilities1Scenario2[[#This Row],[takes]]/SUM(ShadowAbilities1Scenario2[takes]),0)</f>
        <v>0.5625</v>
      </c>
      <c r="O46" s="3">
        <f>IF(ShadowAbilities1Scenario2[[#This Row],[takes]]&gt;0,ShadowAbilities1Scenario2[[#This Row],[wins]]/ShadowAbilities1Scenario2[[#This Row],[takes]],0)</f>
        <v>0.1111111111111111</v>
      </c>
      <c r="Q46">
        <v>2</v>
      </c>
      <c r="R46">
        <f>COUNTIFS(Scenario2[winner1],"shadow",Scenario2[winner1-pw],ShadowEquipScenario2[[#This Row],[level]])+COUNTIFS(Scenario2[loser1],"shadow",Scenario2[loser1-pw],ShadowEquipScenario2[[#This Row],[level]])</f>
        <v>0</v>
      </c>
      <c r="S46" s="18">
        <f>COUNTIFS(Scenario2[winner1],"shadow",Scenario2[winner1-cp],ShadowEquipScenario2[[#This Row],[level]])+COUNTIFS(Scenario2[loser1],"shadow",Scenario2[loser1-cp],ShadowEquipScenario2[[#This Row],[level]])</f>
        <v>0</v>
      </c>
    </row>
    <row r="47" spans="11:20" x14ac:dyDescent="0.25">
      <c r="K47" t="s">
        <v>140</v>
      </c>
      <c r="L47">
        <f>COUNTIF(Scenario2[winner1-ability1],ShadowAbilities1Scenario2[[#This Row],[ability]])+COUNTIF(Scenario2[loser1-ability1],ShadowAbilities1Scenario2[[#This Row],[ability]])</f>
        <v>7</v>
      </c>
      <c r="M47">
        <f>COUNTIF(Scenario2[winner1-ability1],ShadowAbilities1Scenario2[[#This Row],[ability]])</f>
        <v>5</v>
      </c>
      <c r="N47" s="3">
        <f>IF(SUM(ShadowAbilities1Scenario2[[#This Row],[takes]]) &gt; 0,ShadowAbilities1Scenario2[[#This Row],[takes]]/SUM(ShadowAbilities1Scenario2[takes]),0)</f>
        <v>0.4375</v>
      </c>
      <c r="O47" s="3">
        <f>IF(ShadowAbilities1Scenario2[[#This Row],[takes]]&gt;0,ShadowAbilities1Scenario2[[#This Row],[wins]]/ShadowAbilities1Scenario2[[#This Row],[takes]],0)</f>
        <v>0.7142857142857143</v>
      </c>
      <c r="Q47">
        <v>3</v>
      </c>
      <c r="R47">
        <f>COUNTIFS(Scenario2[winner1],"shadow",Scenario2[winner1-pw],ShadowEquipScenario2[[#This Row],[level]])+COUNTIFS(Scenario2[loser1],"shadow",Scenario2[loser1-pw],ShadowEquipScenario2[[#This Row],[level]])</f>
        <v>16</v>
      </c>
      <c r="S47" s="18">
        <f>COUNTIFS(Scenario2[winner1],"shadow",Scenario2[winner1-cp],ShadowEquipScenario2[[#This Row],[level]])+COUNTIFS(Scenario2[loser1],"shadow",Scenario2[loser1-cp],ShadowEquipScenario2[[#This Row],[level]])</f>
        <v>3</v>
      </c>
    </row>
    <row r="48" spans="11:20" x14ac:dyDescent="0.25">
      <c r="K48" s="17"/>
      <c r="N48" s="3"/>
      <c r="O48" s="3"/>
      <c r="S48" s="18"/>
    </row>
    <row r="49" spans="11:19" x14ac:dyDescent="0.25">
      <c r="K49" s="19" t="s">
        <v>109</v>
      </c>
      <c r="L49" s="8" t="s">
        <v>110</v>
      </c>
      <c r="M49" s="8" t="s">
        <v>79</v>
      </c>
      <c r="N49" s="9" t="s">
        <v>117</v>
      </c>
      <c r="O49" s="9" t="s">
        <v>118</v>
      </c>
      <c r="S49" s="18"/>
    </row>
    <row r="50" spans="11:19" x14ac:dyDescent="0.25">
      <c r="K50" s="2" t="s">
        <v>141</v>
      </c>
      <c r="L50" s="2">
        <f>COUNTIF(Scenario2[winner1-ability2],ShadowAbilities2Scenario2[[#This Row],[ability]])+COUNTIF(Scenario2[loser1-ability2],ShadowAbilities2Scenario2[[#This Row],[ability]])</f>
        <v>7</v>
      </c>
      <c r="M50" s="2">
        <f>COUNTIF(Scenario2[winner1-ability2],ShadowAbilities2Scenario2[[#This Row],[ability]])</f>
        <v>1</v>
      </c>
      <c r="N50" s="12">
        <f>IF(SUM(ShadowAbilities2Scenario2[[#This Row],[takes]]) &gt; 0,ShadowAbilities2Scenario2[[#This Row],[takes]]/SUM(ShadowAbilities2Scenario2[takes]),0)</f>
        <v>0.63636363636363635</v>
      </c>
      <c r="O50" s="12">
        <f>IF(ShadowAbilities2Scenario2[[#This Row],[takes]]&gt;0,ShadowAbilities2Scenario2[[#This Row],[wins]]/ShadowAbilities2Scenario2[[#This Row],[takes]],0)</f>
        <v>0.14285714285714285</v>
      </c>
      <c r="S50" s="18"/>
    </row>
    <row r="51" spans="11:19" x14ac:dyDescent="0.25">
      <c r="K51" t="s">
        <v>92</v>
      </c>
      <c r="L51" s="2">
        <f>COUNTIF(Scenario2[winner1-ability2],ShadowAbilities2Scenario2[[#This Row],[ability]])+COUNTIF(Scenario2[loser1-ability2],ShadowAbilities2Scenario2[[#This Row],[ability]])</f>
        <v>1</v>
      </c>
      <c r="M51" s="2">
        <f>COUNTIF(Scenario2[winner1-ability2],ShadowAbilities2Scenario2[[#This Row],[ability]])</f>
        <v>1</v>
      </c>
      <c r="N51" s="3">
        <f>IF(SUM(ShadowAbilities2Scenario2[[#This Row],[takes]]) &gt; 0,ShadowAbilities2Scenario2[[#This Row],[takes]]/SUM(ShadowAbilities2Scenario2[takes]),0)</f>
        <v>9.0909090909090912E-2</v>
      </c>
      <c r="O51" s="3">
        <f>IF(ShadowAbilities2Scenario2[[#This Row],[takes]]&gt;0,ShadowAbilities2Scenario2[[#This Row],[wins]]/ShadowAbilities2Scenario2[[#This Row],[takes]],0)</f>
        <v>1</v>
      </c>
      <c r="S51" s="18"/>
    </row>
    <row r="52" spans="11:19" x14ac:dyDescent="0.25">
      <c r="K52" s="10" t="s">
        <v>76</v>
      </c>
      <c r="L52" s="2">
        <f>COUNTIF(Scenario2[winner1-ability2],ShadowAbilities2Scenario2[[#This Row],[ability]])+COUNTIF(Scenario2[loser1-ability2],ShadowAbilities2Scenario2[[#This Row],[ability]])</f>
        <v>3</v>
      </c>
      <c r="M52" s="2">
        <f>COUNTIF(Scenario2[winner1-ability2],ShadowAbilities2Scenario2[[#This Row],[ability]])</f>
        <v>1</v>
      </c>
      <c r="N52" s="13">
        <f>IF(SUM(ShadowAbilities2Scenario2[[#This Row],[takes]]) &gt; 0,ShadowAbilities2Scenario2[[#This Row],[takes]]/SUM(ShadowAbilities2Scenario2[takes]),0)</f>
        <v>0.27272727272727271</v>
      </c>
      <c r="O52" s="13">
        <f>IF(ShadowAbilities2Scenario2[[#This Row],[takes]]&gt;0,ShadowAbilities2Scenario2[[#This Row],[wins]]/ShadowAbilities2Scenario2[[#This Row],[takes]],0)</f>
        <v>0.33333333333333331</v>
      </c>
      <c r="S52" s="18"/>
    </row>
    <row r="53" spans="11:19" x14ac:dyDescent="0.25">
      <c r="K53" s="17"/>
      <c r="N53" s="3"/>
      <c r="O53" s="3"/>
      <c r="S53" s="18"/>
    </row>
    <row r="54" spans="11:19" x14ac:dyDescent="0.25">
      <c r="K54" s="19" t="s">
        <v>109</v>
      </c>
      <c r="L54" s="8" t="s">
        <v>110</v>
      </c>
      <c r="M54" s="8" t="s">
        <v>79</v>
      </c>
      <c r="N54" s="9" t="s">
        <v>117</v>
      </c>
      <c r="O54" s="9" t="s">
        <v>118</v>
      </c>
      <c r="S54" s="18"/>
    </row>
    <row r="55" spans="11:19" x14ac:dyDescent="0.25">
      <c r="K55" s="1" t="s">
        <v>102</v>
      </c>
      <c r="L55" s="1">
        <f>COUNTIF(Scenario2[winner1-ability3],ShadowAbilities3Scenario2[[#This Row],[ability]])+COUNTIF(Scenario2[loser1-ability3],ShadowAbilities3Scenario2[[#This Row],[ability]])</f>
        <v>0</v>
      </c>
      <c r="M55" s="1">
        <f>COUNTIF(Scenario2[winner1-ability3],ShadowAbilities3Scenario2[[#This Row],[ability]])</f>
        <v>0</v>
      </c>
      <c r="N55" s="14">
        <f>IF(SUM(ShadowAbilities3Scenario2[[#This Row],[takes]]) &gt; 0,ShadowAbilities3Scenario2[[#This Row],[takes]]/SUM(ShadowAbilities3Scenario2[takes]),0)</f>
        <v>0</v>
      </c>
      <c r="O55" s="14">
        <f>IF(ShadowAbilities3Scenario2[[#This Row],[takes]]&gt;0,ShadowAbilities3Scenario2[[#This Row],[wins]]/ShadowAbilities3Scenario2[[#This Row],[takes]],0)</f>
        <v>0</v>
      </c>
      <c r="S55" s="18"/>
    </row>
    <row r="56" spans="11:19" x14ac:dyDescent="0.25">
      <c r="K56" s="2" t="s">
        <v>142</v>
      </c>
      <c r="L56" s="2">
        <f>COUNTIF(Scenario2[winner1-ability3],ShadowAbilities3Scenario2[[#This Row],[ability]])+COUNTIF(Scenario2[loser1-ability3],ShadowAbilities3Scenario2[[#This Row],[ability]])</f>
        <v>0</v>
      </c>
      <c r="M56" s="2">
        <f>COUNTIF(Scenario2[winner1-ability3],ShadowAbilities3Scenario2[[#This Row],[ability]])</f>
        <v>0</v>
      </c>
      <c r="N56" s="12">
        <f>IF(SUM(ShadowAbilities3Scenario2[[#This Row],[takes]]) &gt; 0,ShadowAbilities3Scenario2[[#This Row],[takes]]/SUM(ShadowAbilities3Scenario2[takes]),0)</f>
        <v>0</v>
      </c>
      <c r="O56" s="12">
        <f>IF(ShadowAbilities3Scenario2[[#This Row],[takes]]&gt;0,ShadowAbilities3Scenario2[[#This Row],[wins]]/ShadowAbilities3Scenario2[[#This Row],[takes]],0)</f>
        <v>0</v>
      </c>
      <c r="S56" s="18"/>
    </row>
    <row r="57" spans="11:19" x14ac:dyDescent="0.25">
      <c r="K57" s="11" t="s">
        <v>93</v>
      </c>
      <c r="L57" s="1">
        <f>COUNTIF(Scenario2[winner1-ability3],ShadowAbilities3Scenario2[[#This Row],[ability]])+COUNTIF(Scenario2[loser1-ability3],ShadowAbilities3Scenario2[[#This Row],[ability]])</f>
        <v>6</v>
      </c>
      <c r="M57" s="1">
        <f>COUNTIF(Scenario2[winner1-ability3],ShadowAbilities3Scenario2[[#This Row],[ability]])</f>
        <v>1</v>
      </c>
      <c r="N57" s="15">
        <f>IF(SUM(ShadowAbilities3Scenario2[[#This Row],[takes]]) &gt; 0,ShadowAbilities3Scenario2[[#This Row],[takes]]/SUM(ShadowAbilities3Scenario2[takes]),0)</f>
        <v>1</v>
      </c>
      <c r="O57" s="15">
        <f>IF(ShadowAbilities3Scenario2[[#This Row],[takes]]&gt;0,ShadowAbilities3Scenario2[[#This Row],[wins]]/ShadowAbilities3Scenario2[[#This Row],[takes]],0)</f>
        <v>0.16666666666666666</v>
      </c>
      <c r="S57" s="18"/>
    </row>
    <row r="58" spans="11:19" x14ac:dyDescent="0.25">
      <c r="K58" s="17"/>
      <c r="N58" s="3"/>
      <c r="O58" s="3"/>
      <c r="S58" s="18"/>
    </row>
    <row r="59" spans="11:19" x14ac:dyDescent="0.25">
      <c r="K59" s="19" t="s">
        <v>109</v>
      </c>
      <c r="L59" s="8" t="s">
        <v>110</v>
      </c>
      <c r="M59" s="8" t="s">
        <v>79</v>
      </c>
      <c r="N59" s="9" t="s">
        <v>117</v>
      </c>
      <c r="O59" s="9" t="s">
        <v>118</v>
      </c>
      <c r="S59" s="18"/>
    </row>
    <row r="60" spans="11:19" x14ac:dyDescent="0.25">
      <c r="K60" s="2" t="s">
        <v>143</v>
      </c>
      <c r="L60" s="2">
        <f>COUNTIF(Scenario2[winner1-ability4],ShadowAbilities4Scenario2[[#This Row],[ability]])+COUNTIF(Scenario2[loser1-ability4],ShadowAbilities4Scenario2[[#This Row],[ability]])</f>
        <v>2</v>
      </c>
      <c r="M60" s="2">
        <f>COUNTIF(Scenario2[winner1-ability4],ShadowAbilities4Scenario2[[#This Row],[ability]])</f>
        <v>1</v>
      </c>
      <c r="N60" s="12">
        <f>IF(SUM(ShadowAbilities4Scenario2[[#This Row],[takes]]) &gt; 0,ShadowAbilities4Scenario2[[#This Row],[takes]]/SUM(ShadowAbilities4Scenario2[takes]),0)</f>
        <v>0.33333333333333331</v>
      </c>
      <c r="O60" s="12">
        <f>IF(ShadowAbilities4Scenario2[[#This Row],[takes]]&gt;0,ShadowAbilities4Scenario2[[#This Row],[wins]]/ShadowAbilities4Scenario2[[#This Row],[takes]],0)</f>
        <v>0.5</v>
      </c>
      <c r="S60" s="18"/>
    </row>
    <row r="61" spans="11:19" x14ac:dyDescent="0.25">
      <c r="K61" s="2" t="s">
        <v>144</v>
      </c>
      <c r="L61" s="2">
        <f>COUNTIF(Scenario2[winner1-ability4],ShadowAbilities4Scenario2[[#This Row],[ability]])+COUNTIF(Scenario2[loser1-ability4],ShadowAbilities4Scenario2[[#This Row],[ability]])</f>
        <v>1</v>
      </c>
      <c r="M61" s="2">
        <f>COUNTIF(Scenario2[winner1-ability4],ShadowAbilities4Scenario2[[#This Row],[ability]])</f>
        <v>0</v>
      </c>
      <c r="N61" s="12">
        <f>IF(SUM(ShadowAbilities4Scenario2[[#This Row],[takes]]) &gt; 0,ShadowAbilities4Scenario2[[#This Row],[takes]]/SUM(ShadowAbilities4Scenario2[takes]),0)</f>
        <v>0.16666666666666666</v>
      </c>
      <c r="O61" s="12">
        <f>IF(ShadowAbilities4Scenario2[[#This Row],[takes]]&gt;0,ShadowAbilities4Scenario2[[#This Row],[wins]]/ShadowAbilities4Scenario2[[#This Row],[takes]],0)</f>
        <v>0</v>
      </c>
      <c r="S61" s="18"/>
    </row>
    <row r="62" spans="11:19" ht="15.75" thickBot="1" x14ac:dyDescent="0.3">
      <c r="K62" s="10" t="s">
        <v>94</v>
      </c>
      <c r="L62" s="25">
        <f>COUNTIF(Scenario2[winner1-ability4],ShadowAbilities4Scenario2[[#This Row],[ability]])+COUNTIF(Scenario2[loser1-ability4],ShadowAbilities4Scenario2[[#This Row],[ability]])</f>
        <v>3</v>
      </c>
      <c r="M62" s="25">
        <f>COUNTIF(Scenario2[winner1-ability4],ShadowAbilities4Scenario2[[#This Row],[ability]])</f>
        <v>0</v>
      </c>
      <c r="N62" s="26">
        <f>IF(SUM(ShadowAbilities4Scenario2[[#This Row],[takes]]) &gt; 0,ShadowAbilities4Scenario2[[#This Row],[takes]]/SUM(ShadowAbilities4Scenario2[takes]),0)</f>
        <v>0.5</v>
      </c>
      <c r="O62" s="26">
        <f>IF(ShadowAbilities4Scenario2[[#This Row],[takes]]&gt;0,ShadowAbilities4Scenario2[[#This Row],[wins]]/ShadowAbilities4Scenario2[[#This Row],[takes]],0)</f>
        <v>0</v>
      </c>
      <c r="P62" s="27"/>
      <c r="Q62" s="27"/>
      <c r="R62" s="27"/>
      <c r="S62" s="28"/>
    </row>
    <row r="63" spans="11:19" ht="15.75" thickBot="1" x14ac:dyDescent="0.3"/>
    <row r="64" spans="11:19" ht="15.75" thickBot="1" x14ac:dyDescent="0.3">
      <c r="K64" s="36" t="s">
        <v>209</v>
      </c>
      <c r="L64" s="37"/>
      <c r="M64" s="37"/>
      <c r="N64" s="37"/>
      <c r="O64" s="37"/>
      <c r="P64" s="37"/>
      <c r="Q64" s="37"/>
      <c r="R64" s="37"/>
      <c r="S64" s="38"/>
    </row>
    <row r="65" spans="11:19" x14ac:dyDescent="0.25">
      <c r="K65" s="17" t="s">
        <v>109</v>
      </c>
      <c r="L65" t="s">
        <v>110</v>
      </c>
      <c r="M65" t="s">
        <v>79</v>
      </c>
      <c r="N65" s="3" t="s">
        <v>117</v>
      </c>
      <c r="O65" s="3" t="s">
        <v>118</v>
      </c>
      <c r="Q65" t="s">
        <v>161</v>
      </c>
      <c r="R65" t="s">
        <v>169</v>
      </c>
      <c r="S65" s="18" t="s">
        <v>164</v>
      </c>
    </row>
    <row r="66" spans="11:19" x14ac:dyDescent="0.25">
      <c r="K66" t="s">
        <v>47</v>
      </c>
      <c r="L66">
        <f>COUNTIF(Scenario3[winner1-ability1],ShadowAbilities1Scenario3[[#This Row],[ability]])+COUNTIF(Scenario3[loser1-ability1],ShadowAbilities1Scenario3[[#This Row],[ability]])+COUNTIF(Scenario3[loser2-ability1],ShadowAbilities1Scenario3[[#This Row],[ability]])</f>
        <v>3</v>
      </c>
      <c r="M66">
        <f>COUNTIF(Scenario3[winner1-ability1],ShadowAbilities1Scenario3[[#This Row],[ability]])</f>
        <v>1</v>
      </c>
      <c r="N66" s="3">
        <f>IF(SUM(ShadowAbilities1Scenario3[[#This Row],[takes]]) &gt; 0,ShadowAbilities1Scenario3[[#This Row],[takes]]/SUM(ShadowAbilities1Scenario3[takes]),0)</f>
        <v>0.10714285714285714</v>
      </c>
      <c r="O66" s="3">
        <f>IF(ShadowAbilities1Scenario3[[#This Row],[takes]]&gt;0,ShadowAbilities1Scenario3[[#This Row],[wins]]/ShadowAbilities1Scenario3[[#This Row],[takes]],0)</f>
        <v>0.33333333333333331</v>
      </c>
      <c r="Q66">
        <v>1</v>
      </c>
      <c r="R66">
        <f>COUNTIFS(Scenario3[winner1],"shadow",Scenario3[winner1-pw],ShadowEquipScenario3[[#This Row],[level]])+COUNTIFS(Scenario3[loser1],"shadow",Scenario3[loser1-pw],ShadowEquipScenario3[[#This Row],[level]])+COUNTIFS(Scenario3[loser2],"shadow",Scenario3[loser2-pw],ShadowEquipScenario3[[#This Row],[level]])</f>
        <v>0</v>
      </c>
      <c r="S66" s="18">
        <f>COUNTIFS(Scenario3[winner1],"shadow",Scenario3[winner1-cp],ShadowEquipScenario3[[#This Row],[level]])+COUNTIFS(Scenario3[loser1],"shadow",Scenario3[loser1-cp],ShadowEquipScenario3[[#This Row],[level]])+COUNTIFS(Scenario3[loser2],"shadow",Scenario3[loser2-cp],ShadowEquipScenario3[[#This Row],[level]])</f>
        <v>11</v>
      </c>
    </row>
    <row r="67" spans="11:19" x14ac:dyDescent="0.25">
      <c r="K67" t="s">
        <v>86</v>
      </c>
      <c r="L67">
        <f>COUNTIF(Scenario3[winner1-ability1],ShadowAbilities1Scenario3[[#This Row],[ability]])+COUNTIF(Scenario3[loser1-ability1],ShadowAbilities1Scenario3[[#This Row],[ability]])+COUNTIF(Scenario3[loser2-ability1],ShadowAbilities1Scenario3[[#This Row],[ability]])</f>
        <v>25</v>
      </c>
      <c r="M67">
        <f>COUNTIF(Scenario3[winner1-ability1],ShadowAbilities1Scenario3[[#This Row],[ability]])</f>
        <v>6</v>
      </c>
      <c r="N67" s="3">
        <f>IF(SUM(ShadowAbilities1Scenario3[[#This Row],[takes]]) &gt; 0,ShadowAbilities1Scenario3[[#This Row],[takes]]/SUM(ShadowAbilities1Scenario3[takes]),0)</f>
        <v>0.8928571428571429</v>
      </c>
      <c r="O67" s="3">
        <f>IF(ShadowAbilities1Scenario3[[#This Row],[takes]]&gt;0,ShadowAbilities1Scenario3[[#This Row],[wins]]/ShadowAbilities1Scenario3[[#This Row],[takes]],0)</f>
        <v>0.24</v>
      </c>
      <c r="Q67">
        <v>2</v>
      </c>
      <c r="R67">
        <f>COUNTIFS(Scenario3[winner1],"shadow",Scenario3[winner1-pw],ShadowEquipScenario3[[#This Row],[level]])+COUNTIFS(Scenario3[loser1],"shadow",Scenario3[loser1-pw],ShadowEquipScenario3[[#This Row],[level]])+COUNTIFS(Scenario3[loser2],"shadow",Scenario3[loser2-pw],ShadowEquipScenario3[[#This Row],[level]])</f>
        <v>1</v>
      </c>
      <c r="S67" s="18">
        <f>COUNTIFS(Scenario3[winner1],"shadow",Scenario3[winner1-cp],ShadowEquipScenario3[[#This Row],[level]])+COUNTIFS(Scenario3[loser1],"shadow",Scenario3[loser1-cp],ShadowEquipScenario3[[#This Row],[level]])+COUNTIFS(Scenario3[loser2],"shadow",Scenario3[loser2-cp],ShadowEquipScenario3[[#This Row],[level]])</f>
        <v>2</v>
      </c>
    </row>
    <row r="68" spans="11:19" x14ac:dyDescent="0.25">
      <c r="K68" t="s">
        <v>140</v>
      </c>
      <c r="L68">
        <f>COUNTIF(Scenario3[winner1-ability1],ShadowAbilities1Scenario3[[#This Row],[ability]])+COUNTIF(Scenario3[loser1-ability1],ShadowAbilities1Scenario3[[#This Row],[ability]])+COUNTIF(Scenario3[loser2-ability1],ShadowAbilities1Scenario3[[#This Row],[ability]])</f>
        <v>0</v>
      </c>
      <c r="M68">
        <f>COUNTIF(Scenario3[winner1-ability1],ShadowAbilities1Scenario3[[#This Row],[ability]])</f>
        <v>0</v>
      </c>
      <c r="N68" s="3">
        <f>IF(SUM(ShadowAbilities1Scenario3[[#This Row],[takes]]) &gt; 0,ShadowAbilities1Scenario3[[#This Row],[takes]]/SUM(ShadowAbilities1Scenario3[takes]),0)</f>
        <v>0</v>
      </c>
      <c r="O68" s="3">
        <f>IF(ShadowAbilities1Scenario3[[#This Row],[takes]]&gt;0,ShadowAbilities1Scenario3[[#This Row],[wins]]/ShadowAbilities1Scenario3[[#This Row],[takes]],0)</f>
        <v>0</v>
      </c>
      <c r="Q68">
        <v>3</v>
      </c>
      <c r="R68">
        <f>COUNTIFS(Scenario3[winner1],"shadow",Scenario3[winner1-pw],ShadowEquipScenario3[[#This Row],[level]])+COUNTIFS(Scenario3[loser1],"shadow",Scenario3[loser1-pw],ShadowEquipScenario3[[#This Row],[level]])+COUNTIFS(Scenario3[loser2],"shadow",Scenario3[loser2-pw],ShadowEquipScenario3[[#This Row],[level]])</f>
        <v>27</v>
      </c>
      <c r="S68" s="18">
        <f>COUNTIFS(Scenario3[winner1],"shadow",Scenario3[winner1-cp],ShadowEquipScenario3[[#This Row],[level]])+COUNTIFS(Scenario3[loser1],"shadow",Scenario3[loser1-cp],ShadowEquipScenario3[[#This Row],[level]])+COUNTIFS(Scenario3[loser2],"shadow",Scenario3[loser2-cp],ShadowEquipScenario3[[#This Row],[level]])</f>
        <v>15</v>
      </c>
    </row>
    <row r="69" spans="11:19" x14ac:dyDescent="0.25">
      <c r="K69" s="17"/>
      <c r="N69" s="3"/>
      <c r="O69" s="3"/>
      <c r="S69" s="18"/>
    </row>
    <row r="70" spans="11:19" x14ac:dyDescent="0.25">
      <c r="K70" s="19" t="s">
        <v>109</v>
      </c>
      <c r="L70" s="8" t="s">
        <v>110</v>
      </c>
      <c r="M70" s="8" t="s">
        <v>79</v>
      </c>
      <c r="N70" s="9" t="s">
        <v>117</v>
      </c>
      <c r="O70" s="9" t="s">
        <v>118</v>
      </c>
      <c r="S70" s="18"/>
    </row>
    <row r="71" spans="11:19" x14ac:dyDescent="0.25">
      <c r="K71" s="2" t="s">
        <v>141</v>
      </c>
      <c r="L71" s="2">
        <f>COUNTIF(Scenario3[winner1-ability2],ShadowAbilities2Scenario3[[#This Row],[ability]])+COUNTIF(Scenario3[loser1-ability2],ShadowAbilities2Scenario3[[#This Row],[ability]])+COUNTIF(Scenario3[loser2-ability2],ShadowAbilities2Scenario3[[#This Row],[ability]])</f>
        <v>15</v>
      </c>
      <c r="M71" s="2">
        <f>COUNTIF(Scenario3[winner1-ability2],ShadowAbilities2Scenario3[[#This Row],[ability]])</f>
        <v>2</v>
      </c>
      <c r="N71" s="12">
        <f>IF(SUM(ShadowAbilities2Scenario3[[#This Row],[takes]]) &gt; 0,ShadowAbilities2Scenario3[[#This Row],[takes]]/SUM(ShadowAbilities2Scenario3[takes]),0)</f>
        <v>0.6</v>
      </c>
      <c r="O71" s="12">
        <f>IF(ShadowAbilities2Scenario3[[#This Row],[takes]]&gt;0,ShadowAbilities2Scenario3[[#This Row],[wins]]/ShadowAbilities2Scenario3[[#This Row],[takes]],0)</f>
        <v>0.13333333333333333</v>
      </c>
      <c r="S71" s="18"/>
    </row>
    <row r="72" spans="11:19" x14ac:dyDescent="0.25">
      <c r="K72" t="s">
        <v>92</v>
      </c>
      <c r="L72" s="2">
        <f>COUNTIF(Scenario3[winner1-ability2],ShadowAbilities2Scenario3[[#This Row],[ability]])+COUNTIF(Scenario3[loser1-ability2],ShadowAbilities2Scenario3[[#This Row],[ability]])+COUNTIF(Scenario3[loser2-ability2],ShadowAbilities2Scenario3[[#This Row],[ability]])</f>
        <v>2</v>
      </c>
      <c r="M72" s="2">
        <f>COUNTIF(Scenario3[winner1-ability2],ShadowAbilities2Scenario3[[#This Row],[ability]])</f>
        <v>1</v>
      </c>
      <c r="N72" s="3">
        <f>IF(SUM(ShadowAbilities2Scenario3[[#This Row],[takes]]) &gt; 0,ShadowAbilities2Scenario3[[#This Row],[takes]]/SUM(ShadowAbilities2Scenario3[takes]),0)</f>
        <v>0.08</v>
      </c>
      <c r="O72" s="3">
        <f>IF(ShadowAbilities2Scenario3[[#This Row],[takes]]&gt;0,ShadowAbilities2Scenario3[[#This Row],[wins]]/ShadowAbilities2Scenario3[[#This Row],[takes]],0)</f>
        <v>0.5</v>
      </c>
      <c r="S72" s="18"/>
    </row>
    <row r="73" spans="11:19" x14ac:dyDescent="0.25">
      <c r="K73" s="10" t="s">
        <v>76</v>
      </c>
      <c r="L73" s="2">
        <f>COUNTIF(Scenario3[winner1-ability2],ShadowAbilities2Scenario3[[#This Row],[ability]])+COUNTIF(Scenario3[loser1-ability2],ShadowAbilities2Scenario3[[#This Row],[ability]])+COUNTIF(Scenario3[loser2-ability2],ShadowAbilities2Scenario3[[#This Row],[ability]])</f>
        <v>8</v>
      </c>
      <c r="M73" s="2">
        <f>COUNTIF(Scenario3[winner1-ability2],ShadowAbilities2Scenario3[[#This Row],[ability]])</f>
        <v>4</v>
      </c>
      <c r="N73" s="13">
        <f>IF(SUM(ShadowAbilities2Scenario3[[#This Row],[takes]]) &gt; 0,ShadowAbilities2Scenario3[[#This Row],[takes]]/SUM(ShadowAbilities2Scenario3[takes]),0)</f>
        <v>0.32</v>
      </c>
      <c r="O73" s="13">
        <f>IF(ShadowAbilities2Scenario3[[#This Row],[takes]]&gt;0,ShadowAbilities2Scenario3[[#This Row],[wins]]/ShadowAbilities2Scenario3[[#This Row],[takes]],0)</f>
        <v>0.5</v>
      </c>
      <c r="S73" s="18"/>
    </row>
    <row r="74" spans="11:19" x14ac:dyDescent="0.25">
      <c r="K74" s="17"/>
      <c r="N74" s="3"/>
      <c r="O74" s="3"/>
      <c r="S74" s="18"/>
    </row>
    <row r="75" spans="11:19" x14ac:dyDescent="0.25">
      <c r="K75" s="19" t="s">
        <v>109</v>
      </c>
      <c r="L75" s="8" t="s">
        <v>110</v>
      </c>
      <c r="M75" s="8" t="s">
        <v>79</v>
      </c>
      <c r="N75" s="9" t="s">
        <v>117</v>
      </c>
      <c r="O75" s="9" t="s">
        <v>118</v>
      </c>
      <c r="S75" s="18"/>
    </row>
    <row r="76" spans="11:19" x14ac:dyDescent="0.25">
      <c r="K76" s="1" t="s">
        <v>102</v>
      </c>
      <c r="L76" s="1">
        <f>COUNTIF(Scenario3[winner1-ability3],ShadowAbilities3Scenario3[[#This Row],[ability]])+COUNTIF(Scenario3[loser1-ability3],ShadowAbilities3Scenario3[[#This Row],[ability]])+COUNTIF(Scenario3[loser2-ability3],ShadowAbilities3Scenario3[[#This Row],[ability]])</f>
        <v>8</v>
      </c>
      <c r="M76" s="1">
        <f>COUNTIF(Scenario3[winner1-ability3],ShadowAbilities3Scenario3[[#This Row],[ability]])</f>
        <v>1</v>
      </c>
      <c r="N76" s="14">
        <f>IF(SUM(ShadowAbilities3Scenario3[[#This Row],[takes]]) &gt; 0,ShadowAbilities3Scenario3[[#This Row],[takes]]/SUM(ShadowAbilities3Scenario3[takes]),0)</f>
        <v>0.36363636363636365</v>
      </c>
      <c r="O76" s="14">
        <f>IF(ShadowAbilities3Scenario3[[#This Row],[takes]]&gt;0,ShadowAbilities3Scenario3[[#This Row],[wins]]/ShadowAbilities3Scenario3[[#This Row],[takes]],0)</f>
        <v>0.125</v>
      </c>
      <c r="S76" s="18"/>
    </row>
    <row r="77" spans="11:19" x14ac:dyDescent="0.25">
      <c r="K77" s="2" t="s">
        <v>142</v>
      </c>
      <c r="L77" s="2">
        <f>COUNTIF(Scenario3[winner1-ability3],ShadowAbilities3Scenario3[[#This Row],[ability]])+COUNTIF(Scenario3[loser1-ability3],ShadowAbilities3Scenario3[[#This Row],[ability]])+COUNTIF(Scenario3[loser2-ability3],ShadowAbilities3Scenario3[[#This Row],[ability]])</f>
        <v>9</v>
      </c>
      <c r="M77" s="2">
        <f>COUNTIF(Scenario3[winner1-ability3],ShadowAbilities3Scenario3[[#This Row],[ability]])</f>
        <v>5</v>
      </c>
      <c r="N77" s="12">
        <f>IF(SUM(ShadowAbilities3Scenario3[[#This Row],[takes]]) &gt; 0,ShadowAbilities3Scenario3[[#This Row],[takes]]/SUM(ShadowAbilities3Scenario3[takes]),0)</f>
        <v>0.40909090909090912</v>
      </c>
      <c r="O77" s="12">
        <f>IF(ShadowAbilities3Scenario3[[#This Row],[takes]]&gt;0,ShadowAbilities3Scenario3[[#This Row],[wins]]/ShadowAbilities3Scenario3[[#This Row],[takes]],0)</f>
        <v>0.55555555555555558</v>
      </c>
      <c r="S77" s="18"/>
    </row>
    <row r="78" spans="11:19" x14ac:dyDescent="0.25">
      <c r="K78" s="11" t="s">
        <v>93</v>
      </c>
      <c r="L78" s="1">
        <f>COUNTIF(Scenario3[winner1-ability3],ShadowAbilities3Scenario3[[#This Row],[ability]])+COUNTIF(Scenario3[loser1-ability3],ShadowAbilities3Scenario3[[#This Row],[ability]])+COUNTIF(Scenario3[loser2-ability3],ShadowAbilities3Scenario3[[#This Row],[ability]])</f>
        <v>5</v>
      </c>
      <c r="M78" s="1">
        <f>COUNTIF(Scenario3[winner1-ability3],ShadowAbilities3Scenario3[[#This Row],[ability]])</f>
        <v>0</v>
      </c>
      <c r="N78" s="15">
        <f>IF(SUM(ShadowAbilities3Scenario3[[#This Row],[takes]]) &gt; 0,ShadowAbilities3Scenario3[[#This Row],[takes]]/SUM(ShadowAbilities3Scenario3[takes]),0)</f>
        <v>0.22727272727272727</v>
      </c>
      <c r="O78" s="15">
        <f>IF(ShadowAbilities3Scenario3[[#This Row],[takes]]&gt;0,ShadowAbilities3Scenario3[[#This Row],[wins]]/ShadowAbilities3Scenario3[[#This Row],[takes]],0)</f>
        <v>0</v>
      </c>
      <c r="S78" s="18"/>
    </row>
    <row r="79" spans="11:19" x14ac:dyDescent="0.25">
      <c r="K79" s="17"/>
      <c r="N79" s="3"/>
      <c r="O79" s="3"/>
      <c r="S79" s="18"/>
    </row>
    <row r="80" spans="11:19" x14ac:dyDescent="0.25">
      <c r="K80" s="19" t="s">
        <v>109</v>
      </c>
      <c r="L80" s="8" t="s">
        <v>110</v>
      </c>
      <c r="M80" s="8" t="s">
        <v>79</v>
      </c>
      <c r="N80" s="9" t="s">
        <v>117</v>
      </c>
      <c r="O80" s="9" t="s">
        <v>118</v>
      </c>
      <c r="S80" s="18"/>
    </row>
    <row r="81" spans="11:19" x14ac:dyDescent="0.25">
      <c r="K81" s="2" t="s">
        <v>143</v>
      </c>
      <c r="L81" s="2">
        <f>COUNTIF(Scenario3[winner1-ability4],ShadowAbilities4Scenario3[[#This Row],[ability]])+COUNTIF(Scenario3[loser1-ability4],ShadowAbilities4Scenario3[[#This Row],[ability]])+COUNTIF(Scenario3[loser2-ability4],ShadowAbilities4Scenario3[[#This Row],[ability]])</f>
        <v>5</v>
      </c>
      <c r="M81" s="2">
        <f>COUNTIF(Scenario3[winner1-ability4],ShadowAbilities4Scenario3[[#This Row],[ability]])</f>
        <v>3</v>
      </c>
      <c r="N81" s="12">
        <f>IF(SUM(ShadowAbilities4Scenario3[[#This Row],[takes]]) &gt; 0,ShadowAbilities4Scenario3[[#This Row],[takes]]/SUM(ShadowAbilities4Scenario3[takes]),0)</f>
        <v>0.27777777777777779</v>
      </c>
      <c r="O81" s="12">
        <f>IF(ShadowAbilities4Scenario3[[#This Row],[takes]]&gt;0,ShadowAbilities4Scenario3[[#This Row],[wins]]/ShadowAbilities4Scenario3[[#This Row],[takes]],0)</f>
        <v>0.6</v>
      </c>
      <c r="S81" s="18"/>
    </row>
    <row r="82" spans="11:19" x14ac:dyDescent="0.25">
      <c r="K82" s="2" t="s">
        <v>144</v>
      </c>
      <c r="L82" s="2">
        <f>COUNTIF(Scenario3[winner1-ability4],ShadowAbilities4Scenario3[[#This Row],[ability]])+COUNTIF(Scenario3[loser1-ability4],ShadowAbilities4Scenario3[[#This Row],[ability]])+COUNTIF(Scenario3[loser2-ability4],ShadowAbilities4Scenario3[[#This Row],[ability]])</f>
        <v>8</v>
      </c>
      <c r="M82" s="2">
        <f>COUNTIF(Scenario3[winner1-ability4],ShadowAbilities4Scenario3[[#This Row],[ability]])</f>
        <v>1</v>
      </c>
      <c r="N82" s="12">
        <f>IF(SUM(ShadowAbilities4Scenario3[[#This Row],[takes]]) &gt; 0,ShadowAbilities4Scenario3[[#This Row],[takes]]/SUM(ShadowAbilities4Scenario3[takes]),0)</f>
        <v>0.44444444444444442</v>
      </c>
      <c r="O82" s="12">
        <f>IF(ShadowAbilities4Scenario3[[#This Row],[takes]]&gt;0,ShadowAbilities4Scenario3[[#This Row],[wins]]/ShadowAbilities4Scenario3[[#This Row],[takes]],0)</f>
        <v>0.125</v>
      </c>
      <c r="S82" s="18"/>
    </row>
    <row r="83" spans="11:19" ht="15.75" thickBot="1" x14ac:dyDescent="0.3">
      <c r="K83" s="10" t="s">
        <v>94</v>
      </c>
      <c r="L83" s="2">
        <f>COUNTIF(Scenario3[winner1-ability4],ShadowAbilities4Scenario3[[#This Row],[ability]])+COUNTIF(Scenario3[loser1-ability4],ShadowAbilities4Scenario3[[#This Row],[ability]])+COUNTIF(Scenario3[loser2-ability4],ShadowAbilities4Scenario3[[#This Row],[ability]])</f>
        <v>5</v>
      </c>
      <c r="M83" s="2">
        <f>COUNTIF(Scenario3[winner1-ability4],ShadowAbilities4Scenario3[[#This Row],[ability]])</f>
        <v>1</v>
      </c>
      <c r="N83" s="26">
        <f>IF(SUM(ShadowAbilities4Scenario3[[#This Row],[takes]]) &gt; 0,ShadowAbilities4Scenario3[[#This Row],[takes]]/SUM(ShadowAbilities4Scenario3[takes]),0)</f>
        <v>0.27777777777777779</v>
      </c>
      <c r="O83" s="26">
        <f>IF(ShadowAbilities4Scenario3[[#This Row],[takes]]&gt;0,ShadowAbilities4Scenario3[[#This Row],[wins]]/ShadowAbilities4Scenario3[[#This Row],[takes]],0)</f>
        <v>0.2</v>
      </c>
      <c r="P83" s="27"/>
      <c r="Q83" s="27"/>
      <c r="R83" s="27"/>
      <c r="S83" s="28"/>
    </row>
    <row r="84" spans="11:19" ht="15.75" thickBot="1" x14ac:dyDescent="0.3"/>
    <row r="85" spans="11:19" ht="15.75" thickBot="1" x14ac:dyDescent="0.3">
      <c r="K85" s="36" t="s">
        <v>219</v>
      </c>
      <c r="L85" s="37"/>
      <c r="M85" s="37"/>
      <c r="N85" s="37"/>
      <c r="O85" s="37"/>
      <c r="P85" s="37"/>
      <c r="Q85" s="37"/>
      <c r="R85" s="37"/>
      <c r="S85" s="38"/>
    </row>
    <row r="86" spans="11:19" x14ac:dyDescent="0.25">
      <c r="K86" s="17" t="s">
        <v>109</v>
      </c>
      <c r="L86" t="s">
        <v>110</v>
      </c>
      <c r="M86" t="s">
        <v>79</v>
      </c>
      <c r="N86" s="3" t="s">
        <v>117</v>
      </c>
      <c r="O86" s="3" t="s">
        <v>118</v>
      </c>
      <c r="Q86" t="s">
        <v>161</v>
      </c>
      <c r="R86" t="s">
        <v>169</v>
      </c>
      <c r="S86" s="18" t="s">
        <v>164</v>
      </c>
    </row>
    <row r="87" spans="11:19" x14ac:dyDescent="0.25">
      <c r="K87" t="s">
        <v>47</v>
      </c>
      <c r="L87">
        <f>COUNTIF(Scenario4[winner1-ability1],ShadowAbilities1Scenario4[[#This Row],[ability]])+COUNTIF(Scenario4[loser1-ability1],ShadowAbilities1Scenario4[[#This Row],[ability]])+COUNTIF(Scenario4[loser2-ability1],ShadowAbilities1Scenario4[[#This Row],[ability]])+COUNTIF(Scenario4[loser3-ability1],ShadowAbilities1Scenario4[[#This Row],[ability]])</f>
        <v>11</v>
      </c>
      <c r="M87">
        <f>COUNTIF(Scenario4[winner1-ability1],ShadowAbilities1Scenario4[[#This Row],[ability]])</f>
        <v>2</v>
      </c>
      <c r="N87" s="3">
        <f>IF(SUM(ShadowAbilities1Scenario4[[#This Row],[takes]]) &gt; 0,ShadowAbilities1Scenario4[[#This Row],[takes]]/SUM(ShadowAbilities1Scenario4[takes]),0)</f>
        <v>0.19642857142857142</v>
      </c>
      <c r="O87" s="3">
        <f>IF(ShadowAbilities1Scenario4[[#This Row],[takes]]&gt;0,ShadowAbilities1Scenario4[[#This Row],[wins]]/ShadowAbilities1Scenario4[[#This Row],[takes]],0)</f>
        <v>0.18181818181818182</v>
      </c>
      <c r="Q87">
        <v>1</v>
      </c>
      <c r="R87">
        <f>COUNTIFS(Scenario4[winner1],"shadow",Scenario4[winner1-pw],ShadowEquipScenario4[[#This Row],[level]])+COUNTIFS(Scenario4[loser1],"shadow",Scenario4[loser1-pw],ShadowEquipScenario4[[#This Row],[level]])+COUNTIFS(Scenario4[loser2],"shadow",Scenario4[loser2-pw],ShadowEquipScenario4[[#This Row],[level]])+COUNTIFS(Scenario4[loser3],"shadow",Scenario4[loser3-pw],ShadowEquipScenario4[[#This Row],[level]])</f>
        <v>1</v>
      </c>
      <c r="S87" s="18">
        <f>COUNTIFS(Scenario4[winner1],"shadow",Scenario4[winner1-cp],ShadowEquipScenario4[[#This Row],[level]])+COUNTIFS(Scenario4[loser1],"shadow",Scenario4[loser1-cp],ShadowEquipScenario4[[#This Row],[level]])+COUNTIFS(Scenario4[loser2],"shadow",Scenario4[loser2-cp],ShadowEquipScenario4[[#This Row],[level]])+COUNTIFS(Scenario4[loser3],"shadow",Scenario4[loser3-cp],ShadowEquipScenario4[[#This Row],[level]])</f>
        <v>14</v>
      </c>
    </row>
    <row r="88" spans="11:19" x14ac:dyDescent="0.25">
      <c r="K88" t="s">
        <v>86</v>
      </c>
      <c r="L88">
        <f>COUNTIF(Scenario4[winner1-ability1],ShadowAbilities1Scenario4[[#This Row],[ability]])+COUNTIF(Scenario4[loser1-ability1],ShadowAbilities1Scenario4[[#This Row],[ability]])+COUNTIF(Scenario4[loser2-ability1],ShadowAbilities1Scenario4[[#This Row],[ability]])+COUNTIF(Scenario4[loser3-ability1],ShadowAbilities1Scenario4[[#This Row],[ability]])</f>
        <v>45</v>
      </c>
      <c r="M88">
        <f>COUNTIF(Scenario4[winner1-ability1],ShadowAbilities1Scenario4[[#This Row],[ability]])</f>
        <v>13</v>
      </c>
      <c r="N88" s="3">
        <f>IF(SUM(ShadowAbilities1Scenario4[[#This Row],[takes]]) &gt; 0,ShadowAbilities1Scenario4[[#This Row],[takes]]/SUM(ShadowAbilities1Scenario4[takes]),0)</f>
        <v>0.8035714285714286</v>
      </c>
      <c r="O88" s="3">
        <f>IF(ShadowAbilities1Scenario4[[#This Row],[takes]]&gt;0,ShadowAbilities1Scenario4[[#This Row],[wins]]/ShadowAbilities1Scenario4[[#This Row],[takes]],0)</f>
        <v>0.28888888888888886</v>
      </c>
      <c r="Q88">
        <v>2</v>
      </c>
      <c r="R88">
        <f>COUNTIFS(Scenario4[winner1],"shadow",Scenario4[winner1-pw],ShadowEquipScenario4[[#This Row],[level]])+COUNTIFS(Scenario4[loser1],"shadow",Scenario4[loser1-pw],ShadowEquipScenario4[[#This Row],[level]])+COUNTIFS(Scenario4[loser2],"shadow",Scenario4[loser2-pw],ShadowEquipScenario4[[#This Row],[level]])+COUNTIFS(Scenario4[loser3],"shadow",Scenario4[loser3-pw],ShadowEquipScenario4[[#This Row],[level]])</f>
        <v>1</v>
      </c>
      <c r="S88" s="18">
        <f>COUNTIFS(Scenario4[winner1],"shadow",Scenario4[winner1-cp],ShadowEquipScenario4[[#This Row],[level]])+COUNTIFS(Scenario4[loser1],"shadow",Scenario4[loser1-cp],ShadowEquipScenario4[[#This Row],[level]])+COUNTIFS(Scenario4[loser2],"shadow",Scenario4[loser2-cp],ShadowEquipScenario4[[#This Row],[level]])+COUNTIFS(Scenario4[loser3],"shadow",Scenario4[loser3-cp],ShadowEquipScenario4[[#This Row],[level]])</f>
        <v>5</v>
      </c>
    </row>
    <row r="89" spans="11:19" x14ac:dyDescent="0.25">
      <c r="K89" t="s">
        <v>140</v>
      </c>
      <c r="L89">
        <f>COUNTIF(Scenario4[winner1-ability1],ShadowAbilities1Scenario4[[#This Row],[ability]])+COUNTIF(Scenario4[loser1-ability1],ShadowAbilities1Scenario4[[#This Row],[ability]])+COUNTIF(Scenario4[loser2-ability1],ShadowAbilities1Scenario4[[#This Row],[ability]])+COUNTIF(Scenario4[loser3-ability1],ShadowAbilities1Scenario4[[#This Row],[ability]])</f>
        <v>0</v>
      </c>
      <c r="M89">
        <f>COUNTIF(Scenario4[winner1-ability1],ShadowAbilities1Scenario4[[#This Row],[ability]])</f>
        <v>0</v>
      </c>
      <c r="N89" s="3">
        <f>IF(SUM(ShadowAbilities1Scenario4[[#This Row],[takes]]) &gt; 0,ShadowAbilities1Scenario4[[#This Row],[takes]]/SUM(ShadowAbilities1Scenario4[takes]),0)</f>
        <v>0</v>
      </c>
      <c r="O89" s="3">
        <f>IF(ShadowAbilities1Scenario4[[#This Row],[takes]]&gt;0,ShadowAbilities1Scenario4[[#This Row],[wins]]/ShadowAbilities1Scenario4[[#This Row],[takes]],0)</f>
        <v>0</v>
      </c>
      <c r="Q89">
        <v>3</v>
      </c>
      <c r="R89">
        <f>COUNTIFS(Scenario4[winner1],"shadow",Scenario4[winner1-pw],ShadowEquipScenario4[[#This Row],[level]])+COUNTIFS(Scenario4[loser1],"shadow",Scenario4[loser1-pw],ShadowEquipScenario4[[#This Row],[level]])+COUNTIFS(Scenario4[loser2],"shadow",Scenario4[loser2-pw],ShadowEquipScenario4[[#This Row],[level]])+COUNTIFS(Scenario4[loser3],"shadow",Scenario4[loser3-pw],ShadowEquipScenario4[[#This Row],[level]])</f>
        <v>54</v>
      </c>
      <c r="S89" s="18">
        <f>COUNTIFS(Scenario4[winner1],"shadow",Scenario4[winner1-cp],ShadowEquipScenario4[[#This Row],[level]])+COUNTIFS(Scenario4[loser1],"shadow",Scenario4[loser1-cp],ShadowEquipScenario4[[#This Row],[level]])+COUNTIFS(Scenario4[loser2],"shadow",Scenario4[loser2-cp],ShadowEquipScenario4[[#This Row],[level]])+COUNTIFS(Scenario4[loser3],"shadow",Scenario4[loser3-cp],ShadowEquipScenario4[[#This Row],[level]])</f>
        <v>37</v>
      </c>
    </row>
    <row r="90" spans="11:19" x14ac:dyDescent="0.25">
      <c r="K90" s="17"/>
      <c r="N90" s="3"/>
      <c r="O90" s="3"/>
      <c r="S90" s="18"/>
    </row>
    <row r="91" spans="11:19" x14ac:dyDescent="0.25">
      <c r="K91" s="19" t="s">
        <v>109</v>
      </c>
      <c r="L91" s="8" t="s">
        <v>110</v>
      </c>
      <c r="M91" s="8" t="s">
        <v>79</v>
      </c>
      <c r="N91" s="9" t="s">
        <v>117</v>
      </c>
      <c r="O91" s="9" t="s">
        <v>118</v>
      </c>
      <c r="S91" s="18"/>
    </row>
    <row r="92" spans="11:19" x14ac:dyDescent="0.25">
      <c r="K92" s="2" t="s">
        <v>141</v>
      </c>
      <c r="L92" s="2">
        <f>COUNTIF(Scenario4[winner1-ability2],ShadowAbilities2Scenario4[[#This Row],[ability]])+COUNTIF(Scenario4[loser1-ability2],ShadowAbilities2Scenario4[[#This Row],[ability]])+COUNTIF(Scenario4[loser2-ability2],ShadowAbilities2Scenario4[[#This Row],[ability]])+COUNTIF(Scenario4[loser3-ability2],ShadowAbilities2Scenario4[[#This Row],[ability]])</f>
        <v>30</v>
      </c>
      <c r="M92" s="2">
        <f>COUNTIF(Scenario4[winner1-ability2],ShadowAbilities2Scenario4[[#This Row],[ability]])</f>
        <v>11</v>
      </c>
      <c r="N92" s="12">
        <f>IF(SUM(ShadowAbilities2Scenario4[[#This Row],[takes]]) &gt; 0,ShadowAbilities2Scenario4[[#This Row],[takes]]/SUM(ShadowAbilities2Scenario4[takes]),0)</f>
        <v>0.56603773584905659</v>
      </c>
      <c r="O92" s="12">
        <f>IF(ShadowAbilities2Scenario4[[#This Row],[takes]]&gt;0,ShadowAbilities2Scenario4[[#This Row],[wins]]/ShadowAbilities2Scenario4[[#This Row],[takes]],0)</f>
        <v>0.36666666666666664</v>
      </c>
      <c r="S92" s="18"/>
    </row>
    <row r="93" spans="11:19" x14ac:dyDescent="0.25">
      <c r="K93" t="s">
        <v>92</v>
      </c>
      <c r="L93" s="2">
        <f>COUNTIF(Scenario4[winner1-ability2],ShadowAbilities2Scenario4[[#This Row],[ability]])+COUNTIF(Scenario4[loser1-ability2],ShadowAbilities2Scenario4[[#This Row],[ability]])+COUNTIF(Scenario4[loser2-ability2],ShadowAbilities2Scenario4[[#This Row],[ability]])+COUNTIF(Scenario4[loser3-ability2],ShadowAbilities2Scenario4[[#This Row],[ability]])</f>
        <v>5</v>
      </c>
      <c r="M93" s="2">
        <f>COUNTIF(Scenario4[winner1-ability2],ShadowAbilities2Scenario4[[#This Row],[ability]])</f>
        <v>0</v>
      </c>
      <c r="N93" s="3">
        <f>IF(SUM(ShadowAbilities2Scenario4[[#This Row],[takes]]) &gt; 0,ShadowAbilities2Scenario4[[#This Row],[takes]]/SUM(ShadowAbilities2Scenario4[takes]),0)</f>
        <v>9.4339622641509441E-2</v>
      </c>
      <c r="O93" s="3">
        <f>IF(ShadowAbilities2Scenario4[[#This Row],[takes]]&gt;0,ShadowAbilities2Scenario4[[#This Row],[wins]]/ShadowAbilities2Scenario4[[#This Row],[takes]],0)</f>
        <v>0</v>
      </c>
      <c r="S93" s="18"/>
    </row>
    <row r="94" spans="11:19" x14ac:dyDescent="0.25">
      <c r="K94" s="10" t="s">
        <v>76</v>
      </c>
      <c r="L94" s="2">
        <f>COUNTIF(Scenario4[winner1-ability2],ShadowAbilities2Scenario4[[#This Row],[ability]])+COUNTIF(Scenario4[loser1-ability2],ShadowAbilities2Scenario4[[#This Row],[ability]])+COUNTIF(Scenario4[loser2-ability2],ShadowAbilities2Scenario4[[#This Row],[ability]])+COUNTIF(Scenario4[loser3-ability2],ShadowAbilities2Scenario4[[#This Row],[ability]])</f>
        <v>18</v>
      </c>
      <c r="M94" s="2">
        <f>COUNTIF(Scenario4[winner1-ability2],ShadowAbilities2Scenario4[[#This Row],[ability]])</f>
        <v>4</v>
      </c>
      <c r="N94" s="13">
        <f>IF(SUM(ShadowAbilities2Scenario4[[#This Row],[takes]]) &gt; 0,ShadowAbilities2Scenario4[[#This Row],[takes]]/SUM(ShadowAbilities2Scenario4[takes]),0)</f>
        <v>0.33962264150943394</v>
      </c>
      <c r="O94" s="13">
        <f>IF(ShadowAbilities2Scenario4[[#This Row],[takes]]&gt;0,ShadowAbilities2Scenario4[[#This Row],[wins]]/ShadowAbilities2Scenario4[[#This Row],[takes]],0)</f>
        <v>0.22222222222222221</v>
      </c>
      <c r="S94" s="18"/>
    </row>
    <row r="95" spans="11:19" x14ac:dyDescent="0.25">
      <c r="K95" s="17"/>
      <c r="N95" s="3"/>
      <c r="O95" s="3"/>
      <c r="S95" s="18"/>
    </row>
    <row r="96" spans="11:19" x14ac:dyDescent="0.25">
      <c r="K96" s="19" t="s">
        <v>109</v>
      </c>
      <c r="L96" s="8" t="s">
        <v>110</v>
      </c>
      <c r="M96" s="8" t="s">
        <v>79</v>
      </c>
      <c r="N96" s="9" t="s">
        <v>117</v>
      </c>
      <c r="O96" s="9" t="s">
        <v>118</v>
      </c>
      <c r="S96" s="18"/>
    </row>
    <row r="97" spans="11:19" x14ac:dyDescent="0.25">
      <c r="K97" s="1" t="s">
        <v>102</v>
      </c>
      <c r="L97" s="1">
        <f>COUNTIF(Scenario4[winner1-ability3],ShadowAbilities3Scenario4[[#This Row],[ability]])+COUNTIF(Scenario4[loser1-ability3],ShadowAbilities3Scenario4[[#This Row],[ability]])+COUNTIF(Scenario4[loser2-ability3],ShadowAbilities3Scenario4[[#This Row],[ability]])+COUNTIF(Scenario4[loser3-ability3],ShadowAbilities3Scenario4[[#This Row],[ability]])</f>
        <v>13</v>
      </c>
      <c r="M97" s="1">
        <f>COUNTIF(Scenario4[winner1-ability3],ShadowAbilities3Scenario4[[#This Row],[ability]])</f>
        <v>4</v>
      </c>
      <c r="N97" s="14">
        <f>IF(SUM(ShadowAbilities3Scenario4[[#This Row],[takes]]) &gt; 0,ShadowAbilities3Scenario4[[#This Row],[takes]]/SUM(ShadowAbilities3Scenario4[takes]),0)</f>
        <v>0.27083333333333331</v>
      </c>
      <c r="O97" s="14">
        <f>IF(ShadowAbilities3Scenario4[[#This Row],[takes]]&gt;0,ShadowAbilities3Scenario4[[#This Row],[wins]]/ShadowAbilities3Scenario4[[#This Row],[takes]],0)</f>
        <v>0.30769230769230771</v>
      </c>
      <c r="S97" s="18"/>
    </row>
    <row r="98" spans="11:19" x14ac:dyDescent="0.25">
      <c r="K98" s="2" t="s">
        <v>142</v>
      </c>
      <c r="L98" s="2">
        <f>COUNTIF(Scenario4[winner1-ability3],ShadowAbilities3Scenario4[[#This Row],[ability]])+COUNTIF(Scenario4[loser1-ability3],ShadowAbilities3Scenario4[[#This Row],[ability]])+COUNTIF(Scenario4[loser2-ability3],ShadowAbilities3Scenario4[[#This Row],[ability]])+COUNTIF(Scenario4[loser3-ability3],ShadowAbilities3Scenario4[[#This Row],[ability]])</f>
        <v>23</v>
      </c>
      <c r="M98" s="2">
        <f>COUNTIF(Scenario4[winner1-ability3],ShadowAbilities3Scenario4[[#This Row],[ability]])</f>
        <v>8</v>
      </c>
      <c r="N98" s="12">
        <f>IF(SUM(ShadowAbilities3Scenario4[[#This Row],[takes]]) &gt; 0,ShadowAbilities3Scenario4[[#This Row],[takes]]/SUM(ShadowAbilities3Scenario4[takes]),0)</f>
        <v>0.47916666666666669</v>
      </c>
      <c r="O98" s="12">
        <f>IF(ShadowAbilities3Scenario4[[#This Row],[takes]]&gt;0,ShadowAbilities3Scenario4[[#This Row],[wins]]/ShadowAbilities3Scenario4[[#This Row],[takes]],0)</f>
        <v>0.34782608695652173</v>
      </c>
      <c r="S98" s="18"/>
    </row>
    <row r="99" spans="11:19" x14ac:dyDescent="0.25">
      <c r="K99" s="11" t="s">
        <v>93</v>
      </c>
      <c r="L99" s="1">
        <f>COUNTIF(Scenario4[winner1-ability3],ShadowAbilities3Scenario4[[#This Row],[ability]])+COUNTIF(Scenario4[loser1-ability3],ShadowAbilities3Scenario4[[#This Row],[ability]])+COUNTIF(Scenario4[loser2-ability3],ShadowAbilities3Scenario4[[#This Row],[ability]])+COUNTIF(Scenario4[loser3-ability3],ShadowAbilities3Scenario4[[#This Row],[ability]])</f>
        <v>12</v>
      </c>
      <c r="M99" s="1">
        <f>COUNTIF(Scenario4[winner1-ability3],ShadowAbilities3Scenario4[[#This Row],[ability]])</f>
        <v>2</v>
      </c>
      <c r="N99" s="15">
        <f>IF(SUM(ShadowAbilities3Scenario4[[#This Row],[takes]]) &gt; 0,ShadowAbilities3Scenario4[[#This Row],[takes]]/SUM(ShadowAbilities3Scenario4[takes]),0)</f>
        <v>0.25</v>
      </c>
      <c r="O99" s="15">
        <f>IF(ShadowAbilities3Scenario4[[#This Row],[takes]]&gt;0,ShadowAbilities3Scenario4[[#This Row],[wins]]/ShadowAbilities3Scenario4[[#This Row],[takes]],0)</f>
        <v>0.16666666666666666</v>
      </c>
      <c r="S99" s="18"/>
    </row>
    <row r="100" spans="11:19" x14ac:dyDescent="0.25">
      <c r="K100" s="17"/>
      <c r="N100" s="3"/>
      <c r="O100" s="3"/>
      <c r="S100" s="18"/>
    </row>
    <row r="101" spans="11:19" x14ac:dyDescent="0.25">
      <c r="K101" s="19" t="s">
        <v>109</v>
      </c>
      <c r="L101" s="8" t="s">
        <v>110</v>
      </c>
      <c r="M101" s="8" t="s">
        <v>79</v>
      </c>
      <c r="N101" s="9" t="s">
        <v>117</v>
      </c>
      <c r="O101" s="9" t="s">
        <v>118</v>
      </c>
      <c r="S101" s="18"/>
    </row>
    <row r="102" spans="11:19" x14ac:dyDescent="0.25">
      <c r="K102" s="2" t="s">
        <v>143</v>
      </c>
      <c r="L102" s="2">
        <f>COUNTIF(Scenario4[winner1-ability4],ShadowAbilities4Scenario4[[#This Row],[ability]])+COUNTIF(Scenario4[loser1-ability4],ShadowAbilities4Scenario4[[#This Row],[ability]])+COUNTIF(Scenario4[loser2-ability4],ShadowAbilities4Scenario4[[#This Row],[ability]])+COUNTIF(Scenario4[loser3-ability4],ShadowAbilities4Scenario4[[#This Row],[ability]])</f>
        <v>16</v>
      </c>
      <c r="M102" s="2">
        <f>COUNTIF(Scenario4[winner1-ability4],ShadowAbilities4Scenario4[[#This Row],[ability]])</f>
        <v>2</v>
      </c>
      <c r="N102" s="12">
        <f>IF(SUM(ShadowAbilities4Scenario4[[#This Row],[takes]]) &gt; 0,ShadowAbilities4Scenario4[[#This Row],[takes]]/SUM(ShadowAbilities4Scenario4[takes]),0)</f>
        <v>0.35555555555555557</v>
      </c>
      <c r="O102" s="12">
        <f>IF(ShadowAbilities4Scenario4[[#This Row],[takes]]&gt;0,ShadowAbilities4Scenario4[[#This Row],[wins]]/ShadowAbilities4Scenario4[[#This Row],[takes]],0)</f>
        <v>0.125</v>
      </c>
      <c r="S102" s="18"/>
    </row>
    <row r="103" spans="11:19" x14ac:dyDescent="0.25">
      <c r="K103" s="2" t="s">
        <v>144</v>
      </c>
      <c r="L103" s="2">
        <f>COUNTIF(Scenario4[winner1-ability4],ShadowAbilities4Scenario4[[#This Row],[ability]])+COUNTIF(Scenario4[loser1-ability4],ShadowAbilities4Scenario4[[#This Row],[ability]])+COUNTIF(Scenario4[loser2-ability4],ShadowAbilities4Scenario4[[#This Row],[ability]])+COUNTIF(Scenario4[loser3-ability4],ShadowAbilities4Scenario4[[#This Row],[ability]])</f>
        <v>21</v>
      </c>
      <c r="M103" s="2">
        <f>COUNTIF(Scenario4[winner1-ability4],ShadowAbilities4Scenario4[[#This Row],[ability]])</f>
        <v>9</v>
      </c>
      <c r="N103" s="12">
        <f>IF(SUM(ShadowAbilities4Scenario4[[#This Row],[takes]]) &gt; 0,ShadowAbilities4Scenario4[[#This Row],[takes]]/SUM(ShadowAbilities4Scenario4[takes]),0)</f>
        <v>0.46666666666666667</v>
      </c>
      <c r="O103" s="12">
        <f>IF(ShadowAbilities4Scenario4[[#This Row],[takes]]&gt;0,ShadowAbilities4Scenario4[[#This Row],[wins]]/ShadowAbilities4Scenario4[[#This Row],[takes]],0)</f>
        <v>0.42857142857142855</v>
      </c>
      <c r="S103" s="18"/>
    </row>
    <row r="104" spans="11:19" ht="15.75" thickBot="1" x14ac:dyDescent="0.3">
      <c r="K104" s="10" t="s">
        <v>94</v>
      </c>
      <c r="L104" s="2">
        <f>COUNTIF(Scenario4[winner1-ability4],ShadowAbilities4Scenario4[[#This Row],[ability]])+COUNTIF(Scenario4[loser1-ability4],ShadowAbilities4Scenario4[[#This Row],[ability]])+COUNTIF(Scenario4[loser2-ability4],ShadowAbilities4Scenario4[[#This Row],[ability]])+COUNTIF(Scenario4[loser3-ability4],ShadowAbilities4Scenario4[[#This Row],[ability]])</f>
        <v>8</v>
      </c>
      <c r="M104" s="2">
        <f>COUNTIF(Scenario4[winner1-ability4],ShadowAbilities4Scenario4[[#This Row],[ability]])</f>
        <v>1</v>
      </c>
      <c r="N104" s="26">
        <f>IF(SUM(ShadowAbilities4Scenario4[[#This Row],[takes]]) &gt; 0,ShadowAbilities4Scenario4[[#This Row],[takes]]/SUM(ShadowAbilities4Scenario4[takes]),0)</f>
        <v>0.17777777777777778</v>
      </c>
      <c r="O104" s="26">
        <f>IF(ShadowAbilities4Scenario4[[#This Row],[takes]]&gt;0,ShadowAbilities4Scenario4[[#This Row],[wins]]/ShadowAbilities4Scenario4[[#This Row],[takes]],0)</f>
        <v>0.125</v>
      </c>
      <c r="P104" s="27"/>
      <c r="Q104" s="27"/>
      <c r="R104" s="27"/>
      <c r="S104" s="28"/>
    </row>
    <row r="105" spans="11:19" ht="15.75" thickBot="1" x14ac:dyDescent="0.3"/>
    <row r="106" spans="11:19" ht="15.75" thickBot="1" x14ac:dyDescent="0.3">
      <c r="K106" s="36" t="s">
        <v>220</v>
      </c>
      <c r="L106" s="37"/>
      <c r="M106" s="37"/>
      <c r="N106" s="37"/>
      <c r="O106" s="37"/>
      <c r="P106" s="37"/>
      <c r="Q106" s="37"/>
      <c r="R106" s="37"/>
      <c r="S106" s="38"/>
    </row>
    <row r="107" spans="11:19" x14ac:dyDescent="0.25">
      <c r="K107" s="17" t="s">
        <v>109</v>
      </c>
      <c r="L107" t="s">
        <v>110</v>
      </c>
      <c r="M107" t="s">
        <v>79</v>
      </c>
      <c r="N107" s="3" t="s">
        <v>117</v>
      </c>
      <c r="O107" s="3" t="s">
        <v>118</v>
      </c>
      <c r="Q107" t="s">
        <v>161</v>
      </c>
      <c r="R107" t="s">
        <v>169</v>
      </c>
      <c r="S107" s="18" t="s">
        <v>164</v>
      </c>
    </row>
    <row r="108" spans="11:19" x14ac:dyDescent="0.25">
      <c r="K108" t="s">
        <v>47</v>
      </c>
      <c r="L108">
        <f>COUNTIF(Scenario5[winner1-ability1],ShadowAbilities1Scenario5[[#This Row],[ability]])+COUNTIF(Scenario5[winner2-ability1],ShadowAbilities1Scenario5[[#This Row],[ability]])+COUNTIF(Scenario5[loser1-ability1],ShadowAbilities1Scenario5[[#This Row],[ability]])+COUNTIF(Scenario5[loser2-ability1],ShadowAbilities1Scenario5[[#This Row],[ability]])</f>
        <v>9</v>
      </c>
      <c r="M108">
        <f>COUNTIF(Scenario5[winner1-ability1],ShadowAbilities1Scenario5[[#This Row],[ability]])+COUNTIF(Scenario5[winner2-ability1],ShadowAbilities1Scenario5[[#This Row],[ability]])</f>
        <v>3</v>
      </c>
      <c r="N108" s="3">
        <f>IF(SUM(ShadowAbilities1Scenario5[[#This Row],[takes]]) &gt; 0,ShadowAbilities1Scenario5[[#This Row],[takes]]/SUM(ShadowAbilities1Scenario5[takes]),0)</f>
        <v>5.3571428571428568E-2</v>
      </c>
      <c r="O108" s="3">
        <f>IF(ShadowAbilities1Scenario5[[#This Row],[takes]]&gt;0,ShadowAbilities1Scenario5[[#This Row],[wins]]/ShadowAbilities1Scenario5[[#This Row],[takes]],0)</f>
        <v>0.33333333333333331</v>
      </c>
      <c r="Q108">
        <v>1</v>
      </c>
      <c r="R108">
        <f>COUNTIFS(Scenario5[winner1],"shadow",Scenario5[winner1-pw],ShadowEquipScenario5[[#This Row],[level]])+COUNTIFS(Scenario5[winner2],"shadow",Scenario5[winner2-pw],ShadowEquipScenario5[[#This Row],[level]])+COUNTIFS(Scenario5[loser1],"shadow",Scenario5[loser1-pw],ShadowEquipScenario5[[#This Row],[level]])+COUNTIFS(Scenario5[loser2],"shadow",Scenario5[loser2-pw],ShadowEquipScenario5[[#This Row],[level]])</f>
        <v>6</v>
      </c>
      <c r="S108" s="18">
        <f>COUNTIFS(Scenario5[winner1],"shadow",Scenario5[winner1-cp],ShadowEquipScenario5[[#This Row],[level]])+COUNTIFS(Scenario5[winner2],"shadow",Scenario5[winner2-cp],ShadowEquipScenario5[[#This Row],[level]])+COUNTIFS(Scenario5[loser1],"shadow",Scenario5[loser1-cp],ShadowEquipScenario5[[#This Row],[level]])+COUNTIFS(Scenario5[loser2],"shadow",Scenario5[loser2-cp],ShadowEquipScenario5[[#This Row],[level]])</f>
        <v>116</v>
      </c>
    </row>
    <row r="109" spans="11:19" x14ac:dyDescent="0.25">
      <c r="K109" t="s">
        <v>86</v>
      </c>
      <c r="L109">
        <f>COUNTIF(Scenario5[winner1-ability1],ShadowAbilities1Scenario5[[#This Row],[ability]])+COUNTIF(Scenario5[winner2-ability1],ShadowAbilities1Scenario5[[#This Row],[ability]])+COUNTIF(Scenario5[loser1-ability1],ShadowAbilities1Scenario5[[#This Row],[ability]])+COUNTIF(Scenario5[loser2-ability1],ShadowAbilities1Scenario5[[#This Row],[ability]])</f>
        <v>73</v>
      </c>
      <c r="M109">
        <f>COUNTIF(Scenario5[winner1-ability1],ShadowAbilities1Scenario5[[#This Row],[ability]])+COUNTIF(Scenario5[winner2-ability1],ShadowAbilities1Scenario5[[#This Row],[ability]])</f>
        <v>29</v>
      </c>
      <c r="N109" s="3">
        <f>IF(SUM(ShadowAbilities1Scenario5[[#This Row],[takes]]) &gt; 0,ShadowAbilities1Scenario5[[#This Row],[takes]]/SUM(ShadowAbilities1Scenario5[takes]),0)</f>
        <v>0.43452380952380953</v>
      </c>
      <c r="O109" s="3">
        <f>IF(ShadowAbilities1Scenario5[[#This Row],[takes]]&gt;0,ShadowAbilities1Scenario5[[#This Row],[wins]]/ShadowAbilities1Scenario5[[#This Row],[takes]],0)</f>
        <v>0.39726027397260272</v>
      </c>
      <c r="Q109">
        <v>2</v>
      </c>
      <c r="R109">
        <f>COUNTIFS(Scenario5[winner1],"shadow",Scenario5[winner1-pw],ShadowEquipScenario5[[#This Row],[level]])+COUNTIFS(Scenario5[winner2],"shadow",Scenario5[winner2-pw],ShadowEquipScenario5[[#This Row],[level]])+COUNTIFS(Scenario5[loser1],"shadow",Scenario5[loser1-pw],ShadowEquipScenario5[[#This Row],[level]])+COUNTIFS(Scenario5[loser2],"shadow",Scenario5[loser2-pw],ShadowEquipScenario5[[#This Row],[level]])</f>
        <v>22</v>
      </c>
      <c r="S109" s="18">
        <f>COUNTIFS(Scenario5[winner1],"shadow",Scenario5[winner1-cp],ShadowEquipScenario5[[#This Row],[level]])+COUNTIFS(Scenario5[winner2],"shadow",Scenario5[winner2-cp],ShadowEquipScenario5[[#This Row],[level]])+COUNTIFS(Scenario5[loser1],"shadow",Scenario5[loser1-cp],ShadowEquipScenario5[[#This Row],[level]])+COUNTIFS(Scenario5[loser2],"shadow",Scenario5[loser2-cp],ShadowEquipScenario5[[#This Row],[level]])</f>
        <v>18</v>
      </c>
    </row>
    <row r="110" spans="11:19" x14ac:dyDescent="0.25">
      <c r="K110" t="s">
        <v>140</v>
      </c>
      <c r="L110">
        <f>COUNTIF(Scenario5[winner1-ability1],ShadowAbilities1Scenario5[[#This Row],[ability]])+COUNTIF(Scenario5[winner2-ability1],ShadowAbilities1Scenario5[[#This Row],[ability]])+COUNTIF(Scenario5[loser1-ability1],ShadowAbilities1Scenario5[[#This Row],[ability]])+COUNTIF(Scenario5[loser2-ability1],ShadowAbilities1Scenario5[[#This Row],[ability]])</f>
        <v>86</v>
      </c>
      <c r="M110">
        <f>COUNTIF(Scenario5[winner1-ability1],ShadowAbilities1Scenario5[[#This Row],[ability]])+COUNTIF(Scenario5[winner2-ability1],ShadowAbilities1Scenario5[[#This Row],[ability]])</f>
        <v>51</v>
      </c>
      <c r="N110" s="3">
        <f>IF(SUM(ShadowAbilities1Scenario5[[#This Row],[takes]]) &gt; 0,ShadowAbilities1Scenario5[[#This Row],[takes]]/SUM(ShadowAbilities1Scenario5[takes]),0)</f>
        <v>0.51190476190476186</v>
      </c>
      <c r="O110" s="3">
        <f>IF(ShadowAbilities1Scenario5[[#This Row],[takes]]&gt;0,ShadowAbilities1Scenario5[[#This Row],[wins]]/ShadowAbilities1Scenario5[[#This Row],[takes]],0)</f>
        <v>0.59302325581395354</v>
      </c>
      <c r="Q110">
        <v>3</v>
      </c>
      <c r="R110">
        <f>COUNTIFS(Scenario5[winner1],"shadow",Scenario5[winner1-pw],ShadowEquipScenario5[[#This Row],[level]])+COUNTIFS(Scenario5[winner2],"shadow",Scenario5[winner2-pw],ShadowEquipScenario5[[#This Row],[level]])+COUNTIFS(Scenario5[loser1],"shadow",Scenario5[loser1-pw],ShadowEquipScenario5[[#This Row],[level]])+COUNTIFS(Scenario5[loser2],"shadow",Scenario5[loser2-pw],ShadowEquipScenario5[[#This Row],[level]])</f>
        <v>140</v>
      </c>
      <c r="S110" s="18">
        <f>COUNTIFS(Scenario5[winner1],"shadow",Scenario5[winner1-cp],ShadowEquipScenario5[[#This Row],[level]])+COUNTIFS(Scenario5[winner2],"shadow",Scenario5[winner2-cp],ShadowEquipScenario5[[#This Row],[level]])+COUNTIFS(Scenario5[loser1],"shadow",Scenario5[loser1-cp],ShadowEquipScenario5[[#This Row],[level]])+COUNTIFS(Scenario5[loser2],"shadow",Scenario5[loser2-cp],ShadowEquipScenario5[[#This Row],[level]])</f>
        <v>34</v>
      </c>
    </row>
    <row r="111" spans="11:19" x14ac:dyDescent="0.25">
      <c r="K111" s="17"/>
      <c r="N111" s="3"/>
      <c r="O111" s="3"/>
      <c r="S111" s="18"/>
    </row>
    <row r="112" spans="11:19" x14ac:dyDescent="0.25">
      <c r="K112" s="19" t="s">
        <v>109</v>
      </c>
      <c r="L112" s="8" t="s">
        <v>110</v>
      </c>
      <c r="M112" s="8" t="s">
        <v>79</v>
      </c>
      <c r="N112" s="9" t="s">
        <v>117</v>
      </c>
      <c r="O112" s="9" t="s">
        <v>118</v>
      </c>
      <c r="S112" s="18"/>
    </row>
    <row r="113" spans="11:19" x14ac:dyDescent="0.25">
      <c r="K113" s="2" t="s">
        <v>141</v>
      </c>
      <c r="L113" s="2">
        <f>COUNTIF(Scenario5[winner1-ability2],ShadowAbilities2Scenario5[[#This Row],[ability]])+COUNTIF(Scenario5[winner2-ability2],ShadowAbilities2Scenario5[[#This Row],[ability]])+COUNTIF(Scenario5[loser1-ability2],ShadowAbilities2Scenario5[[#This Row],[ability]])+COUNTIF(Scenario5[loser2-ability2],ShadowAbilities2Scenario5[[#This Row],[ability]])</f>
        <v>70</v>
      </c>
      <c r="M113" s="2">
        <f>COUNTIF(Scenario5[winner1-ability2],ShadowAbilities2Scenario5[[#This Row],[ability]])+COUNTIF(Scenario5[winner2-ability2],ShadowAbilities2Scenario5[[#This Row],[ability]])</f>
        <v>40</v>
      </c>
      <c r="N113" s="12">
        <f>IF(SUM(ShadowAbilities2Scenario5[[#This Row],[takes]]) &gt; 0,ShadowAbilities2Scenario5[[#This Row],[takes]]/SUM(ShadowAbilities2Scenario5[takes]),0)</f>
        <v>0.58333333333333337</v>
      </c>
      <c r="O113" s="12">
        <f>IF(ShadowAbilities2Scenario5[[#This Row],[takes]]&gt;0,ShadowAbilities2Scenario5[[#This Row],[wins]]/ShadowAbilities2Scenario5[[#This Row],[takes]],0)</f>
        <v>0.5714285714285714</v>
      </c>
      <c r="S113" s="18"/>
    </row>
    <row r="114" spans="11:19" x14ac:dyDescent="0.25">
      <c r="K114" t="s">
        <v>92</v>
      </c>
      <c r="L114" s="2">
        <f>COUNTIF(Scenario5[winner1-ability2],ShadowAbilities2Scenario5[[#This Row],[ability]])+COUNTIF(Scenario5[winner2-ability2],ShadowAbilities2Scenario5[[#This Row],[ability]])+COUNTIF(Scenario5[loser1-ability2],ShadowAbilities2Scenario5[[#This Row],[ability]])+COUNTIF(Scenario5[loser2-ability2],ShadowAbilities2Scenario5[[#This Row],[ability]])</f>
        <v>5</v>
      </c>
      <c r="M114" s="2">
        <f>COUNTIF(Scenario5[winner1-ability2],ShadowAbilities2Scenario5[[#This Row],[ability]])+COUNTIF(Scenario5[winner2-ability2],ShadowAbilities2Scenario5[[#This Row],[ability]])</f>
        <v>5</v>
      </c>
      <c r="N114" s="3">
        <f>IF(SUM(ShadowAbilities2Scenario5[[#This Row],[takes]]) &gt; 0,ShadowAbilities2Scenario5[[#This Row],[takes]]/SUM(ShadowAbilities2Scenario5[takes]),0)</f>
        <v>4.1666666666666664E-2</v>
      </c>
      <c r="O114" s="3">
        <f>IF(ShadowAbilities2Scenario5[[#This Row],[takes]]&gt;0,ShadowAbilities2Scenario5[[#This Row],[wins]]/ShadowAbilities2Scenario5[[#This Row],[takes]],0)</f>
        <v>1</v>
      </c>
      <c r="S114" s="18"/>
    </row>
    <row r="115" spans="11:19" x14ac:dyDescent="0.25">
      <c r="K115" s="10" t="s">
        <v>76</v>
      </c>
      <c r="L115" s="2">
        <f>COUNTIF(Scenario5[winner1-ability2],ShadowAbilities2Scenario5[[#This Row],[ability]])+COUNTIF(Scenario5[winner2-ability2],ShadowAbilities2Scenario5[[#This Row],[ability]])+COUNTIF(Scenario5[loser1-ability2],ShadowAbilities2Scenario5[[#This Row],[ability]])+COUNTIF(Scenario5[loser2-ability2],ShadowAbilities2Scenario5[[#This Row],[ability]])</f>
        <v>45</v>
      </c>
      <c r="M115" s="2">
        <f>COUNTIF(Scenario5[winner1-ability2],ShadowAbilities2Scenario5[[#This Row],[ability]])+COUNTIF(Scenario5[winner2-ability2],ShadowAbilities2Scenario5[[#This Row],[ability]])</f>
        <v>25</v>
      </c>
      <c r="N115" s="13">
        <f>IF(SUM(ShadowAbilities2Scenario5[[#This Row],[takes]]) &gt; 0,ShadowAbilities2Scenario5[[#This Row],[takes]]/SUM(ShadowAbilities2Scenario5[takes]),0)</f>
        <v>0.375</v>
      </c>
      <c r="O115" s="13">
        <f>IF(ShadowAbilities2Scenario5[[#This Row],[takes]]&gt;0,ShadowAbilities2Scenario5[[#This Row],[wins]]/ShadowAbilities2Scenario5[[#This Row],[takes]],0)</f>
        <v>0.55555555555555558</v>
      </c>
      <c r="S115" s="18"/>
    </row>
    <row r="116" spans="11:19" x14ac:dyDescent="0.25">
      <c r="K116" s="17"/>
      <c r="N116" s="3"/>
      <c r="O116" s="3"/>
      <c r="S116" s="18"/>
    </row>
    <row r="117" spans="11:19" x14ac:dyDescent="0.25">
      <c r="K117" s="19" t="s">
        <v>109</v>
      </c>
      <c r="L117" s="8" t="s">
        <v>110</v>
      </c>
      <c r="M117" s="8" t="s">
        <v>79</v>
      </c>
      <c r="N117" s="9" t="s">
        <v>117</v>
      </c>
      <c r="O117" s="9" t="s">
        <v>118</v>
      </c>
      <c r="S117" s="18"/>
    </row>
    <row r="118" spans="11:19" x14ac:dyDescent="0.25">
      <c r="K118" s="1" t="s">
        <v>102</v>
      </c>
      <c r="L118" s="1">
        <f>COUNTIF(Scenario5[winner1-ability3],ShadowAbilities3Scenario5[[#This Row],[ability]])+COUNTIF(Scenario5[winner2-ability3],ShadowAbilities3Scenario5[[#This Row],[ability]])+COUNTIF(Scenario5[loser1-ability3],ShadowAbilities3Scenario5[[#This Row],[ability]])+COUNTIF(Scenario5[loser2-ability3],ShadowAbilities3Scenario5[[#This Row],[ability]])</f>
        <v>41</v>
      </c>
      <c r="M118" s="1">
        <f>COUNTIF(Scenario5[winner1-ability3],ShadowAbilities3Scenario5[[#This Row],[ability]])+COUNTIF(Scenario5[winner2-ability3],ShadowAbilities3Scenario5[[#This Row],[ability]])</f>
        <v>23</v>
      </c>
      <c r="N118" s="14">
        <f>IF(SUM(ShadowAbilities3Scenario5[[#This Row],[takes]]) &gt; 0,ShadowAbilities3Scenario5[[#This Row],[takes]]/SUM(ShadowAbilities3Scenario5[takes]),0)</f>
        <v>0.51898734177215189</v>
      </c>
      <c r="O118" s="14">
        <f>IF(ShadowAbilities3Scenario5[[#This Row],[takes]]&gt;0,ShadowAbilities3Scenario5[[#This Row],[wins]]/ShadowAbilities3Scenario5[[#This Row],[takes]],0)</f>
        <v>0.56097560975609762</v>
      </c>
      <c r="S118" s="18"/>
    </row>
    <row r="119" spans="11:19" x14ac:dyDescent="0.25">
      <c r="K119" s="2" t="s">
        <v>142</v>
      </c>
      <c r="L119" s="2">
        <f>COUNTIF(Scenario5[winner1-ability3],ShadowAbilities3Scenario5[[#This Row],[ability]])+COUNTIF(Scenario5[winner2-ability3],ShadowAbilities3Scenario5[[#This Row],[ability]])+COUNTIF(Scenario5[loser1-ability3],ShadowAbilities3Scenario5[[#This Row],[ability]])+COUNTIF(Scenario5[loser2-ability3],ShadowAbilities3Scenario5[[#This Row],[ability]])</f>
        <v>2</v>
      </c>
      <c r="M119" s="2">
        <f>COUNTIF(Scenario5[winner1-ability3],ShadowAbilities3Scenario5[[#This Row],[ability]])+COUNTIF(Scenario5[winner2-ability3],ShadowAbilities3Scenario5[[#This Row],[ability]])</f>
        <v>0</v>
      </c>
      <c r="N119" s="12">
        <f>IF(SUM(ShadowAbilities3Scenario5[[#This Row],[takes]]) &gt; 0,ShadowAbilities3Scenario5[[#This Row],[takes]]/SUM(ShadowAbilities3Scenario5[takes]),0)</f>
        <v>2.5316455696202531E-2</v>
      </c>
      <c r="O119" s="12">
        <f>IF(ShadowAbilities3Scenario5[[#This Row],[takes]]&gt;0,ShadowAbilities3Scenario5[[#This Row],[wins]]/ShadowAbilities3Scenario5[[#This Row],[takes]],0)</f>
        <v>0</v>
      </c>
      <c r="S119" s="18"/>
    </row>
    <row r="120" spans="11:19" x14ac:dyDescent="0.25">
      <c r="K120" s="11" t="s">
        <v>93</v>
      </c>
      <c r="L120" s="1">
        <f>COUNTIF(Scenario5[winner1-ability3],ShadowAbilities3Scenario5[[#This Row],[ability]])+COUNTIF(Scenario5[winner2-ability3],ShadowAbilities3Scenario5[[#This Row],[ability]])+COUNTIF(Scenario5[loser1-ability3],ShadowAbilities3Scenario5[[#This Row],[ability]])+COUNTIF(Scenario5[loser2-ability3],ShadowAbilities3Scenario5[[#This Row],[ability]])</f>
        <v>36</v>
      </c>
      <c r="M120" s="1">
        <f>COUNTIF(Scenario5[winner1-ability3],ShadowAbilities3Scenario5[[#This Row],[ability]])+COUNTIF(Scenario5[winner2-ability3],ShadowAbilities3Scenario5[[#This Row],[ability]])</f>
        <v>21</v>
      </c>
      <c r="N120" s="15">
        <f>IF(SUM(ShadowAbilities3Scenario5[[#This Row],[takes]]) &gt; 0,ShadowAbilities3Scenario5[[#This Row],[takes]]/SUM(ShadowAbilities3Scenario5[takes]),0)</f>
        <v>0.45569620253164556</v>
      </c>
      <c r="O120" s="15">
        <f>IF(ShadowAbilities3Scenario5[[#This Row],[takes]]&gt;0,ShadowAbilities3Scenario5[[#This Row],[wins]]/ShadowAbilities3Scenario5[[#This Row],[takes]],0)</f>
        <v>0.58333333333333337</v>
      </c>
      <c r="S120" s="18"/>
    </row>
    <row r="121" spans="11:19" x14ac:dyDescent="0.25">
      <c r="K121" s="17"/>
      <c r="N121" s="3"/>
      <c r="O121" s="3"/>
      <c r="S121" s="18"/>
    </row>
    <row r="122" spans="11:19" x14ac:dyDescent="0.25">
      <c r="K122" s="19" t="s">
        <v>109</v>
      </c>
      <c r="L122" s="8" t="s">
        <v>110</v>
      </c>
      <c r="M122" s="8" t="s">
        <v>79</v>
      </c>
      <c r="N122" s="9" t="s">
        <v>117</v>
      </c>
      <c r="O122" s="9" t="s">
        <v>118</v>
      </c>
      <c r="S122" s="18"/>
    </row>
    <row r="123" spans="11:19" x14ac:dyDescent="0.25">
      <c r="K123" s="2" t="s">
        <v>143</v>
      </c>
      <c r="L123" s="2">
        <f>COUNTIF(Scenario5[winner1-ability4],ShadowAbilities4Scenario5[[#This Row],[ability]])+COUNTIF(Scenario5[winner2-ability4],ShadowAbilities4Scenario5[[#This Row],[ability]])+COUNTIF(Scenario5[loser1-ability4],ShadowAbilities4Scenario5[[#This Row],[ability]])+COUNTIF(Scenario5[loser2-ability4],ShadowAbilities4Scenario5[[#This Row],[ability]])</f>
        <v>11</v>
      </c>
      <c r="M123" s="2">
        <f>COUNTIF(Scenario5[winner1-ability4],ShadowAbilities4Scenario5[[#This Row],[ability]])+COUNTIF(Scenario5[winner2-ability4],ShadowAbilities4Scenario5[[#This Row],[ability]])</f>
        <v>4</v>
      </c>
      <c r="N123" s="12">
        <f>IF(SUM(ShadowAbilities4Scenario5[[#This Row],[takes]]) &gt; 0,ShadowAbilities4Scenario5[[#This Row],[takes]]/SUM(ShadowAbilities4Scenario5[takes]),0)</f>
        <v>0.21153846153846154</v>
      </c>
      <c r="O123" s="12">
        <f>IF(ShadowAbilities4Scenario5[[#This Row],[takes]]&gt;0,ShadowAbilities4Scenario5[[#This Row],[wins]]/ShadowAbilities4Scenario5[[#This Row],[takes]],0)</f>
        <v>0.36363636363636365</v>
      </c>
      <c r="S123" s="18"/>
    </row>
    <row r="124" spans="11:19" x14ac:dyDescent="0.25">
      <c r="K124" s="2" t="s">
        <v>144</v>
      </c>
      <c r="L124" s="2">
        <f>COUNTIF(Scenario5[winner1-ability4],ShadowAbilities4Scenario5[[#This Row],[ability]])+COUNTIF(Scenario5[winner2-ability4],ShadowAbilities4Scenario5[[#This Row],[ability]])+COUNTIF(Scenario5[loser1-ability4],ShadowAbilities4Scenario5[[#This Row],[ability]])+COUNTIF(Scenario5[loser2-ability4],ShadowAbilities4Scenario5[[#This Row],[ability]])</f>
        <v>18</v>
      </c>
      <c r="M124" s="2">
        <f>COUNTIF(Scenario5[winner1-ability4],ShadowAbilities4Scenario5[[#This Row],[ability]])+COUNTIF(Scenario5[winner2-ability4],ShadowAbilities4Scenario5[[#This Row],[ability]])</f>
        <v>6</v>
      </c>
      <c r="N124" s="12">
        <f>IF(SUM(ShadowAbilities4Scenario5[[#This Row],[takes]]) &gt; 0,ShadowAbilities4Scenario5[[#This Row],[takes]]/SUM(ShadowAbilities4Scenario5[takes]),0)</f>
        <v>0.34615384615384615</v>
      </c>
      <c r="O124" s="12">
        <f>IF(ShadowAbilities4Scenario5[[#This Row],[takes]]&gt;0,ShadowAbilities4Scenario5[[#This Row],[wins]]/ShadowAbilities4Scenario5[[#This Row],[takes]],0)</f>
        <v>0.33333333333333331</v>
      </c>
      <c r="S124" s="18"/>
    </row>
    <row r="125" spans="11:19" ht="15.75" thickBot="1" x14ac:dyDescent="0.3">
      <c r="K125" s="10" t="s">
        <v>94</v>
      </c>
      <c r="L125" s="2">
        <f>COUNTIF(Scenario5[winner1-ability4],ShadowAbilities4Scenario5[[#This Row],[ability]])+COUNTIF(Scenario5[winner2-ability4],ShadowAbilities4Scenario5[[#This Row],[ability]])+COUNTIF(Scenario5[loser1-ability4],ShadowAbilities4Scenario5[[#This Row],[ability]])+COUNTIF(Scenario5[loser2-ability4],ShadowAbilities4Scenario5[[#This Row],[ability]])</f>
        <v>23</v>
      </c>
      <c r="M125" s="2">
        <f>COUNTIF(Scenario5[winner1-ability4],ShadowAbilities4Scenario5[[#This Row],[ability]])+COUNTIF(Scenario5[winner2-ability4],ShadowAbilities4Scenario5[[#This Row],[ability]])</f>
        <v>10</v>
      </c>
      <c r="N125" s="26">
        <f>IF(SUM(ShadowAbilities4Scenario5[[#This Row],[takes]]) &gt; 0,ShadowAbilities4Scenario5[[#This Row],[takes]]/SUM(ShadowAbilities4Scenario5[takes]),0)</f>
        <v>0.44230769230769229</v>
      </c>
      <c r="O125" s="26">
        <f>IF(ShadowAbilities4Scenario5[[#This Row],[takes]]&gt;0,ShadowAbilities4Scenario5[[#This Row],[wins]]/ShadowAbilities4Scenario5[[#This Row],[takes]],0)</f>
        <v>0.43478260869565216</v>
      </c>
      <c r="P125" s="27"/>
      <c r="Q125" s="27"/>
      <c r="R125" s="27"/>
      <c r="S125" s="28"/>
    </row>
  </sheetData>
  <mergeCells count="7">
    <mergeCell ref="K106:S106"/>
    <mergeCell ref="K85:S85"/>
    <mergeCell ref="A1:I1"/>
    <mergeCell ref="K1:S1"/>
    <mergeCell ref="K22:S22"/>
    <mergeCell ref="K43:S43"/>
    <mergeCell ref="K64:S64"/>
  </mergeCells>
  <pageMargins left="0.7" right="0.7" top="0.75" bottom="0.75" header="0.3" footer="0.3"/>
  <pageSetup paperSize="9" orientation="portrait" r:id="rId1"/>
  <tableParts count="3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7AFB-004D-4175-994B-08B8CCB00629}">
  <dimension ref="A1:V125"/>
  <sheetViews>
    <sheetView workbookViewId="0">
      <selection activeCell="E29" sqref="E29"/>
    </sheetView>
  </sheetViews>
  <sheetFormatPr defaultRowHeight="15" x14ac:dyDescent="0.25"/>
  <cols>
    <col min="1" max="1" width="19.85546875" bestFit="1" customWidth="1"/>
    <col min="2" max="2" width="8" bestFit="1" customWidth="1"/>
    <col min="3" max="3" width="7.42578125" bestFit="1" customWidth="1"/>
    <col min="4" max="4" width="18.42578125" style="3" bestFit="1" customWidth="1"/>
    <col min="5" max="5" width="15.5703125" style="3" bestFit="1" customWidth="1"/>
    <col min="6" max="6" width="3.5703125" customWidth="1"/>
    <col min="7" max="7" width="7.7109375" bestFit="1" customWidth="1"/>
    <col min="8" max="8" width="10.7109375" bestFit="1" customWidth="1"/>
    <col min="9" max="9" width="12.85546875" bestFit="1" customWidth="1"/>
    <col min="10" max="10" width="3.85546875" customWidth="1"/>
    <col min="11" max="11" width="19.85546875" bestFit="1" customWidth="1"/>
    <col min="12" max="12" width="8" bestFit="1" customWidth="1"/>
    <col min="13" max="13" width="7.42578125" bestFit="1" customWidth="1"/>
    <col min="14" max="14" width="18.42578125" bestFit="1" customWidth="1"/>
    <col min="15" max="15" width="15.5703125" bestFit="1" customWidth="1"/>
    <col min="16" max="16" width="4" customWidth="1"/>
    <col min="17" max="17" width="7.7109375" bestFit="1" customWidth="1"/>
    <col min="18" max="18" width="10.7109375" bestFit="1" customWidth="1"/>
    <col min="19" max="19" width="12.85546875" bestFit="1" customWidth="1"/>
    <col min="20" max="20" width="11.85546875" bestFit="1" customWidth="1"/>
    <col min="21" max="21" width="16.85546875" bestFit="1" customWidth="1"/>
    <col min="22" max="22" width="7.140625" bestFit="1" customWidth="1"/>
  </cols>
  <sheetData>
    <row r="1" spans="1:22" ht="15.75" thickBot="1" x14ac:dyDescent="0.3">
      <c r="A1" s="36" t="s">
        <v>181</v>
      </c>
      <c r="B1" s="37"/>
      <c r="C1" s="37"/>
      <c r="D1" s="37"/>
      <c r="E1" s="37"/>
      <c r="F1" s="37"/>
      <c r="G1" s="37"/>
      <c r="H1" s="37"/>
      <c r="I1" s="38"/>
      <c r="K1" s="36" t="s">
        <v>182</v>
      </c>
      <c r="L1" s="37"/>
      <c r="M1" s="37"/>
      <c r="N1" s="37"/>
      <c r="O1" s="37"/>
      <c r="P1" s="37"/>
      <c r="Q1" s="37"/>
      <c r="R1" s="37"/>
      <c r="S1" s="38"/>
      <c r="T1" s="29"/>
      <c r="U1" t="s">
        <v>174</v>
      </c>
      <c r="V1" s="3" t="s">
        <v>175</v>
      </c>
    </row>
    <row r="2" spans="1:22" x14ac:dyDescent="0.25">
      <c r="A2" s="17" t="s">
        <v>109</v>
      </c>
      <c r="B2" t="s">
        <v>110</v>
      </c>
      <c r="C2" t="s">
        <v>79</v>
      </c>
      <c r="D2" s="3" t="s">
        <v>117</v>
      </c>
      <c r="E2" s="3" t="s">
        <v>118</v>
      </c>
      <c r="G2" t="s">
        <v>161</v>
      </c>
      <c r="H2" t="s">
        <v>170</v>
      </c>
      <c r="I2" s="18" t="s">
        <v>164</v>
      </c>
      <c r="K2" s="17" t="s">
        <v>109</v>
      </c>
      <c r="L2" t="s">
        <v>110</v>
      </c>
      <c r="M2" t="s">
        <v>79</v>
      </c>
      <c r="N2" s="3" t="s">
        <v>117</v>
      </c>
      <c r="O2" s="3" t="s">
        <v>118</v>
      </c>
      <c r="Q2" t="s">
        <v>161</v>
      </c>
      <c r="R2" t="s">
        <v>170</v>
      </c>
      <c r="S2" s="18" t="s">
        <v>164</v>
      </c>
      <c r="U2" t="s">
        <v>203</v>
      </c>
      <c r="V2" s="3">
        <f>H4/SUM(LightbringerEquip[hammer])</f>
        <v>0.25827814569536423</v>
      </c>
    </row>
    <row r="3" spans="1:22" x14ac:dyDescent="0.25">
      <c r="A3" t="s">
        <v>72</v>
      </c>
      <c r="B3">
        <f>L3+L24+L45+L66+L87+L108</f>
        <v>292</v>
      </c>
      <c r="C3">
        <f>M3+M24+M45+M66+M87+M108</f>
        <v>105</v>
      </c>
      <c r="D3" s="3">
        <f>IF(SUM(LightbringerAbilities1[[#This Row],[takes]]) &gt; 0,LightbringerAbilities1[[#This Row],[takes]]/SUM(LightbringerAbilities1[takes]),0)</f>
        <v>0.48344370860927155</v>
      </c>
      <c r="E3" s="3">
        <f>IF(LightbringerAbilities1[[#This Row],[takes]]&gt;0,LightbringerAbilities1[[#This Row],[wins]]/LightbringerAbilities1[[#This Row],[takes]],0)</f>
        <v>0.3595890410958904</v>
      </c>
      <c r="G3">
        <v>1</v>
      </c>
      <c r="H3">
        <f>R3+R24+R45+R66+R87+R108</f>
        <v>243</v>
      </c>
      <c r="I3" s="18">
        <f>S3+S24+S45+S66+S87+S108</f>
        <v>410</v>
      </c>
      <c r="K3" t="s">
        <v>72</v>
      </c>
      <c r="L3">
        <f>COUNTIF(Scenario0[winner1-ability1],LightbringerAbilities1Scenario0[[#This Row],[ability]])+COUNTIF(Scenario0[winner2-ability1],LightbringerAbilities1Scenario0[[#This Row],[ability]])+COUNTIF(Scenario0[loser1-ability1],LightbringerAbilities1Scenario0[[#This Row],[ability]])+COUNTIF(Scenario0[loser2-ability1],LightbringerAbilities1Scenario0[[#This Row],[ability]])</f>
        <v>115</v>
      </c>
      <c r="M3">
        <f>COUNTIF(Scenario0[winner1-ability1],LightbringerAbilities1Scenario0[[#This Row],[ability]])+COUNTIF(Scenario0[winner2-ability1],LightbringerAbilities1Scenario0[[#This Row],[ability]])</f>
        <v>38</v>
      </c>
      <c r="N3" s="3">
        <f>IF(SUM(LightbringerAbilities1Scenario0[[#This Row],[takes]]) &gt; 0,LightbringerAbilities1Scenario0[[#This Row],[takes]]/SUM(LightbringerAbilities1Scenario0[takes]),0)</f>
        <v>0.68452380952380953</v>
      </c>
      <c r="O3" s="3">
        <f>IF(LightbringerAbilities1Scenario0[[#This Row],[takes]]&gt;0,LightbringerAbilities1Scenario0[[#This Row],[wins]]/LightbringerAbilities1Scenario0[[#This Row],[takes]],0)</f>
        <v>0.33043478260869563</v>
      </c>
      <c r="Q3">
        <v>1</v>
      </c>
      <c r="R3">
        <f>COUNTIFS(Scenario0[winner1],"lightbringer",Scenario0[winner1-pw],LightbringerEquipScenario0[[#This Row],[level]])+COUNTIFS(Scenario0[winner2],"lightbringer",Scenario0[winner2-pw],LightbringerEquipScenario0[[#This Row],[level]])+COUNTIFS(Scenario0[loser1],"lightbringer",Scenario0[loser1-pw],LightbringerEquipScenario0[[#This Row],[level]])+COUNTIFS(Scenario0[loser2],"lightbringer",Scenario0[loser2-pw],LightbringerEquipScenario0[[#This Row],[level]])</f>
        <v>121</v>
      </c>
      <c r="S3" s="18">
        <f>COUNTIFS(Scenario0[winner1],"lightbringer",Scenario0[winner1-cp],LightbringerEquipScenario0[[#This Row],[level]])+COUNTIFS(Scenario0[winner2],"lightbringer",Scenario0[winner2-cp],LightbringerEquipScenario0[[#This Row],[level]])+COUNTIFS(Scenario0[loser1],"lightbringer",Scenario0[loser1-cp],LightbringerEquipScenario0[[#This Row],[level]])+COUNTIFS(Scenario0[loser2],"lightbringer",Scenario0[loser2-cp],LightbringerEquipScenario0[[#This Row],[level]])</f>
        <v>160</v>
      </c>
      <c r="U3" t="s">
        <v>204</v>
      </c>
      <c r="V3" s="16">
        <f>H5/SUM(LightbringerEquip[hammer])</f>
        <v>0.33940397350993379</v>
      </c>
    </row>
    <row r="4" spans="1:22" x14ac:dyDescent="0.25">
      <c r="A4" t="s">
        <v>145</v>
      </c>
      <c r="B4">
        <f t="shared" ref="B4:B5" si="0">L4+L25+L46+L67+L88+L109</f>
        <v>140</v>
      </c>
      <c r="C4">
        <f t="shared" ref="C4:C5" si="1">M4+M25+M46+M67+M88+M109</f>
        <v>64</v>
      </c>
      <c r="D4" s="3">
        <f>IF(SUM(LightbringerAbilities1[[#This Row],[takes]]) &gt; 0,LightbringerAbilities1[[#This Row],[takes]]/SUM(LightbringerAbilities1[takes]),0)</f>
        <v>0.23178807947019867</v>
      </c>
      <c r="E4" s="3">
        <f>IF(LightbringerAbilities1[[#This Row],[takes]]&gt;0,LightbringerAbilities1[[#This Row],[wins]]/LightbringerAbilities1[[#This Row],[takes]],0)</f>
        <v>0.45714285714285713</v>
      </c>
      <c r="G4">
        <v>2</v>
      </c>
      <c r="H4">
        <f t="shared" ref="H4:H5" si="2">R4+R25+R46+R67+R88+R109</f>
        <v>156</v>
      </c>
      <c r="I4" s="18">
        <f t="shared" ref="I4:I5" si="3">S4+S25+S46+S67+S88+S109</f>
        <v>69</v>
      </c>
      <c r="K4" t="s">
        <v>145</v>
      </c>
      <c r="L4">
        <f>COUNTIF(Scenario0[winner1-ability1],LightbringerAbilities1Scenario0[[#This Row],[ability]])+COUNTIF(Scenario0[winner2-ability1],LightbringerAbilities1Scenario0[[#This Row],[ability]])+COUNTIF(Scenario0[loser1-ability1],LightbringerAbilities1Scenario0[[#This Row],[ability]])+COUNTIF(Scenario0[loser2-ability1],LightbringerAbilities1Scenario0[[#This Row],[ability]])</f>
        <v>2</v>
      </c>
      <c r="M4">
        <f>COUNTIF(Scenario0[winner1-ability1],LightbringerAbilities1Scenario0[[#This Row],[ability]])+COUNTIF(Scenario0[winner2-ability1],LightbringerAbilities1Scenario0[[#This Row],[ability]])</f>
        <v>2</v>
      </c>
      <c r="N4" s="3">
        <f>IF(SUM(LightbringerAbilities1Scenario0[[#This Row],[takes]]) &gt; 0,LightbringerAbilities1Scenario0[[#This Row],[takes]]/SUM(LightbringerAbilities1Scenario0[takes]),0)</f>
        <v>1.1904761904761904E-2</v>
      </c>
      <c r="O4" s="3">
        <f>IF(LightbringerAbilities1Scenario0[[#This Row],[takes]]&gt;0,LightbringerAbilities1Scenario0[[#This Row],[wins]]/LightbringerAbilities1Scenario0[[#This Row],[takes]],0)</f>
        <v>1</v>
      </c>
      <c r="Q4">
        <v>2</v>
      </c>
      <c r="R4">
        <f>COUNTIFS(Scenario0[winner1],"lightbringer",Scenario0[winner1-pw],LightbringerEquipScenario0[[#This Row],[level]])+COUNTIFS(Scenario0[winner2],"lightbringer",Scenario0[winner2-pw],LightbringerEquipScenario0[[#This Row],[level]])+COUNTIFS(Scenario0[loser1],"lightbringer",Scenario0[loser1-pw],LightbringerEquipScenario0[[#This Row],[level]])+COUNTIFS(Scenario0[loser2],"lightbringer",Scenario0[loser2-pw],LightbringerEquipScenario0[[#This Row],[level]])</f>
        <v>39</v>
      </c>
      <c r="S4" s="18">
        <f>COUNTIFS(Scenario0[winner1],"lightbringer",Scenario0[winner1-cp],LightbringerEquipScenario0[[#This Row],[level]])+COUNTIFS(Scenario0[winner2],"lightbringer",Scenario0[winner2-cp],LightbringerEquipScenario0[[#This Row],[level]])+COUNTIFS(Scenario0[loser1],"lightbringer",Scenario0[loser1-cp],LightbringerEquipScenario0[[#This Row],[level]])+COUNTIFS(Scenario0[loser2],"lightbringer",Scenario0[loser2-cp],LightbringerEquipScenario0[[#This Row],[level]])</f>
        <v>8</v>
      </c>
      <c r="U4" t="s">
        <v>179</v>
      </c>
      <c r="V4" s="3">
        <f>LightbringerEquip[[#This Row],[chestpiece]]/SUM(LightbringerEquip[chestpiece])</f>
        <v>0.11423841059602649</v>
      </c>
    </row>
    <row r="5" spans="1:22" x14ac:dyDescent="0.25">
      <c r="A5" t="s">
        <v>103</v>
      </c>
      <c r="B5">
        <f t="shared" si="0"/>
        <v>172</v>
      </c>
      <c r="C5">
        <f t="shared" si="1"/>
        <v>81</v>
      </c>
      <c r="D5" s="3">
        <f>IF(SUM(LightbringerAbilities1[[#This Row],[takes]]) &gt; 0,LightbringerAbilities1[[#This Row],[takes]]/SUM(LightbringerAbilities1[takes]),0)</f>
        <v>0.28476821192052981</v>
      </c>
      <c r="E5" s="3">
        <f>IF(LightbringerAbilities1[[#This Row],[takes]]&gt;0,LightbringerAbilities1[[#This Row],[wins]]/LightbringerAbilities1[[#This Row],[takes]],0)</f>
        <v>0.47093023255813954</v>
      </c>
      <c r="G5">
        <v>3</v>
      </c>
      <c r="H5">
        <f t="shared" si="2"/>
        <v>205</v>
      </c>
      <c r="I5" s="18">
        <f t="shared" si="3"/>
        <v>125</v>
      </c>
      <c r="K5" t="s">
        <v>103</v>
      </c>
      <c r="L5">
        <f>COUNTIF(Scenario0[winner1-ability1],LightbringerAbilities1Scenario0[[#This Row],[ability]])+COUNTIF(Scenario0[winner2-ability1],LightbringerAbilities1Scenario0[[#This Row],[ability]])+COUNTIF(Scenario0[loser1-ability1],LightbringerAbilities1Scenario0[[#This Row],[ability]])+COUNTIF(Scenario0[loser2-ability1],LightbringerAbilities1Scenario0[[#This Row],[ability]])</f>
        <v>51</v>
      </c>
      <c r="M5">
        <f>COUNTIF(Scenario0[winner1-ability1],LightbringerAbilities1Scenario0[[#This Row],[ability]])+COUNTIF(Scenario0[winner2-ability1],LightbringerAbilities1Scenario0[[#This Row],[ability]])</f>
        <v>30</v>
      </c>
      <c r="N5" s="3">
        <f>IF(SUM(LightbringerAbilities1Scenario0[[#This Row],[takes]]) &gt; 0,LightbringerAbilities1Scenario0[[#This Row],[takes]]/SUM(LightbringerAbilities1Scenario0[takes]),0)</f>
        <v>0.30357142857142855</v>
      </c>
      <c r="O5" s="3">
        <f>IF(LightbringerAbilities1Scenario0[[#This Row],[takes]]&gt;0,LightbringerAbilities1Scenario0[[#This Row],[wins]]/LightbringerAbilities1Scenario0[[#This Row],[takes]],0)</f>
        <v>0.58823529411764708</v>
      </c>
      <c r="Q5">
        <v>3</v>
      </c>
      <c r="R5">
        <f>COUNTIFS(Scenario0[winner1],"lightbringer",Scenario0[winner1-pw],LightbringerEquipScenario0[[#This Row],[level]])+COUNTIFS(Scenario0[winner2],"lightbringer",Scenario0[winner2-pw],LightbringerEquipScenario0[[#This Row],[level]])+COUNTIFS(Scenario0[loser1],"lightbringer",Scenario0[loser1-pw],LightbringerEquipScenario0[[#This Row],[level]])+COUNTIFS(Scenario0[loser2],"lightbringer",Scenario0[loser2-pw],LightbringerEquipScenario0[[#This Row],[level]])</f>
        <v>8</v>
      </c>
      <c r="S5" s="18">
        <f>COUNTIFS(Scenario0[winner1],"lightbringer",Scenario0[winner1-cp],LightbringerEquipScenario0[[#This Row],[level]])+COUNTIFS(Scenario0[winner2],"lightbringer",Scenario0[winner2-cp],LightbringerEquipScenario0[[#This Row],[level]])+COUNTIFS(Scenario0[loser1],"lightbringer",Scenario0[loser1-cp],LightbringerEquipScenario0[[#This Row],[level]])+COUNTIFS(Scenario0[loser2],"lightbringer",Scenario0[loser2-cp],LightbringerEquipScenario0[[#This Row],[level]])</f>
        <v>0</v>
      </c>
      <c r="U5" t="s">
        <v>180</v>
      </c>
      <c r="V5" s="16">
        <f>LightbringerEquip[[#This Row],[chestpiece]]/SUM(LightbringerEquip[chestpiece])</f>
        <v>0.20695364238410596</v>
      </c>
    </row>
    <row r="6" spans="1:22" x14ac:dyDescent="0.25">
      <c r="A6" s="17"/>
      <c r="I6" s="18"/>
      <c r="K6" s="17"/>
      <c r="N6" s="3"/>
      <c r="O6" s="3"/>
      <c r="S6" s="18"/>
      <c r="U6" t="s">
        <v>176</v>
      </c>
      <c r="V6" s="3">
        <f>SUM(LightbringerAbilities2[takes])/SUM(LightbringerAbilities1[takes])</f>
        <v>0.86423841059602646</v>
      </c>
    </row>
    <row r="7" spans="1:22" x14ac:dyDescent="0.25">
      <c r="A7" s="19" t="s">
        <v>109</v>
      </c>
      <c r="B7" s="8" t="s">
        <v>110</v>
      </c>
      <c r="C7" s="8" t="s">
        <v>79</v>
      </c>
      <c r="D7" s="9" t="s">
        <v>117</v>
      </c>
      <c r="E7" s="9" t="s">
        <v>118</v>
      </c>
      <c r="I7" s="18"/>
      <c r="K7" s="19" t="s">
        <v>109</v>
      </c>
      <c r="L7" s="8" t="s">
        <v>110</v>
      </c>
      <c r="M7" s="8" t="s">
        <v>79</v>
      </c>
      <c r="N7" s="9" t="s">
        <v>117</v>
      </c>
      <c r="O7" s="9" t="s">
        <v>118</v>
      </c>
      <c r="S7" s="18"/>
      <c r="U7" t="s">
        <v>177</v>
      </c>
      <c r="V7" s="3">
        <f>SUM(LightbringerAbilities3[takes])/SUM(LightbringerAbilities1[takes])</f>
        <v>0.54966887417218546</v>
      </c>
    </row>
    <row r="8" spans="1:22" x14ac:dyDescent="0.25">
      <c r="A8" s="2" t="s">
        <v>95</v>
      </c>
      <c r="B8" s="2">
        <f>L8+L29+L50+L71+L92+L113</f>
        <v>129</v>
      </c>
      <c r="C8" s="2">
        <f>M8+M29+M50+M71+M92+M113</f>
        <v>67</v>
      </c>
      <c r="D8" s="12">
        <f>IF(SUM(LightbringerAbilities2[[#This Row],[takes]]) &gt; 0,LightbringerAbilities2[[#This Row],[takes]]/SUM(LightbringerAbilities2[takes]),0)</f>
        <v>0.2471264367816092</v>
      </c>
      <c r="E8" s="12">
        <f>IF(LightbringerAbilities2[[#This Row],[takes]]&gt;0,LightbringerAbilities2[[#This Row],[wins]]/LightbringerAbilities2[[#This Row],[takes]],0)</f>
        <v>0.51937984496124034</v>
      </c>
      <c r="I8" s="18"/>
      <c r="K8" s="2" t="s">
        <v>95</v>
      </c>
      <c r="L8" s="2">
        <f>COUNTIF(Scenario0[winner1-ability2],LightbringerAbilities2Scenario0[[#This Row],[ability]])+COUNTIF(Scenario0[winner2-ability2],LightbringerAbilities2Scenario0[[#This Row],[ability]])+COUNTIF(Scenario0[loser1-ability2],LightbringerAbilities2Scenario0[[#This Row],[ability]])+COUNTIF(Scenario0[loser2-ability2],LightbringerAbilities2Scenario0[[#This Row],[ability]])</f>
        <v>34</v>
      </c>
      <c r="M8" s="2">
        <f>COUNTIF(Scenario0[winner1-ability2],LightbringerAbilities2Scenario0[[#This Row],[ability]])+COUNTIF(Scenario0[winner2-ability2],LightbringerAbilities2Scenario0[[#This Row],[ability]])</f>
        <v>22</v>
      </c>
      <c r="N8" s="12">
        <f>IF(SUM(LightbringerAbilities2Scenario0[[#This Row],[takes]]) &gt; 0,LightbringerAbilities2Scenario0[[#This Row],[takes]]/SUM(LightbringerAbilities2Scenario0[takes]),0)</f>
        <v>0.32380952380952382</v>
      </c>
      <c r="O8" s="12">
        <f>IF(LightbringerAbilities2Scenario0[[#This Row],[takes]]&gt;0,LightbringerAbilities2Scenario0[[#This Row],[wins]]/LightbringerAbilities2Scenario0[[#This Row],[takes]],0)</f>
        <v>0.6470588235294118</v>
      </c>
      <c r="S8" s="18"/>
      <c r="U8" t="s">
        <v>178</v>
      </c>
      <c r="V8" s="16">
        <f>SUM(LightbringerAbilities4[takes])/SUM(LightbringerAbilities1[takes])</f>
        <v>0.34768211920529801</v>
      </c>
    </row>
    <row r="9" spans="1:22" x14ac:dyDescent="0.25">
      <c r="A9" t="s">
        <v>146</v>
      </c>
      <c r="B9" s="2">
        <f t="shared" ref="B9:B10" si="4">L9+L30+L51+L72+L93+L114</f>
        <v>131</v>
      </c>
      <c r="C9" s="2">
        <f t="shared" ref="C9:C10" si="5">M9+M30+M51+M72+M93+M114</f>
        <v>66</v>
      </c>
      <c r="D9" s="3">
        <f>IF(SUM(LightbringerAbilities2[[#This Row],[takes]]) &gt; 0,LightbringerAbilities2[[#This Row],[takes]]/SUM(LightbringerAbilities2[takes]),0)</f>
        <v>0.25095785440613028</v>
      </c>
      <c r="E9" s="3">
        <f>IF(LightbringerAbilities2[[#This Row],[takes]]&gt;0,LightbringerAbilities2[[#This Row],[wins]]/LightbringerAbilities2[[#This Row],[takes]],0)</f>
        <v>0.50381679389312972</v>
      </c>
      <c r="I9" s="18"/>
      <c r="K9" t="s">
        <v>146</v>
      </c>
      <c r="L9" s="2">
        <f>COUNTIF(Scenario0[winner1-ability2],LightbringerAbilities2Scenario0[[#This Row],[ability]])+COUNTIF(Scenario0[winner2-ability2],LightbringerAbilities2Scenario0[[#This Row],[ability]])+COUNTIF(Scenario0[loser1-ability2],LightbringerAbilities2Scenario0[[#This Row],[ability]])+COUNTIF(Scenario0[loser2-ability2],LightbringerAbilities2Scenario0[[#This Row],[ability]])</f>
        <v>9</v>
      </c>
      <c r="M9" s="2">
        <f>COUNTIF(Scenario0[winner1-ability2],LightbringerAbilities2Scenario0[[#This Row],[ability]])+COUNTIF(Scenario0[winner2-ability2],LightbringerAbilities2Scenario0[[#This Row],[ability]])</f>
        <v>5</v>
      </c>
      <c r="N9" s="3">
        <f>IF(SUM(LightbringerAbilities2Scenario0[[#This Row],[takes]]) &gt; 0,LightbringerAbilities2Scenario0[[#This Row],[takes]]/SUM(LightbringerAbilities2Scenario0[takes]),0)</f>
        <v>8.5714285714285715E-2</v>
      </c>
      <c r="O9" s="3">
        <f>IF(LightbringerAbilities2Scenario0[[#This Row],[takes]]&gt;0,LightbringerAbilities2Scenario0[[#This Row],[wins]]/LightbringerAbilities2Scenario0[[#This Row],[takes]],0)</f>
        <v>0.55555555555555558</v>
      </c>
      <c r="S9" s="18"/>
      <c r="U9" t="s">
        <v>194</v>
      </c>
      <c r="V9" s="33">
        <f>(SUM(LightbringerAbilities2[takes])+SUM(LightbringerAbilities3[takes])+SUM(LightbringerAbilities4[takes])+SUM(H4:H5)+SUM(I4:I5))/SUM(LightbringerAbilities1[takes])</f>
        <v>2.6804635761589406</v>
      </c>
    </row>
    <row r="10" spans="1:22" x14ac:dyDescent="0.25">
      <c r="A10" s="10" t="s">
        <v>91</v>
      </c>
      <c r="B10" s="2">
        <f t="shared" si="4"/>
        <v>262</v>
      </c>
      <c r="C10" s="2">
        <f t="shared" si="5"/>
        <v>97</v>
      </c>
      <c r="D10" s="13">
        <f>IF(SUM(LightbringerAbilities2[[#This Row],[takes]]) &gt; 0,LightbringerAbilities2[[#This Row],[takes]]/SUM(LightbringerAbilities2[takes]),0)</f>
        <v>0.50191570881226055</v>
      </c>
      <c r="E10" s="13">
        <f>IF(LightbringerAbilities2[[#This Row],[takes]]&gt;0,LightbringerAbilities2[[#This Row],[wins]]/LightbringerAbilities2[[#This Row],[takes]],0)</f>
        <v>0.37022900763358779</v>
      </c>
      <c r="I10" s="18"/>
      <c r="K10" s="10" t="s">
        <v>91</v>
      </c>
      <c r="L10" s="2">
        <f>COUNTIF(Scenario0[winner1-ability2],LightbringerAbilities2Scenario0[[#This Row],[ability]])+COUNTIF(Scenario0[winner2-ability2],LightbringerAbilities2Scenario0[[#This Row],[ability]])+COUNTIF(Scenario0[loser1-ability2],LightbringerAbilities2Scenario0[[#This Row],[ability]])+COUNTIF(Scenario0[loser2-ability2],LightbringerAbilities2Scenario0[[#This Row],[ability]])</f>
        <v>62</v>
      </c>
      <c r="M10" s="2">
        <f>COUNTIF(Scenario0[winner1-ability2],LightbringerAbilities2Scenario0[[#This Row],[ability]])+COUNTIF(Scenario0[winner2-ability2],LightbringerAbilities2Scenario0[[#This Row],[ability]])</f>
        <v>26</v>
      </c>
      <c r="N10" s="13">
        <f>IF(SUM(LightbringerAbilities2Scenario0[[#This Row],[takes]]) &gt; 0,LightbringerAbilities2Scenario0[[#This Row],[takes]]/SUM(LightbringerAbilities2Scenario0[takes]),0)</f>
        <v>0.59047619047619049</v>
      </c>
      <c r="O10" s="13">
        <f>IF(LightbringerAbilities2Scenario0[[#This Row],[takes]]&gt;0,LightbringerAbilities2Scenario0[[#This Row],[wins]]/LightbringerAbilities2Scenario0[[#This Row],[takes]],0)</f>
        <v>0.41935483870967744</v>
      </c>
      <c r="S10" s="18"/>
    </row>
    <row r="11" spans="1:22" x14ac:dyDescent="0.25">
      <c r="A11" s="17"/>
      <c r="I11" s="18"/>
      <c r="K11" s="17"/>
      <c r="N11" s="3"/>
      <c r="O11" s="3"/>
      <c r="S11" s="18"/>
    </row>
    <row r="12" spans="1:22" x14ac:dyDescent="0.25">
      <c r="A12" s="19" t="s">
        <v>109</v>
      </c>
      <c r="B12" s="8" t="s">
        <v>110</v>
      </c>
      <c r="C12" s="8" t="s">
        <v>79</v>
      </c>
      <c r="D12" s="9" t="s">
        <v>117</v>
      </c>
      <c r="E12" s="9" t="s">
        <v>118</v>
      </c>
      <c r="I12" s="18"/>
      <c r="K12" s="19" t="s">
        <v>109</v>
      </c>
      <c r="L12" s="8" t="s">
        <v>110</v>
      </c>
      <c r="M12" s="8" t="s">
        <v>79</v>
      </c>
      <c r="N12" s="9" t="s">
        <v>117</v>
      </c>
      <c r="O12" s="9" t="s">
        <v>118</v>
      </c>
      <c r="S12" s="18"/>
    </row>
    <row r="13" spans="1:22" x14ac:dyDescent="0.25">
      <c r="A13" s="1" t="s">
        <v>104</v>
      </c>
      <c r="B13" s="1">
        <f>L13+L34+L55+L76+L97+L118</f>
        <v>80</v>
      </c>
      <c r="C13" s="1">
        <f>M13+M34+M55+M76+M97+M118</f>
        <v>41</v>
      </c>
      <c r="D13" s="14">
        <f>IF(SUM(LightbringerAbilities3[[#This Row],[takes]]) &gt; 0,LightbringerAbilities3[[#This Row],[takes]]/SUM(LightbringerAbilities3[takes]),0)</f>
        <v>0.24096385542168675</v>
      </c>
      <c r="E13" s="14">
        <f>IF(LightbringerAbilities3[[#This Row],[takes]]&gt;0,LightbringerAbilities3[[#This Row],[wins]]/LightbringerAbilities3[[#This Row],[takes]],0)</f>
        <v>0.51249999999999996</v>
      </c>
      <c r="I13" s="18"/>
      <c r="K13" s="1" t="s">
        <v>104</v>
      </c>
      <c r="L13" s="1">
        <f>COUNTIF(Scenario0[winner1-ability3],LightbringerAbilities3Scenario0[[#This Row],[ability]])+COUNTIF(Scenario0[winner2-ability3],LightbringerAbilities3Scenario0[[#This Row],[ability]])+COUNTIF(Scenario0[loser1-ability3],LightbringerAbilities3Scenario0[[#This Row],[ability]])+COUNTIF(Scenario0[loser2-ability3],LightbringerAbilities3Scenario0[[#This Row],[ability]])</f>
        <v>9</v>
      </c>
      <c r="M13" s="1">
        <f>COUNTIF(Scenario0[winner1-ability3],LightbringerAbilities3Scenario0[[#This Row],[ability]])+COUNTIF(Scenario0[winner2-ability3],LightbringerAbilities3Scenario0[[#This Row],[ability]])</f>
        <v>6</v>
      </c>
      <c r="N13" s="14">
        <f>IF(SUM(LightbringerAbilities3Scenario0[[#This Row],[takes]]) &gt; 0,LightbringerAbilities3Scenario0[[#This Row],[takes]]/SUM(LightbringerAbilities3Scenario0[takes]),0)</f>
        <v>0.39130434782608697</v>
      </c>
      <c r="O13" s="14">
        <f>IF(LightbringerAbilities3Scenario0[[#This Row],[takes]]&gt;0,LightbringerAbilities3Scenario0[[#This Row],[wins]]/LightbringerAbilities3Scenario0[[#This Row],[takes]],0)</f>
        <v>0.66666666666666663</v>
      </c>
      <c r="S13" s="18"/>
    </row>
    <row r="14" spans="1:22" x14ac:dyDescent="0.25">
      <c r="A14" s="2" t="s">
        <v>147</v>
      </c>
      <c r="B14" s="2">
        <f t="shared" ref="B14:B15" si="6">L14+L35+L56+L77+L98+L119</f>
        <v>101</v>
      </c>
      <c r="C14" s="2">
        <f t="shared" ref="C14:C15" si="7">M14+M35+M56+M77+M98+M119</f>
        <v>43</v>
      </c>
      <c r="D14" s="12">
        <f>IF(SUM(LightbringerAbilities3[[#This Row],[takes]]) &gt; 0,LightbringerAbilities3[[#This Row],[takes]]/SUM(LightbringerAbilities3[takes]),0)</f>
        <v>0.30421686746987953</v>
      </c>
      <c r="E14" s="12">
        <f>IF(LightbringerAbilities3[[#This Row],[takes]]&gt;0,LightbringerAbilities3[[#This Row],[wins]]/LightbringerAbilities3[[#This Row],[takes]],0)</f>
        <v>0.42574257425742573</v>
      </c>
      <c r="I14" s="18"/>
      <c r="K14" s="2" t="s">
        <v>147</v>
      </c>
      <c r="L14" s="2">
        <f>COUNTIF(Scenario0[winner1-ability3],LightbringerAbilities3Scenario0[[#This Row],[ability]])+COUNTIF(Scenario0[winner2-ability3],LightbringerAbilities3Scenario0[[#This Row],[ability]])+COUNTIF(Scenario0[loser1-ability3],LightbringerAbilities3Scenario0[[#This Row],[ability]])+COUNTIF(Scenario0[loser2-ability3],LightbringerAbilities3Scenario0[[#This Row],[ability]])</f>
        <v>14</v>
      </c>
      <c r="M14" s="2">
        <f>COUNTIF(Scenario0[winner1-ability3],LightbringerAbilities3Scenario0[[#This Row],[ability]])+COUNTIF(Scenario0[winner2-ability3],LightbringerAbilities3Scenario0[[#This Row],[ability]])</f>
        <v>4</v>
      </c>
      <c r="N14" s="12">
        <f>IF(SUM(LightbringerAbilities3Scenario0[[#This Row],[takes]]) &gt; 0,LightbringerAbilities3Scenario0[[#This Row],[takes]]/SUM(LightbringerAbilities3Scenario0[takes]),0)</f>
        <v>0.60869565217391308</v>
      </c>
      <c r="O14" s="12">
        <f>IF(LightbringerAbilities3Scenario0[[#This Row],[takes]]&gt;0,LightbringerAbilities3Scenario0[[#This Row],[wins]]/LightbringerAbilities3Scenario0[[#This Row],[takes]],0)</f>
        <v>0.2857142857142857</v>
      </c>
      <c r="S14" s="18"/>
    </row>
    <row r="15" spans="1:22" x14ac:dyDescent="0.25">
      <c r="A15" s="11" t="s">
        <v>148</v>
      </c>
      <c r="B15" s="1">
        <f t="shared" si="6"/>
        <v>151</v>
      </c>
      <c r="C15" s="1">
        <f t="shared" si="7"/>
        <v>59</v>
      </c>
      <c r="D15" s="15">
        <f>IF(SUM(LightbringerAbilities3[[#This Row],[takes]]) &gt; 0,LightbringerAbilities3[[#This Row],[takes]]/SUM(LightbringerAbilities3[takes]),0)</f>
        <v>0.45481927710843373</v>
      </c>
      <c r="E15" s="15">
        <f>IF(LightbringerAbilities3[[#This Row],[takes]]&gt;0,LightbringerAbilities3[[#This Row],[wins]]/LightbringerAbilities3[[#This Row],[takes]],0)</f>
        <v>0.39072847682119205</v>
      </c>
      <c r="I15" s="18"/>
      <c r="K15" s="11" t="s">
        <v>148</v>
      </c>
      <c r="L15" s="1">
        <f>COUNTIF(Scenario0[winner1-ability3],LightbringerAbilities3Scenario0[[#This Row],[ability]])+COUNTIF(Scenario0[winner2-ability3],LightbringerAbilities3Scenario0[[#This Row],[ability]])+COUNTIF(Scenario0[loser1-ability3],LightbringerAbilities3Scenario0[[#This Row],[ability]])+COUNTIF(Scenario0[loser2-ability3],LightbringerAbilities3Scenario0[[#This Row],[ability]])</f>
        <v>0</v>
      </c>
      <c r="M15" s="1">
        <f>COUNTIF(Scenario0[winner1-ability3],LightbringerAbilities3Scenario0[[#This Row],[ability]])+COUNTIF(Scenario0[winner2-ability3],LightbringerAbilities3Scenario0[[#This Row],[ability]])</f>
        <v>0</v>
      </c>
      <c r="N15" s="15">
        <f>IF(SUM(LightbringerAbilities3Scenario0[[#This Row],[takes]]) &gt; 0,LightbringerAbilities3Scenario0[[#This Row],[takes]]/SUM(LightbringerAbilities3Scenario0[takes]),0)</f>
        <v>0</v>
      </c>
      <c r="O15" s="15">
        <f>IF(LightbringerAbilities3Scenario0[[#This Row],[takes]]&gt;0,LightbringerAbilities3Scenario0[[#This Row],[wins]]/LightbringerAbilities3Scenario0[[#This Row],[takes]],0)</f>
        <v>0</v>
      </c>
      <c r="S15" s="18"/>
    </row>
    <row r="16" spans="1:22" x14ac:dyDescent="0.25">
      <c r="A16" s="17"/>
      <c r="I16" s="18"/>
      <c r="K16" s="17"/>
      <c r="N16" s="3"/>
      <c r="O16" s="3"/>
      <c r="S16" s="18"/>
    </row>
    <row r="17" spans="1:20" x14ac:dyDescent="0.25">
      <c r="A17" s="19" t="s">
        <v>109</v>
      </c>
      <c r="B17" s="8" t="s">
        <v>110</v>
      </c>
      <c r="C17" s="8" t="s">
        <v>79</v>
      </c>
      <c r="D17" s="9" t="s">
        <v>117</v>
      </c>
      <c r="E17" s="9" t="s">
        <v>118</v>
      </c>
      <c r="I17" s="18"/>
      <c r="K17" s="19" t="s">
        <v>109</v>
      </c>
      <c r="L17" s="8" t="s">
        <v>110</v>
      </c>
      <c r="M17" s="8" t="s">
        <v>79</v>
      </c>
      <c r="N17" s="9" t="s">
        <v>117</v>
      </c>
      <c r="O17" s="9" t="s">
        <v>118</v>
      </c>
      <c r="S17" s="18"/>
    </row>
    <row r="18" spans="1:20" x14ac:dyDescent="0.25">
      <c r="A18" s="2" t="s">
        <v>149</v>
      </c>
      <c r="B18" s="2">
        <f>L18+L39+L60+L81+L102+L123</f>
        <v>21</v>
      </c>
      <c r="C18" s="2">
        <f>M18+M39+M60+M81+M102+M123</f>
        <v>14</v>
      </c>
      <c r="D18" s="12">
        <f>IF(SUM(LightbringerAbilities4[[#This Row],[takes]]) &gt; 0,LightbringerAbilities4[[#This Row],[takes]]/SUM(LightbringerAbilities4[takes]),0)</f>
        <v>0.1</v>
      </c>
      <c r="E18" s="12">
        <f>IF(LightbringerAbilities4[[#This Row],[takes]]&gt;0,LightbringerAbilities4[[#This Row],[wins]]/LightbringerAbilities4[[#This Row],[takes]],0)</f>
        <v>0.66666666666666663</v>
      </c>
      <c r="I18" s="18"/>
      <c r="K18" s="2" t="s">
        <v>149</v>
      </c>
      <c r="L18" s="2">
        <f>COUNTIF(Scenario0[winner1-ability4],LightbringerAbilities4Scenario0[[#This Row],[ability]])+COUNTIF(Scenario0[winner2-ability4],LightbringerAbilities4Scenario0[[#This Row],[ability]])+COUNTIF(Scenario0[loser1-ability4],LightbringerAbilities4Scenario0[[#This Row],[ability]])+COUNTIF(Scenario0[loser2-ability4],LightbringerAbilities4Scenario0[[#This Row],[ability]])</f>
        <v>1</v>
      </c>
      <c r="M18" s="2">
        <f>COUNTIF(Scenario0[winner1-ability4],LightbringerAbilities4Scenario0[[#This Row],[ability]])+COUNTIF(Scenario0[winner2-ability4],LightbringerAbilities4Scenario0[[#This Row],[ability]])</f>
        <v>1</v>
      </c>
      <c r="N18" s="12">
        <f>IF(SUM(LightbringerAbilities4Scenario0[[#This Row],[takes]]) &gt; 0,LightbringerAbilities4Scenario0[[#This Row],[takes]]/SUM(LightbringerAbilities4Scenario0[takes]),0)</f>
        <v>0.5</v>
      </c>
      <c r="O18" s="12">
        <f>IF(LightbringerAbilities4Scenario0[[#This Row],[takes]]&gt;0,LightbringerAbilities4Scenario0[[#This Row],[wins]]/LightbringerAbilities4Scenario0[[#This Row],[takes]],0)</f>
        <v>1</v>
      </c>
      <c r="S18" s="18"/>
    </row>
    <row r="19" spans="1:20" x14ac:dyDescent="0.25">
      <c r="A19" s="2" t="s">
        <v>150</v>
      </c>
      <c r="B19" s="2">
        <f t="shared" ref="B19:B20" si="8">L19+L40+L61+L82+L103+L124</f>
        <v>60</v>
      </c>
      <c r="C19" s="2">
        <f t="shared" ref="C19:C20" si="9">M19+M40+M61+M82+M103+M124</f>
        <v>44</v>
      </c>
      <c r="D19" s="12">
        <f>IF(SUM(LightbringerAbilities4[[#This Row],[takes]]) &gt; 0,LightbringerAbilities4[[#This Row],[takes]]/SUM(LightbringerAbilities4[takes]),0)</f>
        <v>0.2857142857142857</v>
      </c>
      <c r="E19" s="12">
        <f>IF(LightbringerAbilities4[[#This Row],[takes]]&gt;0,LightbringerAbilities4[[#This Row],[wins]]/LightbringerAbilities4[[#This Row],[takes]],0)</f>
        <v>0.73333333333333328</v>
      </c>
      <c r="I19" s="18"/>
      <c r="K19" s="2" t="s">
        <v>150</v>
      </c>
      <c r="L19" s="2">
        <f>COUNTIF(Scenario0[winner1-ability4],LightbringerAbilities4Scenario0[[#This Row],[ability]])+COUNTIF(Scenario0[winner2-ability4],LightbringerAbilities4Scenario0[[#This Row],[ability]])+COUNTIF(Scenario0[loser1-ability4],LightbringerAbilities4Scenario0[[#This Row],[ability]])+COUNTIF(Scenario0[loser2-ability4],LightbringerAbilities4Scenario0[[#This Row],[ability]])</f>
        <v>0</v>
      </c>
      <c r="M19" s="2">
        <f>COUNTIF(Scenario0[winner1-ability4],LightbringerAbilities4Scenario0[[#This Row],[ability]])+COUNTIF(Scenario0[winner2-ability4],LightbringerAbilities4Scenario0[[#This Row],[ability]])</f>
        <v>0</v>
      </c>
      <c r="N19" s="12">
        <f>IF(SUM(LightbringerAbilities4Scenario0[[#This Row],[takes]]) &gt; 0,LightbringerAbilities4Scenario0[[#This Row],[takes]]/SUM(LightbringerAbilities4Scenario0[takes]),0)</f>
        <v>0</v>
      </c>
      <c r="O19" s="12">
        <f>IF(LightbringerAbilities4Scenario0[[#This Row],[takes]]&gt;0,LightbringerAbilities4Scenario0[[#This Row],[wins]]/LightbringerAbilities4Scenario0[[#This Row],[takes]],0)</f>
        <v>0</v>
      </c>
      <c r="S19" s="18"/>
    </row>
    <row r="20" spans="1:20" ht="15.75" thickBot="1" x14ac:dyDescent="0.3">
      <c r="A20" s="10" t="s">
        <v>151</v>
      </c>
      <c r="B20" s="2">
        <f t="shared" si="8"/>
        <v>129</v>
      </c>
      <c r="C20" s="2">
        <f t="shared" si="9"/>
        <v>46</v>
      </c>
      <c r="D20" s="26">
        <f>IF(SUM(LightbringerAbilities4[[#This Row],[takes]]) &gt; 0,LightbringerAbilities4[[#This Row],[takes]]/SUM(LightbringerAbilities4[takes]),0)</f>
        <v>0.61428571428571432</v>
      </c>
      <c r="E20" s="26">
        <f>IF(LightbringerAbilities4[[#This Row],[takes]]&gt;0,LightbringerAbilities4[[#This Row],[wins]]/LightbringerAbilities4[[#This Row],[takes]],0)</f>
        <v>0.35658914728682173</v>
      </c>
      <c r="F20" s="27"/>
      <c r="G20" s="27"/>
      <c r="H20" s="27"/>
      <c r="I20" s="28"/>
      <c r="K20" s="10" t="s">
        <v>151</v>
      </c>
      <c r="L20" s="25">
        <f>COUNTIF(Scenario0[winner1-ability4],LightbringerAbilities4Scenario0[[#This Row],[ability]])+COUNTIF(Scenario0[winner2-ability4],LightbringerAbilities4Scenario0[[#This Row],[ability]])+COUNTIF(Scenario0[loser1-ability4],LightbringerAbilities4Scenario0[[#This Row],[ability]])+COUNTIF(Scenario0[loser2-ability4],LightbringerAbilities4Scenario0[[#This Row],[ability]])</f>
        <v>1</v>
      </c>
      <c r="M20" s="25">
        <f>COUNTIF(Scenario0[winner1-ability4],LightbringerAbilities4Scenario0[[#This Row],[ability]])+COUNTIF(Scenario0[winner2-ability4],LightbringerAbilities4Scenario0[[#This Row],[ability]])</f>
        <v>1</v>
      </c>
      <c r="N20" s="26">
        <f>IF(SUM(LightbringerAbilities4Scenario0[[#This Row],[takes]]) &gt; 0,LightbringerAbilities4Scenario0[[#This Row],[takes]]/SUM(LightbringerAbilities4Scenario0[takes]),0)</f>
        <v>0.5</v>
      </c>
      <c r="O20" s="26">
        <f>IF(LightbringerAbilities4Scenario0[[#This Row],[takes]]&gt;0,LightbringerAbilities4Scenario0[[#This Row],[wins]]/LightbringerAbilities4Scenario0[[#This Row],[takes]],0)</f>
        <v>1</v>
      </c>
      <c r="P20" s="27"/>
      <c r="Q20" s="27"/>
      <c r="R20" s="27"/>
      <c r="S20" s="28"/>
    </row>
    <row r="21" spans="1:20" ht="15.75" thickBot="1" x14ac:dyDescent="0.3"/>
    <row r="22" spans="1:20" ht="15.75" thickBot="1" x14ac:dyDescent="0.3">
      <c r="K22" s="36" t="s">
        <v>183</v>
      </c>
      <c r="L22" s="37"/>
      <c r="M22" s="37"/>
      <c r="N22" s="37"/>
      <c r="O22" s="37"/>
      <c r="P22" s="37"/>
      <c r="Q22" s="37"/>
      <c r="R22" s="37"/>
      <c r="S22" s="38"/>
      <c r="T22" s="29"/>
    </row>
    <row r="23" spans="1:20" x14ac:dyDescent="0.25">
      <c r="K23" s="17" t="s">
        <v>109</v>
      </c>
      <c r="L23" t="s">
        <v>110</v>
      </c>
      <c r="M23" t="s">
        <v>79</v>
      </c>
      <c r="N23" s="3" t="s">
        <v>117</v>
      </c>
      <c r="O23" s="3" t="s">
        <v>118</v>
      </c>
      <c r="Q23" t="s">
        <v>161</v>
      </c>
      <c r="R23" t="s">
        <v>170</v>
      </c>
      <c r="S23" s="18" t="s">
        <v>164</v>
      </c>
    </row>
    <row r="24" spans="1:20" x14ac:dyDescent="0.25">
      <c r="K24" t="s">
        <v>72</v>
      </c>
      <c r="L24">
        <f>COUNTIF(Scenario1[winner1-ability1],LightbringerAbilities1Scenario1[[#This Row],[ability]])+COUNTIF(Scenario1[winner2-ability1],LightbringerAbilities1Scenario1[[#This Row],[ability]])+COUNTIF(Scenario1[loser1-ability1],LightbringerAbilities1Scenario1[[#This Row],[ability]])+COUNTIF(Scenario1[loser2-ability1],LightbringerAbilities1Scenario1[[#This Row],[ability]])</f>
        <v>144</v>
      </c>
      <c r="M24">
        <f>COUNTIF(Scenario1[winner1-ability1],LightbringerAbilities1Scenario1[[#This Row],[ability]])+COUNTIF(Scenario1[winner2-ability1],LightbringerAbilities1Scenario1[[#This Row],[ability]])</f>
        <v>48</v>
      </c>
      <c r="N24" s="3">
        <f>IF(SUM(LightbringerAbilities1Scenario1[[#This Row],[takes]]) &gt; 0,LightbringerAbilities1Scenario1[[#This Row],[takes]]/SUM(LightbringerAbilities1Scenario1[takes]),0)</f>
        <v>0.8571428571428571</v>
      </c>
      <c r="O24" s="3">
        <f>IF(LightbringerAbilities1Scenario1[[#This Row],[takes]]&gt;0,LightbringerAbilities1Scenario1[[#This Row],[wins]]/LightbringerAbilities1Scenario1[[#This Row],[takes]],0)</f>
        <v>0.33333333333333331</v>
      </c>
      <c r="Q24">
        <v>1</v>
      </c>
      <c r="R24">
        <f>COUNTIFS(Scenario1[winner1],"lightbringer",Scenario1[winner1-pw],LightbringerEquipScenario1[[#This Row],[level]])+COUNTIFS(Scenario1[winner2],"lightbringer",Scenario1[winner2-pw],LightbringerEquipScenario1[[#This Row],[level]])+COUNTIFS(Scenario1[loser1],"lightbringer",Scenario1[loser1-pw],LightbringerEquipScenario1[[#This Row],[level]])+COUNTIFS(Scenario1[loser2],"lightbringer",Scenario1[loser2-pw],LightbringerEquipScenario1[[#This Row],[level]])</f>
        <v>45</v>
      </c>
      <c r="S24" s="18">
        <f>COUNTIFS(Scenario1[winner1],"lightbringer",Scenario1[winner1-cp],LightbringerEquipScenario1[[#This Row],[level]])+COUNTIFS(Scenario1[winner2],"lightbringer",Scenario1[winner2-cp],LightbringerEquipScenario1[[#This Row],[level]])+COUNTIFS(Scenario1[loser1],"lightbringer",Scenario1[loser1-cp],LightbringerEquipScenario1[[#This Row],[level]])+COUNTIFS(Scenario1[loser2],"lightbringer",Scenario1[loser2-cp],LightbringerEquipScenario1[[#This Row],[level]])</f>
        <v>154</v>
      </c>
    </row>
    <row r="25" spans="1:20" x14ac:dyDescent="0.25">
      <c r="K25" t="s">
        <v>145</v>
      </c>
      <c r="L25">
        <f>COUNTIF(Scenario1[winner1-ability1],LightbringerAbilities1Scenario1[[#This Row],[ability]])+COUNTIF(Scenario1[winner2-ability1],LightbringerAbilities1Scenario1[[#This Row],[ability]])+COUNTIF(Scenario1[loser1-ability1],LightbringerAbilities1Scenario1[[#This Row],[ability]])+COUNTIF(Scenario1[loser2-ability1],LightbringerAbilities1Scenario1[[#This Row],[ability]])</f>
        <v>0</v>
      </c>
      <c r="M25">
        <f>COUNTIF(Scenario1[winner1-ability1],LightbringerAbilities1Scenario1[[#This Row],[ability]])+COUNTIF(Scenario1[winner2-ability1],LightbringerAbilities1Scenario1[[#This Row],[ability]])</f>
        <v>0</v>
      </c>
      <c r="N25" s="3">
        <f>IF(SUM(LightbringerAbilities1Scenario1[[#This Row],[takes]]) &gt; 0,LightbringerAbilities1Scenario1[[#This Row],[takes]]/SUM(LightbringerAbilities1Scenario1[takes]),0)</f>
        <v>0</v>
      </c>
      <c r="O25" s="3">
        <f>IF(LightbringerAbilities1Scenario1[[#This Row],[takes]]&gt;0,LightbringerAbilities1Scenario1[[#This Row],[wins]]/LightbringerAbilities1Scenario1[[#This Row],[takes]],0)</f>
        <v>0</v>
      </c>
      <c r="Q25">
        <v>2</v>
      </c>
      <c r="R25">
        <f>COUNTIFS(Scenario1[winner1],"lightbringer",Scenario1[winner1-pw],LightbringerEquipScenario1[[#This Row],[level]])+COUNTIFS(Scenario1[winner2],"lightbringer",Scenario1[winner2-pw],LightbringerEquipScenario1[[#This Row],[level]])+COUNTIFS(Scenario1[loser1],"lightbringer",Scenario1[loser1-pw],LightbringerEquipScenario1[[#This Row],[level]])+COUNTIFS(Scenario1[loser2],"lightbringer",Scenario1[loser2-pw],LightbringerEquipScenario1[[#This Row],[level]])</f>
        <v>73</v>
      </c>
      <c r="S25" s="18">
        <f>COUNTIFS(Scenario1[winner1],"lightbringer",Scenario1[winner1-cp],LightbringerEquipScenario1[[#This Row],[level]])+COUNTIFS(Scenario1[winner2],"lightbringer",Scenario1[winner2-cp],LightbringerEquipScenario1[[#This Row],[level]])+COUNTIFS(Scenario1[loser1],"lightbringer",Scenario1[loser1-cp],LightbringerEquipScenario1[[#This Row],[level]])+COUNTIFS(Scenario1[loser2],"lightbringer",Scenario1[loser2-cp],LightbringerEquipScenario1[[#This Row],[level]])</f>
        <v>8</v>
      </c>
    </row>
    <row r="26" spans="1:20" x14ac:dyDescent="0.25">
      <c r="K26" t="s">
        <v>103</v>
      </c>
      <c r="L26">
        <f>COUNTIF(Scenario1[winner1-ability1],LightbringerAbilities1Scenario1[[#This Row],[ability]])+COUNTIF(Scenario1[winner2-ability1],LightbringerAbilities1Scenario1[[#This Row],[ability]])+COUNTIF(Scenario1[loser1-ability1],LightbringerAbilities1Scenario1[[#This Row],[ability]])+COUNTIF(Scenario1[loser2-ability1],LightbringerAbilities1Scenario1[[#This Row],[ability]])</f>
        <v>24</v>
      </c>
      <c r="M26">
        <f>COUNTIF(Scenario1[winner1-ability1],LightbringerAbilities1Scenario1[[#This Row],[ability]])+COUNTIF(Scenario1[winner2-ability1],LightbringerAbilities1Scenario1[[#This Row],[ability]])</f>
        <v>14</v>
      </c>
      <c r="N26" s="3">
        <f>IF(SUM(LightbringerAbilities1Scenario1[[#This Row],[takes]]) &gt; 0,LightbringerAbilities1Scenario1[[#This Row],[takes]]/SUM(LightbringerAbilities1Scenario1[takes]),0)</f>
        <v>0.14285714285714285</v>
      </c>
      <c r="O26" s="3">
        <f>IF(LightbringerAbilities1Scenario1[[#This Row],[takes]]&gt;0,LightbringerAbilities1Scenario1[[#This Row],[wins]]/LightbringerAbilities1Scenario1[[#This Row],[takes]],0)</f>
        <v>0.58333333333333337</v>
      </c>
      <c r="Q26">
        <v>3</v>
      </c>
      <c r="R26">
        <f>COUNTIFS(Scenario1[winner1],"lightbringer",Scenario1[winner1-pw],LightbringerEquipScenario1[[#This Row],[level]])+COUNTIFS(Scenario1[winner2],"lightbringer",Scenario1[winner2-pw],LightbringerEquipScenario1[[#This Row],[level]])+COUNTIFS(Scenario1[loser1],"lightbringer",Scenario1[loser1-pw],LightbringerEquipScenario1[[#This Row],[level]])+COUNTIFS(Scenario1[loser2],"lightbringer",Scenario1[loser2-pw],LightbringerEquipScenario1[[#This Row],[level]])</f>
        <v>50</v>
      </c>
      <c r="S26" s="18">
        <f>COUNTIFS(Scenario1[winner1],"lightbringer",Scenario1[winner1-cp],LightbringerEquipScenario1[[#This Row],[level]])+COUNTIFS(Scenario1[winner2],"lightbringer",Scenario1[winner2-cp],LightbringerEquipScenario1[[#This Row],[level]])+COUNTIFS(Scenario1[loser1],"lightbringer",Scenario1[loser1-cp],LightbringerEquipScenario1[[#This Row],[level]])+COUNTIFS(Scenario1[loser2],"lightbringer",Scenario1[loser2-cp],LightbringerEquipScenario1[[#This Row],[level]])</f>
        <v>6</v>
      </c>
    </row>
    <row r="27" spans="1:20" x14ac:dyDescent="0.25">
      <c r="K27" s="17"/>
      <c r="N27" s="3"/>
      <c r="O27" s="3"/>
      <c r="S27" s="18"/>
    </row>
    <row r="28" spans="1:20" x14ac:dyDescent="0.25">
      <c r="K28" s="19" t="s">
        <v>109</v>
      </c>
      <c r="L28" s="8" t="s">
        <v>110</v>
      </c>
      <c r="M28" s="8" t="s">
        <v>79</v>
      </c>
      <c r="N28" s="9" t="s">
        <v>117</v>
      </c>
      <c r="O28" s="9" t="s">
        <v>118</v>
      </c>
      <c r="S28" s="18"/>
    </row>
    <row r="29" spans="1:20" x14ac:dyDescent="0.25">
      <c r="K29" s="2" t="s">
        <v>95</v>
      </c>
      <c r="L29" s="2">
        <f>COUNTIF(Scenario1[winner1-ability2],LightbringerAbilities2Scenario1[[#This Row],[ability]])+COUNTIF(Scenario1[winner2-ability2],LightbringerAbilities2Scenario1[[#This Row],[ability]])+COUNTIF(Scenario1[loser1-ability2],LightbringerAbilities2Scenario1[[#This Row],[ability]])+COUNTIF(Scenario1[loser2-ability2],LightbringerAbilities2Scenario1[[#This Row],[ability]])</f>
        <v>79</v>
      </c>
      <c r="M29" s="2">
        <f>COUNTIF(Scenario1[winner1-ability2],LightbringerAbilities2Scenario1[[#This Row],[ability]])+COUNTIF(Scenario1[winner2-ability2],LightbringerAbilities2Scenario1[[#This Row],[ability]])</f>
        <v>34</v>
      </c>
      <c r="N29" s="12">
        <f>IF(SUM(LightbringerAbilities2Scenario1[[#This Row],[takes]]) &gt; 0,LightbringerAbilities2Scenario1[[#This Row],[takes]]/SUM(LightbringerAbilities2Scenario1[takes]),0)</f>
        <v>0.5163398692810458</v>
      </c>
      <c r="O29" s="12">
        <f>IF(LightbringerAbilities2Scenario1[[#This Row],[takes]]&gt;0,LightbringerAbilities2Scenario1[[#This Row],[wins]]/LightbringerAbilities2Scenario1[[#This Row],[takes]],0)</f>
        <v>0.43037974683544306</v>
      </c>
      <c r="S29" s="18"/>
    </row>
    <row r="30" spans="1:20" x14ac:dyDescent="0.25">
      <c r="K30" t="s">
        <v>146</v>
      </c>
      <c r="L30" s="2">
        <f>COUNTIF(Scenario1[winner1-ability2],LightbringerAbilities2Scenario1[[#This Row],[ability]])+COUNTIF(Scenario1[winner2-ability2],LightbringerAbilities2Scenario1[[#This Row],[ability]])+COUNTIF(Scenario1[loser1-ability2],LightbringerAbilities2Scenario1[[#This Row],[ability]])+COUNTIF(Scenario1[loser2-ability2],LightbringerAbilities2Scenario1[[#This Row],[ability]])</f>
        <v>24</v>
      </c>
      <c r="M30" s="2">
        <f>COUNTIF(Scenario1[winner1-ability2],LightbringerAbilities2Scenario1[[#This Row],[ability]])+COUNTIF(Scenario1[winner2-ability2],LightbringerAbilities2Scenario1[[#This Row],[ability]])</f>
        <v>12</v>
      </c>
      <c r="N30" s="3">
        <f>IF(SUM(LightbringerAbilities2Scenario1[[#This Row],[takes]]) &gt; 0,LightbringerAbilities2Scenario1[[#This Row],[takes]]/SUM(LightbringerAbilities2Scenario1[takes]),0)</f>
        <v>0.15686274509803921</v>
      </c>
      <c r="O30" s="3">
        <f>IF(LightbringerAbilities2Scenario1[[#This Row],[takes]]&gt;0,LightbringerAbilities2Scenario1[[#This Row],[wins]]/LightbringerAbilities2Scenario1[[#This Row],[takes]],0)</f>
        <v>0.5</v>
      </c>
      <c r="S30" s="18"/>
    </row>
    <row r="31" spans="1:20" x14ac:dyDescent="0.25">
      <c r="K31" s="10" t="s">
        <v>91</v>
      </c>
      <c r="L31" s="2">
        <f>COUNTIF(Scenario1[winner1-ability2],LightbringerAbilities2Scenario1[[#This Row],[ability]])+COUNTIF(Scenario1[winner2-ability2],LightbringerAbilities2Scenario1[[#This Row],[ability]])+COUNTIF(Scenario1[loser1-ability2],LightbringerAbilities2Scenario1[[#This Row],[ability]])+COUNTIF(Scenario1[loser2-ability2],LightbringerAbilities2Scenario1[[#This Row],[ability]])</f>
        <v>50</v>
      </c>
      <c r="M31" s="2">
        <f>COUNTIF(Scenario1[winner1-ability2],LightbringerAbilities2Scenario1[[#This Row],[ability]])+COUNTIF(Scenario1[winner2-ability2],LightbringerAbilities2Scenario1[[#This Row],[ability]])</f>
        <v>14</v>
      </c>
      <c r="N31" s="13">
        <f>IF(SUM(LightbringerAbilities2Scenario1[[#This Row],[takes]]) &gt; 0,LightbringerAbilities2Scenario1[[#This Row],[takes]]/SUM(LightbringerAbilities2Scenario1[takes]),0)</f>
        <v>0.32679738562091504</v>
      </c>
      <c r="O31" s="13">
        <f>IF(LightbringerAbilities2Scenario1[[#This Row],[takes]]&gt;0,LightbringerAbilities2Scenario1[[#This Row],[wins]]/LightbringerAbilities2Scenario1[[#This Row],[takes]],0)</f>
        <v>0.28000000000000003</v>
      </c>
      <c r="S31" s="18"/>
    </row>
    <row r="32" spans="1:20" x14ac:dyDescent="0.25">
      <c r="K32" s="17"/>
      <c r="N32" s="3"/>
      <c r="O32" s="3"/>
      <c r="S32" s="18"/>
    </row>
    <row r="33" spans="11:20" x14ac:dyDescent="0.25">
      <c r="K33" s="19" t="s">
        <v>109</v>
      </c>
      <c r="L33" s="8" t="s">
        <v>110</v>
      </c>
      <c r="M33" s="8" t="s">
        <v>79</v>
      </c>
      <c r="N33" s="9" t="s">
        <v>117</v>
      </c>
      <c r="O33" s="9" t="s">
        <v>118</v>
      </c>
      <c r="S33" s="18"/>
    </row>
    <row r="34" spans="11:20" x14ac:dyDescent="0.25">
      <c r="K34" s="1" t="s">
        <v>104</v>
      </c>
      <c r="L34" s="1">
        <f>COUNTIF(Scenario1[winner1-ability3],LightbringerAbilities3Scenario1[[#This Row],[ability]])+COUNTIF(Scenario1[winner2-ability3],LightbringerAbilities3Scenario1[[#This Row],[ability]])+COUNTIF(Scenario1[loser1-ability3],LightbringerAbilities3Scenario1[[#This Row],[ability]])+COUNTIF(Scenario1[loser2-ability3],LightbringerAbilities3Scenario1[[#This Row],[ability]])</f>
        <v>31</v>
      </c>
      <c r="M34" s="1">
        <f>COUNTIF(Scenario1[winner1-ability3],LightbringerAbilities3Scenario1[[#This Row],[ability]])+COUNTIF(Scenario1[winner2-ability3],LightbringerAbilities3Scenario1[[#This Row],[ability]])</f>
        <v>16</v>
      </c>
      <c r="N34" s="14">
        <f>IF(SUM(LightbringerAbilities3Scenario1[[#This Row],[takes]]) &gt; 0,LightbringerAbilities3Scenario1[[#This Row],[takes]]/SUM(LightbringerAbilities3Scenario1[takes]),0)</f>
        <v>0.41891891891891891</v>
      </c>
      <c r="O34" s="14">
        <f>IF(LightbringerAbilities3Scenario1[[#This Row],[takes]]&gt;0,LightbringerAbilities3Scenario1[[#This Row],[wins]]/LightbringerAbilities3Scenario1[[#This Row],[takes]],0)</f>
        <v>0.5161290322580645</v>
      </c>
      <c r="S34" s="18"/>
    </row>
    <row r="35" spans="11:20" x14ac:dyDescent="0.25">
      <c r="K35" s="2" t="s">
        <v>147</v>
      </c>
      <c r="L35" s="2">
        <f>COUNTIF(Scenario1[winner1-ability3],LightbringerAbilities3Scenario1[[#This Row],[ability]])+COUNTIF(Scenario1[winner2-ability3],LightbringerAbilities3Scenario1[[#This Row],[ability]])+COUNTIF(Scenario1[loser1-ability3],LightbringerAbilities3Scenario1[[#This Row],[ability]])+COUNTIF(Scenario1[loser2-ability3],LightbringerAbilities3Scenario1[[#This Row],[ability]])</f>
        <v>34</v>
      </c>
      <c r="M35" s="2">
        <f>COUNTIF(Scenario1[winner1-ability3],LightbringerAbilities3Scenario1[[#This Row],[ability]])+COUNTIF(Scenario1[winner2-ability3],LightbringerAbilities3Scenario1[[#This Row],[ability]])</f>
        <v>8</v>
      </c>
      <c r="N35" s="12">
        <f>IF(SUM(LightbringerAbilities3Scenario1[[#This Row],[takes]]) &gt; 0,LightbringerAbilities3Scenario1[[#This Row],[takes]]/SUM(LightbringerAbilities3Scenario1[takes]),0)</f>
        <v>0.45945945945945948</v>
      </c>
      <c r="O35" s="12">
        <f>IF(LightbringerAbilities3Scenario1[[#This Row],[takes]]&gt;0,LightbringerAbilities3Scenario1[[#This Row],[wins]]/LightbringerAbilities3Scenario1[[#This Row],[takes]],0)</f>
        <v>0.23529411764705882</v>
      </c>
      <c r="S35" s="18"/>
    </row>
    <row r="36" spans="11:20" x14ac:dyDescent="0.25">
      <c r="K36" s="11" t="s">
        <v>148</v>
      </c>
      <c r="L36" s="1">
        <f>COUNTIF(Scenario1[winner1-ability3],LightbringerAbilities3Scenario1[[#This Row],[ability]])+COUNTIF(Scenario1[winner2-ability3],LightbringerAbilities3Scenario1[[#This Row],[ability]])+COUNTIF(Scenario1[loser1-ability3],LightbringerAbilities3Scenario1[[#This Row],[ability]])+COUNTIF(Scenario1[loser2-ability3],LightbringerAbilities3Scenario1[[#This Row],[ability]])</f>
        <v>9</v>
      </c>
      <c r="M36" s="1">
        <f>COUNTIF(Scenario1[winner1-ability3],LightbringerAbilities3Scenario1[[#This Row],[ability]])+COUNTIF(Scenario1[winner2-ability3],LightbringerAbilities3Scenario1[[#This Row],[ability]])</f>
        <v>3</v>
      </c>
      <c r="N36" s="15">
        <f>IF(SUM(LightbringerAbilities3Scenario1[[#This Row],[takes]]) &gt; 0,LightbringerAbilities3Scenario1[[#This Row],[takes]]/SUM(LightbringerAbilities3Scenario1[takes]),0)</f>
        <v>0.12162162162162163</v>
      </c>
      <c r="O36" s="15">
        <f>IF(LightbringerAbilities3Scenario1[[#This Row],[takes]]&gt;0,LightbringerAbilities3Scenario1[[#This Row],[wins]]/LightbringerAbilities3Scenario1[[#This Row],[takes]],0)</f>
        <v>0.33333333333333331</v>
      </c>
      <c r="S36" s="18"/>
    </row>
    <row r="37" spans="11:20" x14ac:dyDescent="0.25">
      <c r="K37" s="17"/>
      <c r="N37" s="3"/>
      <c r="O37" s="3"/>
      <c r="S37" s="18"/>
    </row>
    <row r="38" spans="11:20" x14ac:dyDescent="0.25">
      <c r="K38" s="19" t="s">
        <v>109</v>
      </c>
      <c r="L38" s="8" t="s">
        <v>110</v>
      </c>
      <c r="M38" s="8" t="s">
        <v>79</v>
      </c>
      <c r="N38" s="9" t="s">
        <v>117</v>
      </c>
      <c r="O38" s="9" t="s">
        <v>118</v>
      </c>
      <c r="S38" s="18"/>
    </row>
    <row r="39" spans="11:20" x14ac:dyDescent="0.25">
      <c r="K39" s="2" t="s">
        <v>149</v>
      </c>
      <c r="L39" s="2">
        <f>COUNTIF(Scenario1[winner1-ability4],LightbringerAbilities4Scenario1[[#This Row],[ability]])+COUNTIF(Scenario1[winner2-ability4],LightbringerAbilities4Scenario1[[#This Row],[ability]])+COUNTIF(Scenario1[loser1-ability4],LightbringerAbilities4Scenario1[[#This Row],[ability]])+COUNTIF(Scenario1[loser2-ability4],LightbringerAbilities4Scenario1[[#This Row],[ability]])</f>
        <v>4</v>
      </c>
      <c r="M39" s="2">
        <f>COUNTIF(Scenario1[winner1-ability4],LightbringerAbilities4Scenario1[[#This Row],[ability]])+COUNTIF(Scenario1[winner2-ability4],LightbringerAbilities4Scenario1[[#This Row],[ability]])</f>
        <v>2</v>
      </c>
      <c r="N39" s="12">
        <f>IF(SUM(LightbringerAbilities4Scenario1[[#This Row],[takes]]) &gt; 0,LightbringerAbilities4Scenario1[[#This Row],[takes]]/SUM(LightbringerAbilities4Scenario1[takes]),0)</f>
        <v>0.33333333333333331</v>
      </c>
      <c r="O39" s="12">
        <f>IF(LightbringerAbilities4Scenario1[[#This Row],[takes]]&gt;0,LightbringerAbilities4Scenario1[[#This Row],[wins]]/LightbringerAbilities4Scenario1[[#This Row],[takes]],0)</f>
        <v>0.5</v>
      </c>
      <c r="S39" s="18"/>
    </row>
    <row r="40" spans="11:20" x14ac:dyDescent="0.25">
      <c r="K40" s="2" t="s">
        <v>150</v>
      </c>
      <c r="L40" s="2">
        <f>COUNTIF(Scenario1[winner1-ability4],LightbringerAbilities4Scenario1[[#This Row],[ability]])+COUNTIF(Scenario1[winner2-ability4],LightbringerAbilities4Scenario1[[#This Row],[ability]])+COUNTIF(Scenario1[loser1-ability4],LightbringerAbilities4Scenario1[[#This Row],[ability]])+COUNTIF(Scenario1[loser2-ability4],LightbringerAbilities4Scenario1[[#This Row],[ability]])</f>
        <v>2</v>
      </c>
      <c r="M40" s="2">
        <f>COUNTIF(Scenario1[winner1-ability4],LightbringerAbilities4Scenario1[[#This Row],[ability]])+COUNTIF(Scenario1[winner2-ability4],LightbringerAbilities4Scenario1[[#This Row],[ability]])</f>
        <v>2</v>
      </c>
      <c r="N40" s="12">
        <f>IF(SUM(LightbringerAbilities4Scenario1[[#This Row],[takes]]) &gt; 0,LightbringerAbilities4Scenario1[[#This Row],[takes]]/SUM(LightbringerAbilities4Scenario1[takes]),0)</f>
        <v>0.16666666666666666</v>
      </c>
      <c r="O40" s="12">
        <f>IF(LightbringerAbilities4Scenario1[[#This Row],[takes]]&gt;0,LightbringerAbilities4Scenario1[[#This Row],[wins]]/LightbringerAbilities4Scenario1[[#This Row],[takes]],0)</f>
        <v>1</v>
      </c>
      <c r="S40" s="18"/>
    </row>
    <row r="41" spans="11:20" ht="15.75" thickBot="1" x14ac:dyDescent="0.3">
      <c r="K41" s="10" t="s">
        <v>151</v>
      </c>
      <c r="L41" s="25">
        <f>COUNTIF(Scenario1[winner1-ability4],LightbringerAbilities4Scenario1[[#This Row],[ability]])+COUNTIF(Scenario1[winner2-ability4],LightbringerAbilities4Scenario1[[#This Row],[ability]])+COUNTIF(Scenario1[loser1-ability4],LightbringerAbilities4Scenario1[[#This Row],[ability]])+COUNTIF(Scenario1[loser2-ability4],LightbringerAbilities4Scenario1[[#This Row],[ability]])</f>
        <v>6</v>
      </c>
      <c r="M41" s="25">
        <f>COUNTIF(Scenario1[winner1-ability4],LightbringerAbilities4Scenario1[[#This Row],[ability]])+COUNTIF(Scenario1[winner2-ability4],LightbringerAbilities4Scenario1[[#This Row],[ability]])</f>
        <v>4</v>
      </c>
      <c r="N41" s="26">
        <f>IF(SUM(LightbringerAbilities4Scenario1[[#This Row],[takes]]) &gt; 0,LightbringerAbilities4Scenario1[[#This Row],[takes]]/SUM(LightbringerAbilities4Scenario1[takes]),0)</f>
        <v>0.5</v>
      </c>
      <c r="O41" s="26">
        <f>IF(LightbringerAbilities4Scenario1[[#This Row],[takes]]&gt;0,LightbringerAbilities4Scenario1[[#This Row],[wins]]/LightbringerAbilities4Scenario1[[#This Row],[takes]],0)</f>
        <v>0.66666666666666663</v>
      </c>
      <c r="P41" s="27"/>
      <c r="Q41" s="27"/>
      <c r="R41" s="27"/>
      <c r="S41" s="28"/>
    </row>
    <row r="42" spans="11:20" ht="15.75" thickBot="1" x14ac:dyDescent="0.3"/>
    <row r="43" spans="11:20" ht="15.75" thickBot="1" x14ac:dyDescent="0.3">
      <c r="K43" s="36" t="s">
        <v>184</v>
      </c>
      <c r="L43" s="37"/>
      <c r="M43" s="37"/>
      <c r="N43" s="37"/>
      <c r="O43" s="37"/>
      <c r="P43" s="37"/>
      <c r="Q43" s="37"/>
      <c r="R43" s="37"/>
      <c r="S43" s="38"/>
      <c r="T43" s="29"/>
    </row>
    <row r="44" spans="11:20" x14ac:dyDescent="0.25">
      <c r="K44" s="17" t="s">
        <v>109</v>
      </c>
      <c r="L44" t="s">
        <v>110</v>
      </c>
      <c r="M44" t="s">
        <v>79</v>
      </c>
      <c r="N44" s="3" t="s">
        <v>117</v>
      </c>
      <c r="O44" s="3" t="s">
        <v>118</v>
      </c>
      <c r="Q44" t="s">
        <v>161</v>
      </c>
      <c r="R44" t="s">
        <v>170</v>
      </c>
      <c r="S44" s="18" t="s">
        <v>164</v>
      </c>
    </row>
    <row r="45" spans="11:20" x14ac:dyDescent="0.25">
      <c r="K45" t="s">
        <v>72</v>
      </c>
      <c r="L45">
        <f>COUNTIF(Scenario2[winner1-ability1],LightbringerAbilities1Scenario2[[#This Row],[ability]])+COUNTIF(Scenario2[loser1-ability1],LightbringerAbilities1Scenario2[[#This Row],[ability]])</f>
        <v>4</v>
      </c>
      <c r="M45">
        <f>COUNTIF(Scenario2[winner1-ability1],LightbringerAbilities1Scenario2[[#This Row],[ability]])</f>
        <v>2</v>
      </c>
      <c r="N45" s="3">
        <f>IF(SUM(LightbringerAbilities1Scenario2[[#This Row],[takes]]) &gt; 0,LightbringerAbilities1Scenario2[[#This Row],[takes]]/SUM(LightbringerAbilities1Scenario2[takes]),0)</f>
        <v>0.25</v>
      </c>
      <c r="O45" s="3">
        <f>IF(LightbringerAbilities1Scenario2[[#This Row],[takes]]&gt;0,LightbringerAbilities1Scenario2[[#This Row],[wins]]/LightbringerAbilities1Scenario2[[#This Row],[takes]],0)</f>
        <v>0.5</v>
      </c>
      <c r="Q45">
        <v>1</v>
      </c>
      <c r="R45">
        <f>COUNTIFS(Scenario2[winner1],"lightbringer",Scenario2[winner1-pw],LightbringerEquipScenario2[[#This Row],[level]])+COUNTIFS(Scenario2[loser1],"lightbringer",Scenario2[loser1-pw],LightbringerEquipScenario2[[#This Row],[level]])</f>
        <v>6</v>
      </c>
      <c r="S45" s="18">
        <f>COUNTIFS(Scenario2[winner1],"lightbringer",Scenario2[winner1-cp],LightbringerEquipScenario2[[#This Row],[level]])+COUNTIFS(Scenario2[loser1],"lightbringer",Scenario2[loser1-cp],LightbringerEquipScenario2[[#This Row],[level]])</f>
        <v>8</v>
      </c>
    </row>
    <row r="46" spans="11:20" x14ac:dyDescent="0.25">
      <c r="K46" t="s">
        <v>145</v>
      </c>
      <c r="L46">
        <f>COUNTIF(Scenario2[winner1-ability1],LightbringerAbilities1Scenario2[[#This Row],[ability]])+COUNTIF(Scenario2[loser1-ability1],LightbringerAbilities1Scenario2[[#This Row],[ability]])</f>
        <v>6</v>
      </c>
      <c r="M46">
        <f>COUNTIF(Scenario2[winner1-ability1],LightbringerAbilities1Scenario2[[#This Row],[ability]])</f>
        <v>1</v>
      </c>
      <c r="N46" s="3">
        <f>IF(SUM(LightbringerAbilities1Scenario2[[#This Row],[takes]]) &gt; 0,LightbringerAbilities1Scenario2[[#This Row],[takes]]/SUM(LightbringerAbilities1Scenario2[takes]),0)</f>
        <v>0.375</v>
      </c>
      <c r="O46" s="3">
        <f>IF(LightbringerAbilities1Scenario2[[#This Row],[takes]]&gt;0,LightbringerAbilities1Scenario2[[#This Row],[wins]]/LightbringerAbilities1Scenario2[[#This Row],[takes]],0)</f>
        <v>0.16666666666666666</v>
      </c>
      <c r="Q46">
        <v>2</v>
      </c>
      <c r="R46">
        <f>COUNTIFS(Scenario2[winner1],"lightbringer",Scenario2[winner1-pw],LightbringerEquipScenario2[[#This Row],[level]])+COUNTIFS(Scenario2[loser1],"lightbringer",Scenario2[loser1-pw],LightbringerEquipScenario2[[#This Row],[level]])</f>
        <v>1</v>
      </c>
      <c r="S46" s="18">
        <f>COUNTIFS(Scenario2[winner1],"lightbringer",Scenario2[winner1-cp],LightbringerEquipScenario2[[#This Row],[level]])+COUNTIFS(Scenario2[loser1],"lightbringer",Scenario2[loser1-cp],LightbringerEquipScenario2[[#This Row],[level]])</f>
        <v>4</v>
      </c>
    </row>
    <row r="47" spans="11:20" x14ac:dyDescent="0.25">
      <c r="K47" t="s">
        <v>103</v>
      </c>
      <c r="L47">
        <f>COUNTIF(Scenario2[winner1-ability1],LightbringerAbilities1Scenario2[[#This Row],[ability]])+COUNTIF(Scenario2[loser1-ability1],LightbringerAbilities1Scenario2[[#This Row],[ability]])</f>
        <v>6</v>
      </c>
      <c r="M47">
        <f>COUNTIF(Scenario2[winner1-ability1],LightbringerAbilities1Scenario2[[#This Row],[ability]])</f>
        <v>1</v>
      </c>
      <c r="N47" s="3">
        <f>IF(SUM(LightbringerAbilities1Scenario2[[#This Row],[takes]]) &gt; 0,LightbringerAbilities1Scenario2[[#This Row],[takes]]/SUM(LightbringerAbilities1Scenario2[takes]),0)</f>
        <v>0.375</v>
      </c>
      <c r="O47" s="3">
        <f>IF(LightbringerAbilities1Scenario2[[#This Row],[takes]]&gt;0,LightbringerAbilities1Scenario2[[#This Row],[wins]]/LightbringerAbilities1Scenario2[[#This Row],[takes]],0)</f>
        <v>0.16666666666666666</v>
      </c>
      <c r="Q47">
        <v>3</v>
      </c>
      <c r="R47">
        <f>COUNTIFS(Scenario2[winner1],"lightbringer",Scenario2[winner1-pw],LightbringerEquipScenario2[[#This Row],[level]])+COUNTIFS(Scenario2[loser1],"lightbringer",Scenario2[loser1-pw],LightbringerEquipScenario2[[#This Row],[level]])</f>
        <v>9</v>
      </c>
      <c r="S47" s="18">
        <f>COUNTIFS(Scenario2[winner1],"lightbringer",Scenario2[winner1-cp],LightbringerEquipScenario2[[#This Row],[level]])+COUNTIFS(Scenario2[loser1],"lightbringer",Scenario2[loser1-cp],LightbringerEquipScenario2[[#This Row],[level]])</f>
        <v>4</v>
      </c>
    </row>
    <row r="48" spans="11:20" x14ac:dyDescent="0.25">
      <c r="K48" s="17"/>
      <c r="N48" s="3"/>
      <c r="O48" s="3"/>
      <c r="S48" s="18"/>
    </row>
    <row r="49" spans="11:19" x14ac:dyDescent="0.25">
      <c r="K49" s="19" t="s">
        <v>109</v>
      </c>
      <c r="L49" s="8" t="s">
        <v>110</v>
      </c>
      <c r="M49" s="8" t="s">
        <v>79</v>
      </c>
      <c r="N49" s="9" t="s">
        <v>117</v>
      </c>
      <c r="O49" s="9" t="s">
        <v>118</v>
      </c>
      <c r="S49" s="18"/>
    </row>
    <row r="50" spans="11:19" x14ac:dyDescent="0.25">
      <c r="K50" s="2" t="s">
        <v>95</v>
      </c>
      <c r="L50" s="2">
        <f>COUNTIF(Scenario2[winner1-ability2],LightbringerAbilities2Scenario2[[#This Row],[ability]])+COUNTIF(Scenario2[loser1-ability2],LightbringerAbilities2Scenario2[[#This Row],[ability]])</f>
        <v>2</v>
      </c>
      <c r="M50" s="2">
        <f>COUNTIF(Scenario2[winner1-ability2],LightbringerAbilities2Scenario2[[#This Row],[ability]])</f>
        <v>2</v>
      </c>
      <c r="N50" s="12">
        <f>IF(SUM(LightbringerAbilities2Scenario2[[#This Row],[takes]]) &gt; 0,LightbringerAbilities2Scenario2[[#This Row],[takes]]/SUM(LightbringerAbilities2Scenario2[takes]),0)</f>
        <v>0.14285714285714285</v>
      </c>
      <c r="O50" s="12">
        <f>IF(LightbringerAbilities2Scenario2[[#This Row],[takes]]&gt;0,LightbringerAbilities2Scenario2[[#This Row],[wins]]/LightbringerAbilities2Scenario2[[#This Row],[takes]],0)</f>
        <v>1</v>
      </c>
      <c r="S50" s="18"/>
    </row>
    <row r="51" spans="11:19" x14ac:dyDescent="0.25">
      <c r="K51" t="s">
        <v>146</v>
      </c>
      <c r="L51" s="2">
        <f>COUNTIF(Scenario2[winner1-ability2],LightbringerAbilities2Scenario2[[#This Row],[ability]])+COUNTIF(Scenario2[loser1-ability2],LightbringerAbilities2Scenario2[[#This Row],[ability]])</f>
        <v>6</v>
      </c>
      <c r="M51" s="2">
        <f>COUNTIF(Scenario2[winner1-ability2],LightbringerAbilities2Scenario2[[#This Row],[ability]])</f>
        <v>1</v>
      </c>
      <c r="N51" s="3">
        <f>IF(SUM(LightbringerAbilities2Scenario2[[#This Row],[takes]]) &gt; 0,LightbringerAbilities2Scenario2[[#This Row],[takes]]/SUM(LightbringerAbilities2Scenario2[takes]),0)</f>
        <v>0.42857142857142855</v>
      </c>
      <c r="O51" s="3">
        <f>IF(LightbringerAbilities2Scenario2[[#This Row],[takes]]&gt;0,LightbringerAbilities2Scenario2[[#This Row],[wins]]/LightbringerAbilities2Scenario2[[#This Row],[takes]],0)</f>
        <v>0.16666666666666666</v>
      </c>
      <c r="S51" s="18"/>
    </row>
    <row r="52" spans="11:19" x14ac:dyDescent="0.25">
      <c r="K52" s="10" t="s">
        <v>91</v>
      </c>
      <c r="L52" s="2">
        <f>COUNTIF(Scenario2[winner1-ability2],LightbringerAbilities2Scenario2[[#This Row],[ability]])+COUNTIF(Scenario2[loser1-ability2],LightbringerAbilities2Scenario2[[#This Row],[ability]])</f>
        <v>6</v>
      </c>
      <c r="M52" s="2">
        <f>COUNTIF(Scenario2[winner1-ability2],LightbringerAbilities2Scenario2[[#This Row],[ability]])</f>
        <v>1</v>
      </c>
      <c r="N52" s="13">
        <f>IF(SUM(LightbringerAbilities2Scenario2[[#This Row],[takes]]) &gt; 0,LightbringerAbilities2Scenario2[[#This Row],[takes]]/SUM(LightbringerAbilities2Scenario2[takes]),0)</f>
        <v>0.42857142857142855</v>
      </c>
      <c r="O52" s="13">
        <f>IF(LightbringerAbilities2Scenario2[[#This Row],[takes]]&gt;0,LightbringerAbilities2Scenario2[[#This Row],[wins]]/LightbringerAbilities2Scenario2[[#This Row],[takes]],0)</f>
        <v>0.16666666666666666</v>
      </c>
      <c r="S52" s="18"/>
    </row>
    <row r="53" spans="11:19" x14ac:dyDescent="0.25">
      <c r="K53" s="17"/>
      <c r="N53" s="3"/>
      <c r="O53" s="3"/>
      <c r="S53" s="18"/>
    </row>
    <row r="54" spans="11:19" x14ac:dyDescent="0.25">
      <c r="K54" s="19" t="s">
        <v>109</v>
      </c>
      <c r="L54" s="8" t="s">
        <v>110</v>
      </c>
      <c r="M54" s="8" t="s">
        <v>79</v>
      </c>
      <c r="N54" s="9" t="s">
        <v>117</v>
      </c>
      <c r="O54" s="9" t="s">
        <v>118</v>
      </c>
      <c r="S54" s="18"/>
    </row>
    <row r="55" spans="11:19" x14ac:dyDescent="0.25">
      <c r="K55" s="1" t="s">
        <v>104</v>
      </c>
      <c r="L55" s="1">
        <f>COUNTIF(Scenario2[winner1-ability3],LightbringerAbilities3Scenario2[[#This Row],[ability]])+COUNTIF(Scenario2[loser1-ability3],LightbringerAbilities3Scenario2[[#This Row],[ability]])</f>
        <v>5</v>
      </c>
      <c r="M55" s="1">
        <f>COUNTIF(Scenario2[winner1-ability3],LightbringerAbilities3Scenario2[[#This Row],[ability]])</f>
        <v>1</v>
      </c>
      <c r="N55" s="14">
        <f>IF(SUM(LightbringerAbilities3Scenario2[[#This Row],[takes]]) &gt; 0,LightbringerAbilities3Scenario2[[#This Row],[takes]]/SUM(LightbringerAbilities3Scenario2[takes]),0)</f>
        <v>0.35714285714285715</v>
      </c>
      <c r="O55" s="14">
        <f>IF(LightbringerAbilities3Scenario2[[#This Row],[takes]]&gt;0,LightbringerAbilities3Scenario2[[#This Row],[wins]]/LightbringerAbilities3Scenario2[[#This Row],[takes]],0)</f>
        <v>0.2</v>
      </c>
      <c r="S55" s="18"/>
    </row>
    <row r="56" spans="11:19" x14ac:dyDescent="0.25">
      <c r="K56" s="2" t="s">
        <v>147</v>
      </c>
      <c r="L56" s="2">
        <f>COUNTIF(Scenario2[winner1-ability3],LightbringerAbilities3Scenario2[[#This Row],[ability]])+COUNTIF(Scenario2[loser1-ability3],LightbringerAbilities3Scenario2[[#This Row],[ability]])</f>
        <v>2</v>
      </c>
      <c r="M56" s="2">
        <f>COUNTIF(Scenario2[winner1-ability3],LightbringerAbilities3Scenario2[[#This Row],[ability]])</f>
        <v>1</v>
      </c>
      <c r="N56" s="12">
        <f>IF(SUM(LightbringerAbilities3Scenario2[[#This Row],[takes]]) &gt; 0,LightbringerAbilities3Scenario2[[#This Row],[takes]]/SUM(LightbringerAbilities3Scenario2[takes]),0)</f>
        <v>0.14285714285714285</v>
      </c>
      <c r="O56" s="12">
        <f>IF(LightbringerAbilities3Scenario2[[#This Row],[takes]]&gt;0,LightbringerAbilities3Scenario2[[#This Row],[wins]]/LightbringerAbilities3Scenario2[[#This Row],[takes]],0)</f>
        <v>0.5</v>
      </c>
      <c r="S56" s="18"/>
    </row>
    <row r="57" spans="11:19" x14ac:dyDescent="0.25">
      <c r="K57" s="11" t="s">
        <v>148</v>
      </c>
      <c r="L57" s="1">
        <f>COUNTIF(Scenario2[winner1-ability3],LightbringerAbilities3Scenario2[[#This Row],[ability]])+COUNTIF(Scenario2[loser1-ability3],LightbringerAbilities3Scenario2[[#This Row],[ability]])</f>
        <v>7</v>
      </c>
      <c r="M57" s="1">
        <f>COUNTIF(Scenario2[winner1-ability3],LightbringerAbilities3Scenario2[[#This Row],[ability]])</f>
        <v>2</v>
      </c>
      <c r="N57" s="15">
        <f>IF(SUM(LightbringerAbilities3Scenario2[[#This Row],[takes]]) &gt; 0,LightbringerAbilities3Scenario2[[#This Row],[takes]]/SUM(LightbringerAbilities3Scenario2[takes]),0)</f>
        <v>0.5</v>
      </c>
      <c r="O57" s="15">
        <f>IF(LightbringerAbilities3Scenario2[[#This Row],[takes]]&gt;0,LightbringerAbilities3Scenario2[[#This Row],[wins]]/LightbringerAbilities3Scenario2[[#This Row],[takes]],0)</f>
        <v>0.2857142857142857</v>
      </c>
      <c r="S57" s="18"/>
    </row>
    <row r="58" spans="11:19" x14ac:dyDescent="0.25">
      <c r="K58" s="17"/>
      <c r="N58" s="3"/>
      <c r="O58" s="3"/>
      <c r="S58" s="18"/>
    </row>
    <row r="59" spans="11:19" x14ac:dyDescent="0.25">
      <c r="K59" s="19" t="s">
        <v>109</v>
      </c>
      <c r="L59" s="8" t="s">
        <v>110</v>
      </c>
      <c r="M59" s="8" t="s">
        <v>79</v>
      </c>
      <c r="N59" s="9" t="s">
        <v>117</v>
      </c>
      <c r="O59" s="9" t="s">
        <v>118</v>
      </c>
      <c r="S59" s="18"/>
    </row>
    <row r="60" spans="11:19" x14ac:dyDescent="0.25">
      <c r="K60" s="2" t="s">
        <v>149</v>
      </c>
      <c r="L60" s="2">
        <f>COUNTIF(Scenario2[winner1-ability4],LightbringerAbilities4Scenario2[[#This Row],[ability]])+COUNTIF(Scenario2[loser1-ability4],LightbringerAbilities4Scenario2[[#This Row],[ability]])</f>
        <v>0</v>
      </c>
      <c r="M60" s="2">
        <f>COUNTIF(Scenario2[winner1-ability4],LightbringerAbilities4Scenario2[[#This Row],[ability]])</f>
        <v>0</v>
      </c>
      <c r="N60" s="12">
        <f>IF(SUM(LightbringerAbilities4Scenario2[[#This Row],[takes]]) &gt; 0,LightbringerAbilities4Scenario2[[#This Row],[takes]]/SUM(LightbringerAbilities4Scenario2[takes]),0)</f>
        <v>0</v>
      </c>
      <c r="O60" s="12">
        <f>IF(LightbringerAbilities4Scenario2[[#This Row],[takes]]&gt;0,LightbringerAbilities4Scenario2[[#This Row],[wins]]/LightbringerAbilities4Scenario2[[#This Row],[takes]],0)</f>
        <v>0</v>
      </c>
      <c r="S60" s="18"/>
    </row>
    <row r="61" spans="11:19" x14ac:dyDescent="0.25">
      <c r="K61" s="2" t="s">
        <v>150</v>
      </c>
      <c r="L61" s="2">
        <f>COUNTIF(Scenario2[winner1-ability4],LightbringerAbilities4Scenario2[[#This Row],[ability]])+COUNTIF(Scenario2[loser1-ability4],LightbringerAbilities4Scenario2[[#This Row],[ability]])</f>
        <v>1</v>
      </c>
      <c r="M61" s="2">
        <f>COUNTIF(Scenario2[winner1-ability4],LightbringerAbilities4Scenario2[[#This Row],[ability]])</f>
        <v>0</v>
      </c>
      <c r="N61" s="12">
        <f>IF(SUM(LightbringerAbilities4Scenario2[[#This Row],[takes]]) &gt; 0,LightbringerAbilities4Scenario2[[#This Row],[takes]]/SUM(LightbringerAbilities4Scenario2[takes]),0)</f>
        <v>0.125</v>
      </c>
      <c r="O61" s="12">
        <f>IF(LightbringerAbilities4Scenario2[[#This Row],[takes]]&gt;0,LightbringerAbilities4Scenario2[[#This Row],[wins]]/LightbringerAbilities4Scenario2[[#This Row],[takes]],0)</f>
        <v>0</v>
      </c>
      <c r="S61" s="18"/>
    </row>
    <row r="62" spans="11:19" ht="15.75" thickBot="1" x14ac:dyDescent="0.3">
      <c r="K62" s="10" t="s">
        <v>151</v>
      </c>
      <c r="L62" s="25">
        <f>COUNTIF(Scenario2[winner1-ability4],LightbringerAbilities4Scenario2[[#This Row],[ability]])+COUNTIF(Scenario2[loser1-ability4],LightbringerAbilities4Scenario2[[#This Row],[ability]])</f>
        <v>7</v>
      </c>
      <c r="M62" s="25">
        <f>COUNTIF(Scenario2[winner1-ability4],LightbringerAbilities4Scenario2[[#This Row],[ability]])</f>
        <v>2</v>
      </c>
      <c r="N62" s="26">
        <f>IF(SUM(LightbringerAbilities4Scenario2[[#This Row],[takes]]) &gt; 0,LightbringerAbilities4Scenario2[[#This Row],[takes]]/SUM(LightbringerAbilities4Scenario2[takes]),0)</f>
        <v>0.875</v>
      </c>
      <c r="O62" s="26">
        <f>IF(LightbringerAbilities4Scenario2[[#This Row],[takes]]&gt;0,LightbringerAbilities4Scenario2[[#This Row],[wins]]/LightbringerAbilities4Scenario2[[#This Row],[takes]],0)</f>
        <v>0.2857142857142857</v>
      </c>
      <c r="P62" s="27"/>
      <c r="Q62" s="27"/>
      <c r="R62" s="27"/>
      <c r="S62" s="28"/>
    </row>
    <row r="63" spans="11:19" ht="15.75" thickBot="1" x14ac:dyDescent="0.3"/>
    <row r="64" spans="11:19" ht="15.75" thickBot="1" x14ac:dyDescent="0.3">
      <c r="K64" s="36" t="s">
        <v>209</v>
      </c>
      <c r="L64" s="37"/>
      <c r="M64" s="37"/>
      <c r="N64" s="37"/>
      <c r="O64" s="37"/>
      <c r="P64" s="37"/>
      <c r="Q64" s="37"/>
      <c r="R64" s="37"/>
      <c r="S64" s="38"/>
    </row>
    <row r="65" spans="11:19" x14ac:dyDescent="0.25">
      <c r="K65" s="17" t="s">
        <v>109</v>
      </c>
      <c r="L65" t="s">
        <v>110</v>
      </c>
      <c r="M65" t="s">
        <v>79</v>
      </c>
      <c r="N65" s="3" t="s">
        <v>117</v>
      </c>
      <c r="O65" s="3" t="s">
        <v>118</v>
      </c>
      <c r="Q65" t="s">
        <v>161</v>
      </c>
      <c r="R65" t="s">
        <v>170</v>
      </c>
      <c r="S65" s="18" t="s">
        <v>164</v>
      </c>
    </row>
    <row r="66" spans="11:19" x14ac:dyDescent="0.25">
      <c r="K66" t="s">
        <v>72</v>
      </c>
      <c r="L66">
        <f>COUNTIF(Scenario3[winner1-ability1],LightbringerAbilities1Scenario3[[#This Row],[ability]])+COUNTIF(Scenario3[loser1-ability1],LightbringerAbilities1Scenario3[[#This Row],[ability]])+COUNTIF(Scenario3[loser2-ability1],LightbringerAbilities1Scenario3[[#This Row],[ability]])</f>
        <v>1</v>
      </c>
      <c r="M66">
        <f>COUNTIF(Scenario3[winner1-ability1],LightbringerAbilities1Scenario3[[#This Row],[ability]])</f>
        <v>0</v>
      </c>
      <c r="N66" s="3">
        <f>IF(SUM(LightbringerAbilities1Scenario3[[#This Row],[takes]]) &gt; 0,LightbringerAbilities1Scenario3[[#This Row],[takes]]/SUM(LightbringerAbilities1Scenario3[takes]),0)</f>
        <v>3.5714285714285712E-2</v>
      </c>
      <c r="O66" s="3">
        <f>IF(LightbringerAbilities1Scenario3[[#This Row],[takes]]&gt;0,LightbringerAbilities1Scenario3[[#This Row],[wins]]/LightbringerAbilities1Scenario3[[#This Row],[takes]],0)</f>
        <v>0</v>
      </c>
      <c r="Q66">
        <v>1</v>
      </c>
      <c r="R66">
        <f>COUNTIFS(Scenario3[winner1],"lightbringer",Scenario3[winner1-pw],LightbringerEquipScenario3[[#This Row],[level]])+COUNTIFS(Scenario3[loser1],"lightbringer",Scenario3[loser1-pw],LightbringerEquipScenario3[[#This Row],[level]])+COUNTIFS(Scenario3[loser2],"lightbringer",Scenario3[loser2-pw],LightbringerEquipScenario3[[#This Row],[level]])</f>
        <v>5</v>
      </c>
      <c r="S66" s="18">
        <f>COUNTIFS(Scenario3[winner1],"lightbringer",Scenario3[winner1-cp],LightbringerEquipScenario3[[#This Row],[level]])+COUNTIFS(Scenario3[loser1],"lightbringer",Scenario3[loser1-cp],LightbringerEquipScenario3[[#This Row],[level]])+COUNTIFS(Scenario3[loser2],"lightbringer",Scenario3[loser2-cp],LightbringerEquipScenario3[[#This Row],[level]])</f>
        <v>7</v>
      </c>
    </row>
    <row r="67" spans="11:19" x14ac:dyDescent="0.25">
      <c r="K67" t="s">
        <v>145</v>
      </c>
      <c r="L67">
        <f>COUNTIF(Scenario3[winner1-ability1],LightbringerAbilities1Scenario3[[#This Row],[ability]])+COUNTIF(Scenario3[loser1-ability1],LightbringerAbilities1Scenario3[[#This Row],[ability]])+COUNTIF(Scenario3[loser2-ability1],LightbringerAbilities1Scenario3[[#This Row],[ability]])</f>
        <v>14</v>
      </c>
      <c r="M67">
        <f>COUNTIF(Scenario3[winner1-ability1],LightbringerAbilities1Scenario3[[#This Row],[ability]])</f>
        <v>5</v>
      </c>
      <c r="N67" s="3">
        <f>IF(SUM(LightbringerAbilities1Scenario3[[#This Row],[takes]]) &gt; 0,LightbringerAbilities1Scenario3[[#This Row],[takes]]/SUM(LightbringerAbilities1Scenario3[takes]),0)</f>
        <v>0.5</v>
      </c>
      <c r="O67" s="3">
        <f>IF(LightbringerAbilities1Scenario3[[#This Row],[takes]]&gt;0,LightbringerAbilities1Scenario3[[#This Row],[wins]]/LightbringerAbilities1Scenario3[[#This Row],[takes]],0)</f>
        <v>0.35714285714285715</v>
      </c>
      <c r="Q67">
        <v>2</v>
      </c>
      <c r="R67">
        <f>COUNTIFS(Scenario3[winner1],"lightbringer",Scenario3[winner1-pw],LightbringerEquipScenario3[[#This Row],[level]])+COUNTIFS(Scenario3[loser1],"lightbringer",Scenario3[loser1-pw],LightbringerEquipScenario3[[#This Row],[level]])+COUNTIFS(Scenario3[loser2],"lightbringer",Scenario3[loser2-pw],LightbringerEquipScenario3[[#This Row],[level]])</f>
        <v>4</v>
      </c>
      <c r="S67" s="18">
        <f>COUNTIFS(Scenario3[winner1],"lightbringer",Scenario3[winner1-cp],LightbringerEquipScenario3[[#This Row],[level]])+COUNTIFS(Scenario3[loser1],"lightbringer",Scenario3[loser1-cp],LightbringerEquipScenario3[[#This Row],[level]])+COUNTIFS(Scenario3[loser2],"lightbringer",Scenario3[loser2-cp],LightbringerEquipScenario3[[#This Row],[level]])</f>
        <v>3</v>
      </c>
    </row>
    <row r="68" spans="11:19" x14ac:dyDescent="0.25">
      <c r="K68" t="s">
        <v>103</v>
      </c>
      <c r="L68">
        <f>COUNTIF(Scenario3[winner1-ability1],LightbringerAbilities1Scenario3[[#This Row],[ability]])+COUNTIF(Scenario3[loser1-ability1],LightbringerAbilities1Scenario3[[#This Row],[ability]])+COUNTIF(Scenario3[loser2-ability1],LightbringerAbilities1Scenario3[[#This Row],[ability]])</f>
        <v>13</v>
      </c>
      <c r="M68">
        <f>COUNTIF(Scenario3[winner1-ability1],LightbringerAbilities1Scenario3[[#This Row],[ability]])</f>
        <v>2</v>
      </c>
      <c r="N68" s="3">
        <f>IF(SUM(LightbringerAbilities1Scenario3[[#This Row],[takes]]) &gt; 0,LightbringerAbilities1Scenario3[[#This Row],[takes]]/SUM(LightbringerAbilities1Scenario3[takes]),0)</f>
        <v>0.4642857142857143</v>
      </c>
      <c r="O68" s="3">
        <f>IF(LightbringerAbilities1Scenario3[[#This Row],[takes]]&gt;0,LightbringerAbilities1Scenario3[[#This Row],[wins]]/LightbringerAbilities1Scenario3[[#This Row],[takes]],0)</f>
        <v>0.15384615384615385</v>
      </c>
      <c r="Q68">
        <v>3</v>
      </c>
      <c r="R68">
        <f>COUNTIFS(Scenario3[winner1],"lightbringer",Scenario3[winner1-pw],LightbringerEquipScenario3[[#This Row],[level]])+COUNTIFS(Scenario3[loser1],"lightbringer",Scenario3[loser1-pw],LightbringerEquipScenario3[[#This Row],[level]])+COUNTIFS(Scenario3[loser2],"lightbringer",Scenario3[loser2-pw],LightbringerEquipScenario3[[#This Row],[level]])</f>
        <v>19</v>
      </c>
      <c r="S68" s="18">
        <f>COUNTIFS(Scenario3[winner1],"lightbringer",Scenario3[winner1-cp],LightbringerEquipScenario3[[#This Row],[level]])+COUNTIFS(Scenario3[loser1],"lightbringer",Scenario3[loser1-cp],LightbringerEquipScenario3[[#This Row],[level]])+COUNTIFS(Scenario3[loser2],"lightbringer",Scenario3[loser2-cp],LightbringerEquipScenario3[[#This Row],[level]])</f>
        <v>18</v>
      </c>
    </row>
    <row r="69" spans="11:19" x14ac:dyDescent="0.25">
      <c r="K69" s="17"/>
      <c r="N69" s="3"/>
      <c r="O69" s="3"/>
      <c r="S69" s="18"/>
    </row>
    <row r="70" spans="11:19" x14ac:dyDescent="0.25">
      <c r="K70" s="19" t="s">
        <v>109</v>
      </c>
      <c r="L70" s="8" t="s">
        <v>110</v>
      </c>
      <c r="M70" s="8" t="s">
        <v>79</v>
      </c>
      <c r="N70" s="9" t="s">
        <v>117</v>
      </c>
      <c r="O70" s="9" t="s">
        <v>118</v>
      </c>
      <c r="S70" s="18"/>
    </row>
    <row r="71" spans="11:19" x14ac:dyDescent="0.25">
      <c r="K71" s="2" t="s">
        <v>95</v>
      </c>
      <c r="L71" s="2">
        <f>COUNTIF(Scenario3[winner1-ability2],LightbringerAbilities2Scenario3[[#This Row],[ability]])+COUNTIF(Scenario3[loser1-ability2],LightbringerAbilities2Scenario3[[#This Row],[ability]])+COUNTIF(Scenario3[loser2-ability2],LightbringerAbilities2Scenario3[[#This Row],[ability]])</f>
        <v>1</v>
      </c>
      <c r="M71" s="2">
        <f>COUNTIF(Scenario3[winner1-ability2],LightbringerAbilities2Scenario3[[#This Row],[ability]])</f>
        <v>0</v>
      </c>
      <c r="N71" s="12">
        <f>IF(SUM(LightbringerAbilities2Scenario3[[#This Row],[takes]]) &gt; 0,LightbringerAbilities2Scenario3[[#This Row],[takes]]/SUM(LightbringerAbilities2Scenario3[takes]),0)</f>
        <v>3.5714285714285712E-2</v>
      </c>
      <c r="O71" s="12">
        <f>IF(LightbringerAbilities2Scenario3[[#This Row],[takes]]&gt;0,LightbringerAbilities2Scenario3[[#This Row],[wins]]/LightbringerAbilities2Scenario3[[#This Row],[takes]],0)</f>
        <v>0</v>
      </c>
      <c r="S71" s="18"/>
    </row>
    <row r="72" spans="11:19" x14ac:dyDescent="0.25">
      <c r="K72" t="s">
        <v>146</v>
      </c>
      <c r="L72" s="2">
        <f>COUNTIF(Scenario3[winner1-ability2],LightbringerAbilities2Scenario3[[#This Row],[ability]])+COUNTIF(Scenario3[loser1-ability2],LightbringerAbilities2Scenario3[[#This Row],[ability]])+COUNTIF(Scenario3[loser2-ability2],LightbringerAbilities2Scenario3[[#This Row],[ability]])</f>
        <v>13</v>
      </c>
      <c r="M72" s="2">
        <f>COUNTIF(Scenario3[winner1-ability2],LightbringerAbilities2Scenario3[[#This Row],[ability]])</f>
        <v>6</v>
      </c>
      <c r="N72" s="3">
        <f>IF(SUM(LightbringerAbilities2Scenario3[[#This Row],[takes]]) &gt; 0,LightbringerAbilities2Scenario3[[#This Row],[takes]]/SUM(LightbringerAbilities2Scenario3[takes]),0)</f>
        <v>0.4642857142857143</v>
      </c>
      <c r="O72" s="3">
        <f>IF(LightbringerAbilities2Scenario3[[#This Row],[takes]]&gt;0,LightbringerAbilities2Scenario3[[#This Row],[wins]]/LightbringerAbilities2Scenario3[[#This Row],[takes]],0)</f>
        <v>0.46153846153846156</v>
      </c>
      <c r="S72" s="18"/>
    </row>
    <row r="73" spans="11:19" x14ac:dyDescent="0.25">
      <c r="K73" s="10" t="s">
        <v>91</v>
      </c>
      <c r="L73" s="2">
        <f>COUNTIF(Scenario3[winner1-ability2],LightbringerAbilities2Scenario3[[#This Row],[ability]])+COUNTIF(Scenario3[loser1-ability2],LightbringerAbilities2Scenario3[[#This Row],[ability]])+COUNTIF(Scenario3[loser2-ability2],LightbringerAbilities2Scenario3[[#This Row],[ability]])</f>
        <v>14</v>
      </c>
      <c r="M73" s="2">
        <f>COUNTIF(Scenario3[winner1-ability2],LightbringerAbilities2Scenario3[[#This Row],[ability]])</f>
        <v>1</v>
      </c>
      <c r="N73" s="13">
        <f>IF(SUM(LightbringerAbilities2Scenario3[[#This Row],[takes]]) &gt; 0,LightbringerAbilities2Scenario3[[#This Row],[takes]]/SUM(LightbringerAbilities2Scenario3[takes]),0)</f>
        <v>0.5</v>
      </c>
      <c r="O73" s="13">
        <f>IF(LightbringerAbilities2Scenario3[[#This Row],[takes]]&gt;0,LightbringerAbilities2Scenario3[[#This Row],[wins]]/LightbringerAbilities2Scenario3[[#This Row],[takes]],0)</f>
        <v>7.1428571428571425E-2</v>
      </c>
      <c r="S73" s="18"/>
    </row>
    <row r="74" spans="11:19" x14ac:dyDescent="0.25">
      <c r="K74" s="17"/>
      <c r="N74" s="3"/>
      <c r="O74" s="3"/>
      <c r="S74" s="18"/>
    </row>
    <row r="75" spans="11:19" x14ac:dyDescent="0.25">
      <c r="K75" s="19" t="s">
        <v>109</v>
      </c>
      <c r="L75" s="8" t="s">
        <v>110</v>
      </c>
      <c r="M75" s="8" t="s">
        <v>79</v>
      </c>
      <c r="N75" s="9" t="s">
        <v>117</v>
      </c>
      <c r="O75" s="9" t="s">
        <v>118</v>
      </c>
      <c r="S75" s="18"/>
    </row>
    <row r="76" spans="11:19" x14ac:dyDescent="0.25">
      <c r="K76" s="1" t="s">
        <v>104</v>
      </c>
      <c r="L76" s="1">
        <f>COUNTIF(Scenario3[winner1-ability3],LightbringerAbilities3Scenario3[[#This Row],[ability]])+COUNTIF(Scenario3[loser1-ability3],LightbringerAbilities3Scenario3[[#This Row],[ability]])+COUNTIF(Scenario3[loser2-ability3],LightbringerAbilities3Scenario3[[#This Row],[ability]])</f>
        <v>4</v>
      </c>
      <c r="M76" s="1">
        <f>COUNTIF(Scenario3[winner1-ability3],LightbringerAbilities3Scenario3[[#This Row],[ability]])</f>
        <v>2</v>
      </c>
      <c r="N76" s="14">
        <f>IF(SUM(LightbringerAbilities3Scenario3[[#This Row],[takes]]) &gt; 0,LightbringerAbilities3Scenario3[[#This Row],[takes]]/SUM(LightbringerAbilities3Scenario3[takes]),0)</f>
        <v>0.14814814814814814</v>
      </c>
      <c r="O76" s="14">
        <f>IF(LightbringerAbilities3Scenario3[[#This Row],[takes]]&gt;0,LightbringerAbilities3Scenario3[[#This Row],[wins]]/LightbringerAbilities3Scenario3[[#This Row],[takes]],0)</f>
        <v>0.5</v>
      </c>
      <c r="S76" s="18"/>
    </row>
    <row r="77" spans="11:19" x14ac:dyDescent="0.25">
      <c r="K77" s="2" t="s">
        <v>147</v>
      </c>
      <c r="L77" s="2">
        <f>COUNTIF(Scenario3[winner1-ability3],LightbringerAbilities3Scenario3[[#This Row],[ability]])+COUNTIF(Scenario3[loser1-ability3],LightbringerAbilities3Scenario3[[#This Row],[ability]])+COUNTIF(Scenario3[loser2-ability3],LightbringerAbilities3Scenario3[[#This Row],[ability]])</f>
        <v>4</v>
      </c>
      <c r="M77" s="2">
        <f>COUNTIF(Scenario3[winner1-ability3],LightbringerAbilities3Scenario3[[#This Row],[ability]])</f>
        <v>1</v>
      </c>
      <c r="N77" s="12">
        <f>IF(SUM(LightbringerAbilities3Scenario3[[#This Row],[takes]]) &gt; 0,LightbringerAbilities3Scenario3[[#This Row],[takes]]/SUM(LightbringerAbilities3Scenario3[takes]),0)</f>
        <v>0.14814814814814814</v>
      </c>
      <c r="O77" s="12">
        <f>IF(LightbringerAbilities3Scenario3[[#This Row],[takes]]&gt;0,LightbringerAbilities3Scenario3[[#This Row],[wins]]/LightbringerAbilities3Scenario3[[#This Row],[takes]],0)</f>
        <v>0.25</v>
      </c>
      <c r="S77" s="18"/>
    </row>
    <row r="78" spans="11:19" x14ac:dyDescent="0.25">
      <c r="K78" s="11" t="s">
        <v>148</v>
      </c>
      <c r="L78" s="1">
        <f>COUNTIF(Scenario3[winner1-ability3],LightbringerAbilities3Scenario3[[#This Row],[ability]])+COUNTIF(Scenario3[loser1-ability3],LightbringerAbilities3Scenario3[[#This Row],[ability]])+COUNTIF(Scenario3[loser2-ability3],LightbringerAbilities3Scenario3[[#This Row],[ability]])</f>
        <v>19</v>
      </c>
      <c r="M78" s="1">
        <f>COUNTIF(Scenario3[winner1-ability3],LightbringerAbilities3Scenario3[[#This Row],[ability]])</f>
        <v>4</v>
      </c>
      <c r="N78" s="15">
        <f>IF(SUM(LightbringerAbilities3Scenario3[[#This Row],[takes]]) &gt; 0,LightbringerAbilities3Scenario3[[#This Row],[takes]]/SUM(LightbringerAbilities3Scenario3[takes]),0)</f>
        <v>0.70370370370370372</v>
      </c>
      <c r="O78" s="15">
        <f>IF(LightbringerAbilities3Scenario3[[#This Row],[takes]]&gt;0,LightbringerAbilities3Scenario3[[#This Row],[wins]]/LightbringerAbilities3Scenario3[[#This Row],[takes]],0)</f>
        <v>0.21052631578947367</v>
      </c>
      <c r="S78" s="18"/>
    </row>
    <row r="79" spans="11:19" x14ac:dyDescent="0.25">
      <c r="K79" s="17"/>
      <c r="N79" s="3"/>
      <c r="O79" s="3"/>
      <c r="S79" s="18"/>
    </row>
    <row r="80" spans="11:19" x14ac:dyDescent="0.25">
      <c r="K80" s="19" t="s">
        <v>109</v>
      </c>
      <c r="L80" s="8" t="s">
        <v>110</v>
      </c>
      <c r="M80" s="8" t="s">
        <v>79</v>
      </c>
      <c r="N80" s="9" t="s">
        <v>117</v>
      </c>
      <c r="O80" s="9" t="s">
        <v>118</v>
      </c>
      <c r="S80" s="18"/>
    </row>
    <row r="81" spans="11:19" x14ac:dyDescent="0.25">
      <c r="K81" s="2" t="s">
        <v>149</v>
      </c>
      <c r="L81" s="2">
        <f>COUNTIF(Scenario3[winner1-ability4],LightbringerAbilities4Scenario3[[#This Row],[ability]])+COUNTIF(Scenario3[loser1-ability4],LightbringerAbilities4Scenario3[[#This Row],[ability]])+COUNTIF(Scenario3[loser2-ability4],LightbringerAbilities4Scenario3[[#This Row],[ability]])</f>
        <v>1</v>
      </c>
      <c r="M81" s="2">
        <f>COUNTIF(Scenario3[winner1-ability4],LightbringerAbilities4Scenario3[[#This Row],[ability]])</f>
        <v>1</v>
      </c>
      <c r="N81" s="12">
        <f>IF(SUM(LightbringerAbilities4Scenario3[[#This Row],[takes]]) &gt; 0,LightbringerAbilities4Scenario3[[#This Row],[takes]]/SUM(LightbringerAbilities4Scenario3[takes]),0)</f>
        <v>4.3478260869565216E-2</v>
      </c>
      <c r="O81" s="12">
        <f>IF(LightbringerAbilities4Scenario3[[#This Row],[takes]]&gt;0,LightbringerAbilities4Scenario3[[#This Row],[wins]]/LightbringerAbilities4Scenario3[[#This Row],[takes]],0)</f>
        <v>1</v>
      </c>
      <c r="S81" s="18"/>
    </row>
    <row r="82" spans="11:19" x14ac:dyDescent="0.25">
      <c r="K82" s="2" t="s">
        <v>150</v>
      </c>
      <c r="L82" s="2">
        <f>COUNTIF(Scenario3[winner1-ability4],LightbringerAbilities4Scenario3[[#This Row],[ability]])+COUNTIF(Scenario3[loser1-ability4],LightbringerAbilities4Scenario3[[#This Row],[ability]])+COUNTIF(Scenario3[loser2-ability4],LightbringerAbilities4Scenario3[[#This Row],[ability]])</f>
        <v>3</v>
      </c>
      <c r="M82" s="2">
        <f>COUNTIF(Scenario3[winner1-ability4],LightbringerAbilities4Scenario3[[#This Row],[ability]])</f>
        <v>2</v>
      </c>
      <c r="N82" s="12">
        <f>IF(SUM(LightbringerAbilities4Scenario3[[#This Row],[takes]]) &gt; 0,LightbringerAbilities4Scenario3[[#This Row],[takes]]/SUM(LightbringerAbilities4Scenario3[takes]),0)</f>
        <v>0.13043478260869565</v>
      </c>
      <c r="O82" s="12">
        <f>IF(LightbringerAbilities4Scenario3[[#This Row],[takes]]&gt;0,LightbringerAbilities4Scenario3[[#This Row],[wins]]/LightbringerAbilities4Scenario3[[#This Row],[takes]],0)</f>
        <v>0.66666666666666663</v>
      </c>
      <c r="S82" s="18"/>
    </row>
    <row r="83" spans="11:19" ht="15.75" thickBot="1" x14ac:dyDescent="0.3">
      <c r="K83" s="10" t="s">
        <v>151</v>
      </c>
      <c r="L83" s="2">
        <f>COUNTIF(Scenario3[winner1-ability4],LightbringerAbilities4Scenario3[[#This Row],[ability]])+COUNTIF(Scenario3[loser1-ability4],LightbringerAbilities4Scenario3[[#This Row],[ability]])+COUNTIF(Scenario3[loser2-ability4],LightbringerAbilities4Scenario3[[#This Row],[ability]])</f>
        <v>19</v>
      </c>
      <c r="M83" s="2">
        <f>COUNTIF(Scenario3[winner1-ability4],LightbringerAbilities4Scenario3[[#This Row],[ability]])</f>
        <v>3</v>
      </c>
      <c r="N83" s="26">
        <f>IF(SUM(LightbringerAbilities4Scenario3[[#This Row],[takes]]) &gt; 0,LightbringerAbilities4Scenario3[[#This Row],[takes]]/SUM(LightbringerAbilities4Scenario3[takes]),0)</f>
        <v>0.82608695652173914</v>
      </c>
      <c r="O83" s="26">
        <f>IF(LightbringerAbilities4Scenario3[[#This Row],[takes]]&gt;0,LightbringerAbilities4Scenario3[[#This Row],[wins]]/LightbringerAbilities4Scenario3[[#This Row],[takes]],0)</f>
        <v>0.15789473684210525</v>
      </c>
      <c r="P83" s="27"/>
      <c r="Q83" s="27"/>
      <c r="R83" s="27"/>
      <c r="S83" s="28"/>
    </row>
    <row r="84" spans="11:19" ht="15.75" thickBot="1" x14ac:dyDescent="0.3"/>
    <row r="85" spans="11:19" ht="15.75" thickBot="1" x14ac:dyDescent="0.3">
      <c r="K85" s="36" t="s">
        <v>219</v>
      </c>
      <c r="L85" s="37"/>
      <c r="M85" s="37"/>
      <c r="N85" s="37"/>
      <c r="O85" s="37"/>
      <c r="P85" s="37"/>
      <c r="Q85" s="37"/>
      <c r="R85" s="37"/>
      <c r="S85" s="38"/>
    </row>
    <row r="86" spans="11:19" x14ac:dyDescent="0.25">
      <c r="K86" s="17" t="s">
        <v>109</v>
      </c>
      <c r="L86" t="s">
        <v>110</v>
      </c>
      <c r="M86" t="s">
        <v>79</v>
      </c>
      <c r="N86" s="3" t="s">
        <v>117</v>
      </c>
      <c r="O86" s="3" t="s">
        <v>118</v>
      </c>
      <c r="Q86" t="s">
        <v>161</v>
      </c>
      <c r="R86" t="s">
        <v>170</v>
      </c>
      <c r="S86" s="18" t="s">
        <v>164</v>
      </c>
    </row>
    <row r="87" spans="11:19" x14ac:dyDescent="0.25">
      <c r="K87" t="s">
        <v>72</v>
      </c>
      <c r="L87">
        <f>COUNTIF(Scenario4[winner1-ability1],LightbringerAbilities1Scenario4[[#This Row],[ability]])+COUNTIF(Scenario4[loser1-ability1],LightbringerAbilities1Scenario4[[#This Row],[ability]])+COUNTIF(Scenario4[loser2-ability1],LightbringerAbilities1Scenario4[[#This Row],[ability]])+COUNTIF(Scenario4[loser3-ability1],LightbringerAbilities1Scenario4[[#This Row],[ability]])</f>
        <v>0</v>
      </c>
      <c r="M87">
        <f>COUNTIF(Scenario4[winner1-ability1],LightbringerAbilities1Scenario4[[#This Row],[ability]])</f>
        <v>0</v>
      </c>
      <c r="N87" s="3">
        <f>IF(SUM(LightbringerAbilities1Scenario4[[#This Row],[takes]]) &gt; 0,LightbringerAbilities1Scenario4[[#This Row],[takes]]/SUM(LightbringerAbilities1Scenario4[takes]),0)</f>
        <v>0</v>
      </c>
      <c r="O87" s="3">
        <f>IF(LightbringerAbilities1Scenario4[[#This Row],[takes]]&gt;0,LightbringerAbilities1Scenario4[[#This Row],[wins]]/LightbringerAbilities1Scenario4[[#This Row],[takes]],0)</f>
        <v>0</v>
      </c>
      <c r="Q87">
        <v>1</v>
      </c>
      <c r="R87">
        <f>COUNTIFS(Scenario4[winner1],"lightbringer",Scenario4[winner1-pw],LightbringerEquipScenario4[[#This Row],[level]])+COUNTIFS(Scenario4[loser1],"lightbringer",Scenario4[loser1-pw],LightbringerEquipScenario4[[#This Row],[level]])+COUNTIFS(Scenario4[loser2],"lightbringer",Scenario4[loser2-pw],LightbringerEquipScenario4[[#This Row],[level]])+COUNTIFS(Scenario4[loser3],"lightbringer",Scenario4[loser3-pw],LightbringerEquipScenario4[[#This Row],[level]])</f>
        <v>13</v>
      </c>
      <c r="S87" s="18">
        <f>COUNTIFS(Scenario4[winner1],"lightbringer",Scenario4[winner1-cp],LightbringerEquipScenario4[[#This Row],[level]])+COUNTIFS(Scenario4[loser1],"lightbringer",Scenario4[loser1-cp],LightbringerEquipScenario4[[#This Row],[level]])+COUNTIFS(Scenario4[loser2],"lightbringer",Scenario4[loser2-cp],LightbringerEquipScenario4[[#This Row],[level]])+COUNTIFS(Scenario4[loser3],"lightbringer",Scenario4[loser3-cp],LightbringerEquipScenario4[[#This Row],[level]])</f>
        <v>11</v>
      </c>
    </row>
    <row r="88" spans="11:19" x14ac:dyDescent="0.25">
      <c r="K88" t="s">
        <v>145</v>
      </c>
      <c r="L88">
        <f>COUNTIF(Scenario4[winner1-ability1],LightbringerAbilities1Scenario4[[#This Row],[ability]])+COUNTIF(Scenario4[loser1-ability1],LightbringerAbilities1Scenario4[[#This Row],[ability]])+COUNTIF(Scenario4[loser2-ability1],LightbringerAbilities1Scenario4[[#This Row],[ability]])+COUNTIF(Scenario4[loser3-ability1],LightbringerAbilities1Scenario4[[#This Row],[ability]])</f>
        <v>42</v>
      </c>
      <c r="M88">
        <f>COUNTIF(Scenario4[winner1-ability1],LightbringerAbilities1Scenario4[[#This Row],[ability]])</f>
        <v>11</v>
      </c>
      <c r="N88" s="3">
        <f>IF(SUM(LightbringerAbilities1Scenario4[[#This Row],[takes]]) &gt; 0,LightbringerAbilities1Scenario4[[#This Row],[takes]]/SUM(LightbringerAbilities1Scenario4[takes]),0)</f>
        <v>0.75</v>
      </c>
      <c r="O88" s="3">
        <f>IF(LightbringerAbilities1Scenario4[[#This Row],[takes]]&gt;0,LightbringerAbilities1Scenario4[[#This Row],[wins]]/LightbringerAbilities1Scenario4[[#This Row],[takes]],0)</f>
        <v>0.26190476190476192</v>
      </c>
      <c r="Q88">
        <v>2</v>
      </c>
      <c r="R88">
        <f>COUNTIFS(Scenario4[winner1],"lightbringer",Scenario4[winner1-pw],LightbringerEquipScenario4[[#This Row],[level]])+COUNTIFS(Scenario4[loser1],"lightbringer",Scenario4[loser1-pw],LightbringerEquipScenario4[[#This Row],[level]])+COUNTIFS(Scenario4[loser2],"lightbringer",Scenario4[loser2-pw],LightbringerEquipScenario4[[#This Row],[level]])+COUNTIFS(Scenario4[loser3],"lightbringer",Scenario4[loser3-pw],LightbringerEquipScenario4[[#This Row],[level]])</f>
        <v>6</v>
      </c>
      <c r="S88" s="18">
        <f>COUNTIFS(Scenario4[winner1],"lightbringer",Scenario4[winner1-cp],LightbringerEquipScenario4[[#This Row],[level]])+COUNTIFS(Scenario4[loser1],"lightbringer",Scenario4[loser1-cp],LightbringerEquipScenario4[[#This Row],[level]])+COUNTIFS(Scenario4[loser2],"lightbringer",Scenario4[loser2-cp],LightbringerEquipScenario4[[#This Row],[level]])+COUNTIFS(Scenario4[loser3],"lightbringer",Scenario4[loser3-cp],LightbringerEquipScenario4[[#This Row],[level]])</f>
        <v>9</v>
      </c>
    </row>
    <row r="89" spans="11:19" x14ac:dyDescent="0.25">
      <c r="K89" t="s">
        <v>103</v>
      </c>
      <c r="L89">
        <f>COUNTIF(Scenario4[winner1-ability1],LightbringerAbilities1Scenario4[[#This Row],[ability]])+COUNTIF(Scenario4[loser1-ability1],LightbringerAbilities1Scenario4[[#This Row],[ability]])+COUNTIF(Scenario4[loser2-ability1],LightbringerAbilities1Scenario4[[#This Row],[ability]])+COUNTIF(Scenario4[loser3-ability1],LightbringerAbilities1Scenario4[[#This Row],[ability]])</f>
        <v>14</v>
      </c>
      <c r="M89">
        <f>COUNTIF(Scenario4[winner1-ability1],LightbringerAbilities1Scenario4[[#This Row],[ability]])</f>
        <v>2</v>
      </c>
      <c r="N89" s="3">
        <f>IF(SUM(LightbringerAbilities1Scenario4[[#This Row],[takes]]) &gt; 0,LightbringerAbilities1Scenario4[[#This Row],[takes]]/SUM(LightbringerAbilities1Scenario4[takes]),0)</f>
        <v>0.25</v>
      </c>
      <c r="O89" s="3">
        <f>IF(LightbringerAbilities1Scenario4[[#This Row],[takes]]&gt;0,LightbringerAbilities1Scenario4[[#This Row],[wins]]/LightbringerAbilities1Scenario4[[#This Row],[takes]],0)</f>
        <v>0.14285714285714285</v>
      </c>
      <c r="Q89">
        <v>3</v>
      </c>
      <c r="R89">
        <f>COUNTIFS(Scenario4[winner1],"lightbringer",Scenario4[winner1-pw],LightbringerEquipScenario4[[#This Row],[level]])+COUNTIFS(Scenario4[loser1],"lightbringer",Scenario4[loser1-pw],LightbringerEquipScenario4[[#This Row],[level]])+COUNTIFS(Scenario4[loser2],"lightbringer",Scenario4[loser2-pw],LightbringerEquipScenario4[[#This Row],[level]])+COUNTIFS(Scenario4[loser3],"lightbringer",Scenario4[loser3-pw],LightbringerEquipScenario4[[#This Row],[level]])</f>
        <v>37</v>
      </c>
      <c r="S89" s="18">
        <f>COUNTIFS(Scenario4[winner1],"lightbringer",Scenario4[winner1-cp],LightbringerEquipScenario4[[#This Row],[level]])+COUNTIFS(Scenario4[loser1],"lightbringer",Scenario4[loser1-cp],LightbringerEquipScenario4[[#This Row],[level]])+COUNTIFS(Scenario4[loser2],"lightbringer",Scenario4[loser2-cp],LightbringerEquipScenario4[[#This Row],[level]])+COUNTIFS(Scenario4[loser3],"lightbringer",Scenario4[loser3-cp],LightbringerEquipScenario4[[#This Row],[level]])</f>
        <v>36</v>
      </c>
    </row>
    <row r="90" spans="11:19" x14ac:dyDescent="0.25">
      <c r="K90" s="17"/>
      <c r="N90" s="3"/>
      <c r="O90" s="3"/>
      <c r="S90" s="18"/>
    </row>
    <row r="91" spans="11:19" x14ac:dyDescent="0.25">
      <c r="K91" s="19" t="s">
        <v>109</v>
      </c>
      <c r="L91" s="8" t="s">
        <v>110</v>
      </c>
      <c r="M91" s="8" t="s">
        <v>79</v>
      </c>
      <c r="N91" s="9" t="s">
        <v>117</v>
      </c>
      <c r="O91" s="9" t="s">
        <v>118</v>
      </c>
      <c r="S91" s="18"/>
    </row>
    <row r="92" spans="11:19" x14ac:dyDescent="0.25">
      <c r="K92" s="2" t="s">
        <v>95</v>
      </c>
      <c r="L92" s="2">
        <f>COUNTIF(Scenario4[winner1-ability2],LightbringerAbilities2Scenario4[[#This Row],[ability]])+COUNTIF(Scenario4[loser1-ability2],LightbringerAbilities2Scenario4[[#This Row],[ability]])+COUNTIF(Scenario4[loser2-ability2],LightbringerAbilities2Scenario4[[#This Row],[ability]])+COUNTIF(Scenario4[loser3-ability2],LightbringerAbilities2Scenario4[[#This Row],[ability]])</f>
        <v>0</v>
      </c>
      <c r="M92" s="2">
        <f>COUNTIF(Scenario4[winner1-ability2],LightbringerAbilities2Scenario4[[#This Row],[ability]])</f>
        <v>0</v>
      </c>
      <c r="N92" s="12">
        <f>IF(SUM(LightbringerAbilities2Scenario4[[#This Row],[takes]]) &gt; 0,LightbringerAbilities2Scenario4[[#This Row],[takes]]/SUM(LightbringerAbilities2Scenario4[takes]),0)</f>
        <v>0</v>
      </c>
      <c r="O92" s="12">
        <f>IF(LightbringerAbilities2Scenario4[[#This Row],[takes]]&gt;0,LightbringerAbilities2Scenario4[[#This Row],[wins]]/LightbringerAbilities2Scenario4[[#This Row],[takes]],0)</f>
        <v>0</v>
      </c>
      <c r="S92" s="18"/>
    </row>
    <row r="93" spans="11:19" x14ac:dyDescent="0.25">
      <c r="K93" t="s">
        <v>146</v>
      </c>
      <c r="L93" s="2">
        <f>COUNTIF(Scenario4[winner1-ability2],LightbringerAbilities2Scenario4[[#This Row],[ability]])+COUNTIF(Scenario4[loser1-ability2],LightbringerAbilities2Scenario4[[#This Row],[ability]])+COUNTIF(Scenario4[loser2-ability2],LightbringerAbilities2Scenario4[[#This Row],[ability]])+COUNTIF(Scenario4[loser3-ability2],LightbringerAbilities2Scenario4[[#This Row],[ability]])</f>
        <v>15</v>
      </c>
      <c r="M93" s="2">
        <f>COUNTIF(Scenario4[winner1-ability2],LightbringerAbilities2Scenario4[[#This Row],[ability]])</f>
        <v>7</v>
      </c>
      <c r="N93" s="3">
        <f>IF(SUM(LightbringerAbilities2Scenario4[[#This Row],[takes]]) &gt; 0,LightbringerAbilities2Scenario4[[#This Row],[takes]]/SUM(LightbringerAbilities2Scenario4[takes]),0)</f>
        <v>0.26785714285714285</v>
      </c>
      <c r="O93" s="3">
        <f>IF(LightbringerAbilities2Scenario4[[#This Row],[takes]]&gt;0,LightbringerAbilities2Scenario4[[#This Row],[wins]]/LightbringerAbilities2Scenario4[[#This Row],[takes]],0)</f>
        <v>0.46666666666666667</v>
      </c>
      <c r="S93" s="18"/>
    </row>
    <row r="94" spans="11:19" x14ac:dyDescent="0.25">
      <c r="K94" s="10" t="s">
        <v>91</v>
      </c>
      <c r="L94" s="2">
        <f>COUNTIF(Scenario4[winner1-ability2],LightbringerAbilities2Scenario4[[#This Row],[ability]])+COUNTIF(Scenario4[loser1-ability2],LightbringerAbilities2Scenario4[[#This Row],[ability]])+COUNTIF(Scenario4[loser2-ability2],LightbringerAbilities2Scenario4[[#This Row],[ability]])+COUNTIF(Scenario4[loser3-ability2],LightbringerAbilities2Scenario4[[#This Row],[ability]])</f>
        <v>41</v>
      </c>
      <c r="M94" s="2">
        <f>COUNTIF(Scenario4[winner1-ability2],LightbringerAbilities2Scenario4[[#This Row],[ability]])</f>
        <v>6</v>
      </c>
      <c r="N94" s="13">
        <f>IF(SUM(LightbringerAbilities2Scenario4[[#This Row],[takes]]) &gt; 0,LightbringerAbilities2Scenario4[[#This Row],[takes]]/SUM(LightbringerAbilities2Scenario4[takes]),0)</f>
        <v>0.7321428571428571</v>
      </c>
      <c r="O94" s="13">
        <f>IF(LightbringerAbilities2Scenario4[[#This Row],[takes]]&gt;0,LightbringerAbilities2Scenario4[[#This Row],[wins]]/LightbringerAbilities2Scenario4[[#This Row],[takes]],0)</f>
        <v>0.14634146341463414</v>
      </c>
      <c r="S94" s="18"/>
    </row>
    <row r="95" spans="11:19" x14ac:dyDescent="0.25">
      <c r="K95" s="17"/>
      <c r="N95" s="3"/>
      <c r="O95" s="3"/>
      <c r="S95" s="18"/>
    </row>
    <row r="96" spans="11:19" x14ac:dyDescent="0.25">
      <c r="K96" s="19" t="s">
        <v>109</v>
      </c>
      <c r="L96" s="8" t="s">
        <v>110</v>
      </c>
      <c r="M96" s="8" t="s">
        <v>79</v>
      </c>
      <c r="N96" s="9" t="s">
        <v>117</v>
      </c>
      <c r="O96" s="9" t="s">
        <v>118</v>
      </c>
      <c r="S96" s="18"/>
    </row>
    <row r="97" spans="11:19" x14ac:dyDescent="0.25">
      <c r="K97" s="1" t="s">
        <v>104</v>
      </c>
      <c r="L97" s="1">
        <f>COUNTIF(Scenario4[winner1-ability3],LightbringerAbilities3Scenario4[[#This Row],[ability]])+COUNTIF(Scenario4[loser1-ability3],LightbringerAbilities3Scenario4[[#This Row],[ability]])+COUNTIF(Scenario4[loser2-ability3],LightbringerAbilities3Scenario4[[#This Row],[ability]])+COUNTIF(Scenario4[loser3-ability3],LightbringerAbilities3Scenario4[[#This Row],[ability]])</f>
        <v>6</v>
      </c>
      <c r="M97" s="1">
        <f>COUNTIF(Scenario4[winner1-ability3],LightbringerAbilities3Scenario4[[#This Row],[ability]])</f>
        <v>2</v>
      </c>
      <c r="N97" s="14">
        <f>IF(SUM(LightbringerAbilities3Scenario4[[#This Row],[takes]]) &gt; 0,LightbringerAbilities3Scenario4[[#This Row],[takes]]/SUM(LightbringerAbilities3Scenario4[takes]),0)</f>
        <v>0.10714285714285714</v>
      </c>
      <c r="O97" s="14">
        <f>IF(LightbringerAbilities3Scenario4[[#This Row],[takes]]&gt;0,LightbringerAbilities3Scenario4[[#This Row],[wins]]/LightbringerAbilities3Scenario4[[#This Row],[takes]],0)</f>
        <v>0.33333333333333331</v>
      </c>
      <c r="S97" s="18"/>
    </row>
    <row r="98" spans="11:19" x14ac:dyDescent="0.25">
      <c r="K98" s="2" t="s">
        <v>147</v>
      </c>
      <c r="L98" s="2">
        <f>COUNTIF(Scenario4[winner1-ability3],LightbringerAbilities3Scenario4[[#This Row],[ability]])+COUNTIF(Scenario4[loser1-ability3],LightbringerAbilities3Scenario4[[#This Row],[ability]])+COUNTIF(Scenario4[loser2-ability3],LightbringerAbilities3Scenario4[[#This Row],[ability]])+COUNTIF(Scenario4[loser3-ability3],LightbringerAbilities3Scenario4[[#This Row],[ability]])</f>
        <v>1</v>
      </c>
      <c r="M98" s="2">
        <f>COUNTIF(Scenario4[winner1-ability3],LightbringerAbilities3Scenario4[[#This Row],[ability]])</f>
        <v>1</v>
      </c>
      <c r="N98" s="12">
        <f>IF(SUM(LightbringerAbilities3Scenario4[[#This Row],[takes]]) &gt; 0,LightbringerAbilities3Scenario4[[#This Row],[takes]]/SUM(LightbringerAbilities3Scenario4[takes]),0)</f>
        <v>1.7857142857142856E-2</v>
      </c>
      <c r="O98" s="12">
        <f>IF(LightbringerAbilities3Scenario4[[#This Row],[takes]]&gt;0,LightbringerAbilities3Scenario4[[#This Row],[wins]]/LightbringerAbilities3Scenario4[[#This Row],[takes]],0)</f>
        <v>1</v>
      </c>
      <c r="S98" s="18"/>
    </row>
    <row r="99" spans="11:19" x14ac:dyDescent="0.25">
      <c r="K99" s="11" t="s">
        <v>148</v>
      </c>
      <c r="L99" s="1">
        <f>COUNTIF(Scenario4[winner1-ability3],LightbringerAbilities3Scenario4[[#This Row],[ability]])+COUNTIF(Scenario4[loser1-ability3],LightbringerAbilities3Scenario4[[#This Row],[ability]])+COUNTIF(Scenario4[loser2-ability3],LightbringerAbilities3Scenario4[[#This Row],[ability]])+COUNTIF(Scenario4[loser3-ability3],LightbringerAbilities3Scenario4[[#This Row],[ability]])</f>
        <v>49</v>
      </c>
      <c r="M99" s="1">
        <f>COUNTIF(Scenario4[winner1-ability3],LightbringerAbilities3Scenario4[[#This Row],[ability]])</f>
        <v>10</v>
      </c>
      <c r="N99" s="15">
        <f>IF(SUM(LightbringerAbilities3Scenario4[[#This Row],[takes]]) &gt; 0,LightbringerAbilities3Scenario4[[#This Row],[takes]]/SUM(LightbringerAbilities3Scenario4[takes]),0)</f>
        <v>0.875</v>
      </c>
      <c r="O99" s="15">
        <f>IF(LightbringerAbilities3Scenario4[[#This Row],[takes]]&gt;0,LightbringerAbilities3Scenario4[[#This Row],[wins]]/LightbringerAbilities3Scenario4[[#This Row],[takes]],0)</f>
        <v>0.20408163265306123</v>
      </c>
      <c r="S99" s="18"/>
    </row>
    <row r="100" spans="11:19" x14ac:dyDescent="0.25">
      <c r="K100" s="17"/>
      <c r="N100" s="3"/>
      <c r="O100" s="3"/>
      <c r="S100" s="18"/>
    </row>
    <row r="101" spans="11:19" x14ac:dyDescent="0.25">
      <c r="K101" s="19" t="s">
        <v>109</v>
      </c>
      <c r="L101" s="8" t="s">
        <v>110</v>
      </c>
      <c r="M101" s="8" t="s">
        <v>79</v>
      </c>
      <c r="N101" s="9" t="s">
        <v>117</v>
      </c>
      <c r="O101" s="9" t="s">
        <v>118</v>
      </c>
      <c r="S101" s="18"/>
    </row>
    <row r="102" spans="11:19" x14ac:dyDescent="0.25">
      <c r="K102" s="2" t="s">
        <v>149</v>
      </c>
      <c r="L102" s="2">
        <f>COUNTIF(Scenario4[winner1-ability4],LightbringerAbilities4Scenario4[[#This Row],[ability]])+COUNTIF(Scenario4[loser1-ability4],LightbringerAbilities4Scenario4[[#This Row],[ability]])+COUNTIF(Scenario4[loser2-ability4],LightbringerAbilities4Scenario4[[#This Row],[ability]])+COUNTIF(Scenario4[loser3-ability4],LightbringerAbilities4Scenario4[[#This Row],[ability]])</f>
        <v>2</v>
      </c>
      <c r="M102" s="2">
        <f>COUNTIF(Scenario4[winner1-ability4],LightbringerAbilities4Scenario4[[#This Row],[ability]])</f>
        <v>2</v>
      </c>
      <c r="N102" s="12">
        <f>IF(SUM(LightbringerAbilities4Scenario4[[#This Row],[takes]]) &gt; 0,LightbringerAbilities4Scenario4[[#This Row],[takes]]/SUM(LightbringerAbilities4Scenario4[takes]),0)</f>
        <v>3.7037037037037035E-2</v>
      </c>
      <c r="O102" s="12">
        <f>IF(LightbringerAbilities4Scenario4[[#This Row],[takes]]&gt;0,LightbringerAbilities4Scenario4[[#This Row],[wins]]/LightbringerAbilities4Scenario4[[#This Row],[takes]],0)</f>
        <v>1</v>
      </c>
      <c r="S102" s="18"/>
    </row>
    <row r="103" spans="11:19" x14ac:dyDescent="0.25">
      <c r="K103" s="2" t="s">
        <v>150</v>
      </c>
      <c r="L103" s="2">
        <f>COUNTIF(Scenario4[winner1-ability4],LightbringerAbilities4Scenario4[[#This Row],[ability]])+COUNTIF(Scenario4[loser1-ability4],LightbringerAbilities4Scenario4[[#This Row],[ability]])+COUNTIF(Scenario4[loser2-ability4],LightbringerAbilities4Scenario4[[#This Row],[ability]])+COUNTIF(Scenario4[loser3-ability4],LightbringerAbilities4Scenario4[[#This Row],[ability]])</f>
        <v>7</v>
      </c>
      <c r="M103" s="2">
        <f>COUNTIF(Scenario4[winner1-ability4],LightbringerAbilities4Scenario4[[#This Row],[ability]])</f>
        <v>3</v>
      </c>
      <c r="N103" s="12">
        <f>IF(SUM(LightbringerAbilities4Scenario4[[#This Row],[takes]]) &gt; 0,LightbringerAbilities4Scenario4[[#This Row],[takes]]/SUM(LightbringerAbilities4Scenario4[takes]),0)</f>
        <v>0.12962962962962962</v>
      </c>
      <c r="O103" s="12">
        <f>IF(LightbringerAbilities4Scenario4[[#This Row],[takes]]&gt;0,LightbringerAbilities4Scenario4[[#This Row],[wins]]/LightbringerAbilities4Scenario4[[#This Row],[takes]],0)</f>
        <v>0.42857142857142855</v>
      </c>
      <c r="S103" s="18"/>
    </row>
    <row r="104" spans="11:19" ht="15.75" thickBot="1" x14ac:dyDescent="0.3">
      <c r="K104" s="10" t="s">
        <v>151</v>
      </c>
      <c r="L104" s="2">
        <f>COUNTIF(Scenario4[winner1-ability4],LightbringerAbilities4Scenario4[[#This Row],[ability]])+COUNTIF(Scenario4[loser1-ability4],LightbringerAbilities4Scenario4[[#This Row],[ability]])+COUNTIF(Scenario4[loser2-ability4],LightbringerAbilities4Scenario4[[#This Row],[ability]])+COUNTIF(Scenario4[loser3-ability4],LightbringerAbilities4Scenario4[[#This Row],[ability]])</f>
        <v>45</v>
      </c>
      <c r="M104" s="2">
        <f>COUNTIF(Scenario4[winner1-ability4],LightbringerAbilities4Scenario4[[#This Row],[ability]])</f>
        <v>8</v>
      </c>
      <c r="N104" s="26">
        <f>IF(SUM(LightbringerAbilities4Scenario4[[#This Row],[takes]]) &gt; 0,LightbringerAbilities4Scenario4[[#This Row],[takes]]/SUM(LightbringerAbilities4Scenario4[takes]),0)</f>
        <v>0.83333333333333337</v>
      </c>
      <c r="O104" s="26">
        <f>IF(LightbringerAbilities4Scenario4[[#This Row],[takes]]&gt;0,LightbringerAbilities4Scenario4[[#This Row],[wins]]/LightbringerAbilities4Scenario4[[#This Row],[takes]],0)</f>
        <v>0.17777777777777778</v>
      </c>
      <c r="P104" s="27"/>
      <c r="Q104" s="27"/>
      <c r="R104" s="27"/>
      <c r="S104" s="28"/>
    </row>
    <row r="105" spans="11:19" ht="15.75" thickBot="1" x14ac:dyDescent="0.3"/>
    <row r="106" spans="11:19" ht="15.75" thickBot="1" x14ac:dyDescent="0.3">
      <c r="K106" s="36" t="s">
        <v>220</v>
      </c>
      <c r="L106" s="37"/>
      <c r="M106" s="37"/>
      <c r="N106" s="37"/>
      <c r="O106" s="37"/>
      <c r="P106" s="37"/>
      <c r="Q106" s="37"/>
      <c r="R106" s="37"/>
      <c r="S106" s="38"/>
    </row>
    <row r="107" spans="11:19" x14ac:dyDescent="0.25">
      <c r="K107" s="17" t="s">
        <v>109</v>
      </c>
      <c r="L107" t="s">
        <v>110</v>
      </c>
      <c r="M107" t="s">
        <v>79</v>
      </c>
      <c r="N107" s="3" t="s">
        <v>117</v>
      </c>
      <c r="O107" s="3" t="s">
        <v>118</v>
      </c>
      <c r="Q107" t="s">
        <v>161</v>
      </c>
      <c r="R107" t="s">
        <v>170</v>
      </c>
      <c r="S107" s="18" t="s">
        <v>164</v>
      </c>
    </row>
    <row r="108" spans="11:19" x14ac:dyDescent="0.25">
      <c r="K108" t="s">
        <v>72</v>
      </c>
      <c r="L108">
        <f>COUNTIF(Scenario5[winner1-ability1],LightbringerAbilities1Scenario5[[#This Row],[ability]])+COUNTIF(Scenario5[winner2-ability1],LightbringerAbilities1Scenario5[[#This Row],[ability]])+COUNTIF(Scenario5[loser1-ability1],LightbringerAbilities1Scenario5[[#This Row],[ability]])+COUNTIF(Scenario5[loser2-ability1],LightbringerAbilities1Scenario5[[#This Row],[ability]])</f>
        <v>28</v>
      </c>
      <c r="M108">
        <f>COUNTIF(Scenario5[winner1-ability1],LightbringerAbilities1Scenario5[[#This Row],[ability]])+COUNTIF(Scenario5[winner2-ability1],LightbringerAbilities1Scenario5[[#This Row],[ability]])</f>
        <v>17</v>
      </c>
      <c r="N108" s="3">
        <f>IF(SUM(LightbringerAbilities1Scenario5[[#This Row],[takes]]) &gt; 0,LightbringerAbilities1Scenario5[[#This Row],[takes]]/SUM(LightbringerAbilities1Scenario5[takes]),0)</f>
        <v>0.16666666666666666</v>
      </c>
      <c r="O108" s="3">
        <f>IF(LightbringerAbilities1Scenario5[[#This Row],[takes]]&gt;0,LightbringerAbilities1Scenario5[[#This Row],[wins]]/LightbringerAbilities1Scenario5[[#This Row],[takes]],0)</f>
        <v>0.6071428571428571</v>
      </c>
      <c r="Q108">
        <v>1</v>
      </c>
      <c r="R108">
        <f>COUNTIFS(Scenario5[winner1],"lightbringer",Scenario5[winner1-pw],LightbringerEquipScenario5[[#This Row],[level]])+COUNTIFS(Scenario5[winner2],"lightbringer",Scenario5[winner2-pw],LightbringerEquipScenario5[[#This Row],[level]])+COUNTIFS(Scenario5[loser1],"lightbringer",Scenario5[loser1-pw],LightbringerEquipScenario5[[#This Row],[level]])+COUNTIFS(Scenario5[loser2],"lightbringer",Scenario5[loser2-pw],LightbringerEquipScenario5[[#This Row],[level]])</f>
        <v>53</v>
      </c>
      <c r="S108" s="18">
        <f>COUNTIFS(Scenario5[winner1],"lightbringer",Scenario5[winner1-cp],LightbringerEquipScenario5[[#This Row],[level]])+COUNTIFS(Scenario5[winner2],"lightbringer",Scenario5[winner2-cp],LightbringerEquipScenario5[[#This Row],[level]])+COUNTIFS(Scenario5[loser1],"lightbringer",Scenario5[loser1-cp],LightbringerEquipScenario5[[#This Row],[level]])+COUNTIFS(Scenario5[loser2],"lightbringer",Scenario5[loser2-cp],LightbringerEquipScenario5[[#This Row],[level]])</f>
        <v>70</v>
      </c>
    </row>
    <row r="109" spans="11:19" x14ac:dyDescent="0.25">
      <c r="K109" t="s">
        <v>145</v>
      </c>
      <c r="L109">
        <f>COUNTIF(Scenario5[winner1-ability1],LightbringerAbilities1Scenario5[[#This Row],[ability]])+COUNTIF(Scenario5[winner2-ability1],LightbringerAbilities1Scenario5[[#This Row],[ability]])+COUNTIF(Scenario5[loser1-ability1],LightbringerAbilities1Scenario5[[#This Row],[ability]])+COUNTIF(Scenario5[loser2-ability1],LightbringerAbilities1Scenario5[[#This Row],[ability]])</f>
        <v>76</v>
      </c>
      <c r="M109">
        <f>COUNTIF(Scenario5[winner1-ability1],LightbringerAbilities1Scenario5[[#This Row],[ability]])+COUNTIF(Scenario5[winner2-ability1],LightbringerAbilities1Scenario5[[#This Row],[ability]])</f>
        <v>45</v>
      </c>
      <c r="N109" s="3">
        <f>IF(SUM(LightbringerAbilities1Scenario5[[#This Row],[takes]]) &gt; 0,LightbringerAbilities1Scenario5[[#This Row],[takes]]/SUM(LightbringerAbilities1Scenario5[takes]),0)</f>
        <v>0.45238095238095238</v>
      </c>
      <c r="O109" s="3">
        <f>IF(LightbringerAbilities1Scenario5[[#This Row],[takes]]&gt;0,LightbringerAbilities1Scenario5[[#This Row],[wins]]/LightbringerAbilities1Scenario5[[#This Row],[takes]],0)</f>
        <v>0.59210526315789469</v>
      </c>
      <c r="Q109">
        <v>2</v>
      </c>
      <c r="R109">
        <f>COUNTIFS(Scenario5[winner1],"lightbringer",Scenario5[winner1-pw],LightbringerEquipScenario5[[#This Row],[level]])+COUNTIFS(Scenario5[winner2],"lightbringer",Scenario5[winner2-pw],LightbringerEquipScenario5[[#This Row],[level]])+COUNTIFS(Scenario5[loser1],"lightbringer",Scenario5[loser1-pw],LightbringerEquipScenario5[[#This Row],[level]])+COUNTIFS(Scenario5[loser2],"lightbringer",Scenario5[loser2-pw],LightbringerEquipScenario5[[#This Row],[level]])</f>
        <v>33</v>
      </c>
      <c r="S109" s="18">
        <f>COUNTIFS(Scenario5[winner1],"lightbringer",Scenario5[winner1-cp],LightbringerEquipScenario5[[#This Row],[level]])+COUNTIFS(Scenario5[winner2],"lightbringer",Scenario5[winner2-cp],LightbringerEquipScenario5[[#This Row],[level]])+COUNTIFS(Scenario5[loser1],"lightbringer",Scenario5[loser1-cp],LightbringerEquipScenario5[[#This Row],[level]])+COUNTIFS(Scenario5[loser2],"lightbringer",Scenario5[loser2-cp],LightbringerEquipScenario5[[#This Row],[level]])</f>
        <v>37</v>
      </c>
    </row>
    <row r="110" spans="11:19" x14ac:dyDescent="0.25">
      <c r="K110" t="s">
        <v>103</v>
      </c>
      <c r="L110">
        <f>COUNTIF(Scenario5[winner1-ability1],LightbringerAbilities1Scenario5[[#This Row],[ability]])+COUNTIF(Scenario5[winner2-ability1],LightbringerAbilities1Scenario5[[#This Row],[ability]])+COUNTIF(Scenario5[loser1-ability1],LightbringerAbilities1Scenario5[[#This Row],[ability]])+COUNTIF(Scenario5[loser2-ability1],LightbringerAbilities1Scenario5[[#This Row],[ability]])</f>
        <v>64</v>
      </c>
      <c r="M110">
        <f>COUNTIF(Scenario5[winner1-ability1],LightbringerAbilities1Scenario5[[#This Row],[ability]])+COUNTIF(Scenario5[winner2-ability1],LightbringerAbilities1Scenario5[[#This Row],[ability]])</f>
        <v>32</v>
      </c>
      <c r="N110" s="3">
        <f>IF(SUM(LightbringerAbilities1Scenario5[[#This Row],[takes]]) &gt; 0,LightbringerAbilities1Scenario5[[#This Row],[takes]]/SUM(LightbringerAbilities1Scenario5[takes]),0)</f>
        <v>0.38095238095238093</v>
      </c>
      <c r="O110" s="3">
        <f>IF(LightbringerAbilities1Scenario5[[#This Row],[takes]]&gt;0,LightbringerAbilities1Scenario5[[#This Row],[wins]]/LightbringerAbilities1Scenario5[[#This Row],[takes]],0)</f>
        <v>0.5</v>
      </c>
      <c r="Q110">
        <v>3</v>
      </c>
      <c r="R110">
        <f>COUNTIFS(Scenario5[winner1],"lightbringer",Scenario5[winner1-pw],LightbringerEquipScenario5[[#This Row],[level]])+COUNTIFS(Scenario5[winner2],"lightbringer",Scenario5[winner2-pw],LightbringerEquipScenario5[[#This Row],[level]])+COUNTIFS(Scenario5[loser1],"lightbringer",Scenario5[loser1-pw],LightbringerEquipScenario5[[#This Row],[level]])+COUNTIFS(Scenario5[loser2],"lightbringer",Scenario5[loser2-pw],LightbringerEquipScenario5[[#This Row],[level]])</f>
        <v>82</v>
      </c>
      <c r="S110" s="18">
        <f>COUNTIFS(Scenario5[winner1],"lightbringer",Scenario5[winner1-cp],LightbringerEquipScenario5[[#This Row],[level]])+COUNTIFS(Scenario5[winner2],"lightbringer",Scenario5[winner2-cp],LightbringerEquipScenario5[[#This Row],[level]])+COUNTIFS(Scenario5[loser1],"lightbringer",Scenario5[loser1-cp],LightbringerEquipScenario5[[#This Row],[level]])+COUNTIFS(Scenario5[loser2],"lightbringer",Scenario5[loser2-cp],LightbringerEquipScenario5[[#This Row],[level]])</f>
        <v>61</v>
      </c>
    </row>
    <row r="111" spans="11:19" x14ac:dyDescent="0.25">
      <c r="K111" s="17"/>
      <c r="N111" s="3"/>
      <c r="O111" s="3"/>
      <c r="S111" s="18"/>
    </row>
    <row r="112" spans="11:19" x14ac:dyDescent="0.25">
      <c r="K112" s="19" t="s">
        <v>109</v>
      </c>
      <c r="L112" s="8" t="s">
        <v>110</v>
      </c>
      <c r="M112" s="8" t="s">
        <v>79</v>
      </c>
      <c r="N112" s="9" t="s">
        <v>117</v>
      </c>
      <c r="O112" s="9" t="s">
        <v>118</v>
      </c>
      <c r="S112" s="18"/>
    </row>
    <row r="113" spans="11:19" x14ac:dyDescent="0.25">
      <c r="K113" s="2" t="s">
        <v>95</v>
      </c>
      <c r="L113" s="2">
        <f>COUNTIF(Scenario5[winner1-ability2],LightbringerAbilities2Scenario5[[#This Row],[ability]])+COUNTIF(Scenario5[winner2-ability2],LightbringerAbilities2Scenario5[[#This Row],[ability]])+COUNTIF(Scenario5[loser1-ability2],LightbringerAbilities2Scenario5[[#This Row],[ability]])+COUNTIF(Scenario5[loser2-ability2],LightbringerAbilities2Scenario5[[#This Row],[ability]])</f>
        <v>13</v>
      </c>
      <c r="M113" s="2">
        <f>COUNTIF(Scenario5[winner1-ability2],LightbringerAbilities2Scenario5[[#This Row],[ability]])+COUNTIF(Scenario5[winner2-ability2],LightbringerAbilities2Scenario5[[#This Row],[ability]])</f>
        <v>9</v>
      </c>
      <c r="N113" s="12">
        <f>IF(SUM(LightbringerAbilities2Scenario5[[#This Row],[takes]]) &gt; 0,LightbringerAbilities2Scenario5[[#This Row],[takes]]/SUM(LightbringerAbilities2Scenario5[takes]),0)</f>
        <v>7.8313253012048195E-2</v>
      </c>
      <c r="O113" s="12">
        <f>IF(LightbringerAbilities2Scenario5[[#This Row],[takes]]&gt;0,LightbringerAbilities2Scenario5[[#This Row],[wins]]/LightbringerAbilities2Scenario5[[#This Row],[takes]],0)</f>
        <v>0.69230769230769229</v>
      </c>
      <c r="S113" s="18"/>
    </row>
    <row r="114" spans="11:19" x14ac:dyDescent="0.25">
      <c r="K114" t="s">
        <v>146</v>
      </c>
      <c r="L114" s="2">
        <f>COUNTIF(Scenario5[winner1-ability2],LightbringerAbilities2Scenario5[[#This Row],[ability]])+COUNTIF(Scenario5[winner2-ability2],LightbringerAbilities2Scenario5[[#This Row],[ability]])+COUNTIF(Scenario5[loser1-ability2],LightbringerAbilities2Scenario5[[#This Row],[ability]])+COUNTIF(Scenario5[loser2-ability2],LightbringerAbilities2Scenario5[[#This Row],[ability]])</f>
        <v>64</v>
      </c>
      <c r="M114" s="2">
        <f>COUNTIF(Scenario5[winner1-ability2],LightbringerAbilities2Scenario5[[#This Row],[ability]])+COUNTIF(Scenario5[winner2-ability2],LightbringerAbilities2Scenario5[[#This Row],[ability]])</f>
        <v>35</v>
      </c>
      <c r="N114" s="3">
        <f>IF(SUM(LightbringerAbilities2Scenario5[[#This Row],[takes]]) &gt; 0,LightbringerAbilities2Scenario5[[#This Row],[takes]]/SUM(LightbringerAbilities2Scenario5[takes]),0)</f>
        <v>0.38554216867469882</v>
      </c>
      <c r="O114" s="3">
        <f>IF(LightbringerAbilities2Scenario5[[#This Row],[takes]]&gt;0,LightbringerAbilities2Scenario5[[#This Row],[wins]]/LightbringerAbilities2Scenario5[[#This Row],[takes]],0)</f>
        <v>0.546875</v>
      </c>
      <c r="S114" s="18"/>
    </row>
    <row r="115" spans="11:19" x14ac:dyDescent="0.25">
      <c r="K115" s="10" t="s">
        <v>91</v>
      </c>
      <c r="L115" s="2">
        <f>COUNTIF(Scenario5[winner1-ability2],LightbringerAbilities2Scenario5[[#This Row],[ability]])+COUNTIF(Scenario5[winner2-ability2],LightbringerAbilities2Scenario5[[#This Row],[ability]])+COUNTIF(Scenario5[loser1-ability2],LightbringerAbilities2Scenario5[[#This Row],[ability]])+COUNTIF(Scenario5[loser2-ability2],LightbringerAbilities2Scenario5[[#This Row],[ability]])</f>
        <v>89</v>
      </c>
      <c r="M115" s="2">
        <f>COUNTIF(Scenario5[winner1-ability2],LightbringerAbilities2Scenario5[[#This Row],[ability]])+COUNTIF(Scenario5[winner2-ability2],LightbringerAbilities2Scenario5[[#This Row],[ability]])</f>
        <v>49</v>
      </c>
      <c r="N115" s="13">
        <f>IF(SUM(LightbringerAbilities2Scenario5[[#This Row],[takes]]) &gt; 0,LightbringerAbilities2Scenario5[[#This Row],[takes]]/SUM(LightbringerAbilities2Scenario5[takes]),0)</f>
        <v>0.53614457831325302</v>
      </c>
      <c r="O115" s="13">
        <f>IF(LightbringerAbilities2Scenario5[[#This Row],[takes]]&gt;0,LightbringerAbilities2Scenario5[[#This Row],[wins]]/LightbringerAbilities2Scenario5[[#This Row],[takes]],0)</f>
        <v>0.550561797752809</v>
      </c>
      <c r="S115" s="18"/>
    </row>
    <row r="116" spans="11:19" x14ac:dyDescent="0.25">
      <c r="K116" s="17"/>
      <c r="N116" s="3"/>
      <c r="O116" s="3"/>
      <c r="S116" s="18"/>
    </row>
    <row r="117" spans="11:19" x14ac:dyDescent="0.25">
      <c r="K117" s="19" t="s">
        <v>109</v>
      </c>
      <c r="L117" s="8" t="s">
        <v>110</v>
      </c>
      <c r="M117" s="8" t="s">
        <v>79</v>
      </c>
      <c r="N117" s="9" t="s">
        <v>117</v>
      </c>
      <c r="O117" s="9" t="s">
        <v>118</v>
      </c>
      <c r="S117" s="18"/>
    </row>
    <row r="118" spans="11:19" x14ac:dyDescent="0.25">
      <c r="K118" s="1" t="s">
        <v>104</v>
      </c>
      <c r="L118" s="1">
        <f>COUNTIF(Scenario5[winner1-ability3],LightbringerAbilities3Scenario5[[#This Row],[ability]])+COUNTIF(Scenario5[winner2-ability3],LightbringerAbilities3Scenario5[[#This Row],[ability]])+COUNTIF(Scenario5[loser1-ability3],LightbringerAbilities3Scenario5[[#This Row],[ability]])+COUNTIF(Scenario5[loser2-ability3],LightbringerAbilities3Scenario5[[#This Row],[ability]])</f>
        <v>25</v>
      </c>
      <c r="M118" s="1">
        <f>COUNTIF(Scenario5[winner1-ability3],LightbringerAbilities3Scenario5[[#This Row],[ability]])+COUNTIF(Scenario5[winner2-ability3],LightbringerAbilities3Scenario5[[#This Row],[ability]])</f>
        <v>14</v>
      </c>
      <c r="N118" s="14">
        <f>IF(SUM(LightbringerAbilities3Scenario5[[#This Row],[takes]]) &gt; 0,LightbringerAbilities3Scenario5[[#This Row],[takes]]/SUM(LightbringerAbilities3Scenario5[takes]),0)</f>
        <v>0.18115942028985507</v>
      </c>
      <c r="O118" s="14">
        <f>IF(LightbringerAbilities3Scenario5[[#This Row],[takes]]&gt;0,LightbringerAbilities3Scenario5[[#This Row],[wins]]/LightbringerAbilities3Scenario5[[#This Row],[takes]],0)</f>
        <v>0.56000000000000005</v>
      </c>
      <c r="S118" s="18"/>
    </row>
    <row r="119" spans="11:19" x14ac:dyDescent="0.25">
      <c r="K119" s="2" t="s">
        <v>147</v>
      </c>
      <c r="L119" s="2">
        <f>COUNTIF(Scenario5[winner1-ability3],LightbringerAbilities3Scenario5[[#This Row],[ability]])+COUNTIF(Scenario5[winner2-ability3],LightbringerAbilities3Scenario5[[#This Row],[ability]])+COUNTIF(Scenario5[loser1-ability3],LightbringerAbilities3Scenario5[[#This Row],[ability]])+COUNTIF(Scenario5[loser2-ability3],LightbringerAbilities3Scenario5[[#This Row],[ability]])</f>
        <v>46</v>
      </c>
      <c r="M119" s="2">
        <f>COUNTIF(Scenario5[winner1-ability3],LightbringerAbilities3Scenario5[[#This Row],[ability]])+COUNTIF(Scenario5[winner2-ability3],LightbringerAbilities3Scenario5[[#This Row],[ability]])</f>
        <v>28</v>
      </c>
      <c r="N119" s="12">
        <f>IF(SUM(LightbringerAbilities3Scenario5[[#This Row],[takes]]) &gt; 0,LightbringerAbilities3Scenario5[[#This Row],[takes]]/SUM(LightbringerAbilities3Scenario5[takes]),0)</f>
        <v>0.33333333333333331</v>
      </c>
      <c r="O119" s="12">
        <f>IF(LightbringerAbilities3Scenario5[[#This Row],[takes]]&gt;0,LightbringerAbilities3Scenario5[[#This Row],[wins]]/LightbringerAbilities3Scenario5[[#This Row],[takes]],0)</f>
        <v>0.60869565217391308</v>
      </c>
      <c r="S119" s="18"/>
    </row>
    <row r="120" spans="11:19" x14ac:dyDescent="0.25">
      <c r="K120" s="11" t="s">
        <v>148</v>
      </c>
      <c r="L120" s="1">
        <f>COUNTIF(Scenario5[winner1-ability3],LightbringerAbilities3Scenario5[[#This Row],[ability]])+COUNTIF(Scenario5[winner2-ability3],LightbringerAbilities3Scenario5[[#This Row],[ability]])+COUNTIF(Scenario5[loser1-ability3],LightbringerAbilities3Scenario5[[#This Row],[ability]])+COUNTIF(Scenario5[loser2-ability3],LightbringerAbilities3Scenario5[[#This Row],[ability]])</f>
        <v>67</v>
      </c>
      <c r="M120" s="1">
        <f>COUNTIF(Scenario5[winner1-ability3],LightbringerAbilities3Scenario5[[#This Row],[ability]])+COUNTIF(Scenario5[winner2-ability3],LightbringerAbilities3Scenario5[[#This Row],[ability]])</f>
        <v>40</v>
      </c>
      <c r="N120" s="15">
        <f>IF(SUM(LightbringerAbilities3Scenario5[[#This Row],[takes]]) &gt; 0,LightbringerAbilities3Scenario5[[#This Row],[takes]]/SUM(LightbringerAbilities3Scenario5[takes]),0)</f>
        <v>0.48550724637681159</v>
      </c>
      <c r="O120" s="15">
        <f>IF(LightbringerAbilities3Scenario5[[#This Row],[takes]]&gt;0,LightbringerAbilities3Scenario5[[#This Row],[wins]]/LightbringerAbilities3Scenario5[[#This Row],[takes]],0)</f>
        <v>0.59701492537313428</v>
      </c>
      <c r="S120" s="18"/>
    </row>
    <row r="121" spans="11:19" x14ac:dyDescent="0.25">
      <c r="K121" s="17"/>
      <c r="N121" s="3"/>
      <c r="O121" s="3"/>
      <c r="S121" s="18"/>
    </row>
    <row r="122" spans="11:19" x14ac:dyDescent="0.25">
      <c r="K122" s="19" t="s">
        <v>109</v>
      </c>
      <c r="L122" s="8" t="s">
        <v>110</v>
      </c>
      <c r="M122" s="8" t="s">
        <v>79</v>
      </c>
      <c r="N122" s="9" t="s">
        <v>117</v>
      </c>
      <c r="O122" s="9" t="s">
        <v>118</v>
      </c>
      <c r="S122" s="18"/>
    </row>
    <row r="123" spans="11:19" x14ac:dyDescent="0.25">
      <c r="K123" s="2" t="s">
        <v>149</v>
      </c>
      <c r="L123" s="2">
        <f>COUNTIF(Scenario5[winner1-ability4],LightbringerAbilities4Scenario5[[#This Row],[ability]])+COUNTIF(Scenario5[winner2-ability4],LightbringerAbilities4Scenario5[[#This Row],[ability]])+COUNTIF(Scenario5[loser1-ability4],LightbringerAbilities4Scenario5[[#This Row],[ability]])+COUNTIF(Scenario5[loser2-ability4],LightbringerAbilities4Scenario5[[#This Row],[ability]])</f>
        <v>13</v>
      </c>
      <c r="M123" s="2">
        <f>COUNTIF(Scenario5[winner1-ability4],LightbringerAbilities4Scenario5[[#This Row],[ability]])+COUNTIF(Scenario5[winner2-ability4],LightbringerAbilities4Scenario5[[#This Row],[ability]])</f>
        <v>8</v>
      </c>
      <c r="N123" s="12">
        <f>IF(SUM(LightbringerAbilities4Scenario5[[#This Row],[takes]]) &gt; 0,LightbringerAbilities4Scenario5[[#This Row],[takes]]/SUM(LightbringerAbilities4Scenario5[takes]),0)</f>
        <v>0.11711711711711711</v>
      </c>
      <c r="O123" s="12">
        <f>IF(LightbringerAbilities4Scenario5[[#This Row],[takes]]&gt;0,LightbringerAbilities4Scenario5[[#This Row],[wins]]/LightbringerAbilities4Scenario5[[#This Row],[takes]],0)</f>
        <v>0.61538461538461542</v>
      </c>
      <c r="S123" s="18"/>
    </row>
    <row r="124" spans="11:19" x14ac:dyDescent="0.25">
      <c r="K124" s="2" t="s">
        <v>150</v>
      </c>
      <c r="L124" s="2">
        <f>COUNTIF(Scenario5[winner1-ability4],LightbringerAbilities4Scenario5[[#This Row],[ability]])+COUNTIF(Scenario5[winner2-ability4],LightbringerAbilities4Scenario5[[#This Row],[ability]])+COUNTIF(Scenario5[loser1-ability4],LightbringerAbilities4Scenario5[[#This Row],[ability]])+COUNTIF(Scenario5[loser2-ability4],LightbringerAbilities4Scenario5[[#This Row],[ability]])</f>
        <v>47</v>
      </c>
      <c r="M124" s="2">
        <f>COUNTIF(Scenario5[winner1-ability4],LightbringerAbilities4Scenario5[[#This Row],[ability]])+COUNTIF(Scenario5[winner2-ability4],LightbringerAbilities4Scenario5[[#This Row],[ability]])</f>
        <v>37</v>
      </c>
      <c r="N124" s="12">
        <f>IF(SUM(LightbringerAbilities4Scenario5[[#This Row],[takes]]) &gt; 0,LightbringerAbilities4Scenario5[[#This Row],[takes]]/SUM(LightbringerAbilities4Scenario5[takes]),0)</f>
        <v>0.42342342342342343</v>
      </c>
      <c r="O124" s="12">
        <f>IF(LightbringerAbilities4Scenario5[[#This Row],[takes]]&gt;0,LightbringerAbilities4Scenario5[[#This Row],[wins]]/LightbringerAbilities4Scenario5[[#This Row],[takes]],0)</f>
        <v>0.78723404255319152</v>
      </c>
      <c r="S124" s="18"/>
    </row>
    <row r="125" spans="11:19" ht="15.75" thickBot="1" x14ac:dyDescent="0.3">
      <c r="K125" s="10" t="s">
        <v>151</v>
      </c>
      <c r="L125" s="2">
        <f>COUNTIF(Scenario5[winner1-ability4],LightbringerAbilities4Scenario5[[#This Row],[ability]])+COUNTIF(Scenario5[winner2-ability4],LightbringerAbilities4Scenario5[[#This Row],[ability]])+COUNTIF(Scenario5[loser1-ability4],LightbringerAbilities4Scenario5[[#This Row],[ability]])+COUNTIF(Scenario5[loser2-ability4],LightbringerAbilities4Scenario5[[#This Row],[ability]])</f>
        <v>51</v>
      </c>
      <c r="M125" s="2">
        <f>COUNTIF(Scenario5[winner1-ability4],LightbringerAbilities4Scenario5[[#This Row],[ability]])+COUNTIF(Scenario5[winner2-ability4],LightbringerAbilities4Scenario5[[#This Row],[ability]])</f>
        <v>28</v>
      </c>
      <c r="N125" s="26">
        <f>IF(SUM(LightbringerAbilities4Scenario5[[#This Row],[takes]]) &gt; 0,LightbringerAbilities4Scenario5[[#This Row],[takes]]/SUM(LightbringerAbilities4Scenario5[takes]),0)</f>
        <v>0.45945945945945948</v>
      </c>
      <c r="O125" s="26">
        <f>IF(LightbringerAbilities4Scenario5[[#This Row],[takes]]&gt;0,LightbringerAbilities4Scenario5[[#This Row],[wins]]/LightbringerAbilities4Scenario5[[#This Row],[takes]],0)</f>
        <v>0.5490196078431373</v>
      </c>
      <c r="P125" s="27"/>
      <c r="Q125" s="27"/>
      <c r="R125" s="27"/>
      <c r="S125" s="28"/>
    </row>
  </sheetData>
  <mergeCells count="7">
    <mergeCell ref="K106:S106"/>
    <mergeCell ref="K85:S85"/>
    <mergeCell ref="A1:I1"/>
    <mergeCell ref="K1:S1"/>
    <mergeCell ref="K22:S22"/>
    <mergeCell ref="K43:S43"/>
    <mergeCell ref="K64:S64"/>
  </mergeCells>
  <pageMargins left="0.7" right="0.7" top="0.75" bottom="0.75" header="0.3" footer="0.3"/>
  <pageSetup paperSize="9" orientation="portrait" r:id="rId1"/>
  <tableParts count="3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EAD1-3419-4B7C-8101-EA847349261B}">
  <dimension ref="A1:X125"/>
  <sheetViews>
    <sheetView workbookViewId="0">
      <selection activeCell="I3" sqref="I3:I5"/>
    </sheetView>
  </sheetViews>
  <sheetFormatPr defaultRowHeight="15" x14ac:dyDescent="0.25"/>
  <cols>
    <col min="1" max="1" width="17.85546875" bestFit="1" customWidth="1"/>
    <col min="2" max="2" width="8" bestFit="1" customWidth="1"/>
    <col min="3" max="3" width="7.42578125" bestFit="1" customWidth="1"/>
    <col min="4" max="4" width="18.42578125" style="3" bestFit="1" customWidth="1"/>
    <col min="5" max="5" width="15.5703125" style="3" bestFit="1" customWidth="1"/>
    <col min="6" max="6" width="3.5703125" customWidth="1"/>
    <col min="7" max="7" width="7.7109375" bestFit="1" customWidth="1"/>
    <col min="8" max="8" width="8.140625" bestFit="1" customWidth="1"/>
    <col min="9" max="9" width="8.28515625" bestFit="1" customWidth="1"/>
    <col min="10" max="10" width="12.85546875" bestFit="1" customWidth="1"/>
    <col min="11" max="11" width="3.85546875" customWidth="1"/>
    <col min="12" max="12" width="17.85546875" bestFit="1" customWidth="1"/>
    <col min="13" max="13" width="8" bestFit="1" customWidth="1"/>
    <col min="14" max="14" width="7.42578125" bestFit="1" customWidth="1"/>
    <col min="15" max="15" width="18.42578125" bestFit="1" customWidth="1"/>
    <col min="16" max="16" width="15.5703125" bestFit="1" customWidth="1"/>
    <col min="17" max="17" width="4" customWidth="1"/>
    <col min="18" max="18" width="7.7109375" bestFit="1" customWidth="1"/>
    <col min="19" max="19" width="8.140625" bestFit="1" customWidth="1"/>
    <col min="20" max="20" width="8.28515625" bestFit="1" customWidth="1"/>
    <col min="21" max="21" width="12.85546875" bestFit="1" customWidth="1"/>
    <col min="23" max="23" width="16.85546875" bestFit="1" customWidth="1"/>
    <col min="24" max="24" width="7.140625" bestFit="1" customWidth="1"/>
  </cols>
  <sheetData>
    <row r="1" spans="1:24" ht="15.75" thickBot="1" x14ac:dyDescent="0.3">
      <c r="A1" s="36" t="s">
        <v>181</v>
      </c>
      <c r="B1" s="37"/>
      <c r="C1" s="37"/>
      <c r="D1" s="37"/>
      <c r="E1" s="37"/>
      <c r="F1" s="37"/>
      <c r="G1" s="37"/>
      <c r="H1" s="37"/>
      <c r="I1" s="37"/>
      <c r="J1" s="38"/>
      <c r="L1" s="36" t="s">
        <v>182</v>
      </c>
      <c r="M1" s="37"/>
      <c r="N1" s="37"/>
      <c r="O1" s="37"/>
      <c r="P1" s="37"/>
      <c r="Q1" s="37"/>
      <c r="R1" s="37"/>
      <c r="S1" s="37"/>
      <c r="T1" s="37"/>
      <c r="U1" s="38"/>
      <c r="W1" t="s">
        <v>174</v>
      </c>
      <c r="X1" s="3" t="s">
        <v>175</v>
      </c>
    </row>
    <row r="2" spans="1:24" x14ac:dyDescent="0.25">
      <c r="A2" s="17" t="s">
        <v>109</v>
      </c>
      <c r="B2" t="s">
        <v>110</v>
      </c>
      <c r="C2" t="s">
        <v>79</v>
      </c>
      <c r="D2" s="3" t="s">
        <v>117</v>
      </c>
      <c r="E2" s="3" t="s">
        <v>118</v>
      </c>
      <c r="G2" t="s">
        <v>161</v>
      </c>
      <c r="H2" t="s">
        <v>171</v>
      </c>
      <c r="I2" t="s">
        <v>172</v>
      </c>
      <c r="J2" s="18" t="s">
        <v>164</v>
      </c>
      <c r="L2" s="17" t="s">
        <v>109</v>
      </c>
      <c r="M2" t="s">
        <v>110</v>
      </c>
      <c r="N2" t="s">
        <v>79</v>
      </c>
      <c r="O2" s="3" t="s">
        <v>117</v>
      </c>
      <c r="P2" s="3" t="s">
        <v>118</v>
      </c>
      <c r="R2" t="s">
        <v>161</v>
      </c>
      <c r="S2" t="s">
        <v>171</v>
      </c>
      <c r="T2" t="s">
        <v>172</v>
      </c>
      <c r="U2" s="18" t="s">
        <v>164</v>
      </c>
      <c r="W2" t="s">
        <v>205</v>
      </c>
      <c r="X2" s="3">
        <f>H4/SUM(AvengerEquip[sabre])</f>
        <v>0.17549668874172186</v>
      </c>
    </row>
    <row r="3" spans="1:24" x14ac:dyDescent="0.25">
      <c r="A3" t="s">
        <v>67</v>
      </c>
      <c r="B3">
        <f>M3+M24+M45+M66+M87+M108</f>
        <v>156</v>
      </c>
      <c r="C3">
        <f>N3+N24+N45+N66+N87+N108</f>
        <v>109</v>
      </c>
      <c r="D3" s="3">
        <f>IF(SUM(AvengerAbilities1[[#This Row],[takes]]) &gt; 0,AvengerAbilities1[[#This Row],[takes]]/SUM(AvengerAbilities1[takes]),0)</f>
        <v>0.25827814569536423</v>
      </c>
      <c r="E3" s="3">
        <f>IF(AvengerAbilities1[[#This Row],[takes]]&gt;0,AvengerAbilities1[[#This Row],[wins]]/AvengerAbilities1[[#This Row],[takes]],0)</f>
        <v>0.69871794871794868</v>
      </c>
      <c r="G3">
        <v>1</v>
      </c>
      <c r="H3">
        <f>S3+S24+S45+S66+S87+S108</f>
        <v>344</v>
      </c>
      <c r="I3">
        <f>T3+T24+T45+T66+T87+T108</f>
        <v>411</v>
      </c>
      <c r="J3" s="18">
        <f>U3+U24+U45+U66+U87+U108</f>
        <v>184</v>
      </c>
      <c r="L3" t="s">
        <v>67</v>
      </c>
      <c r="M3">
        <f>COUNTIF(Scenario0[winner1-ability1],AvengerAbilities1Scenario0[[#This Row],[ability]])+COUNTIF(Scenario0[winner2-ability1],AvengerAbilities1Scenario0[[#This Row],[ability]])+COUNTIF(Scenario0[loser1-ability1],AvengerAbilities1Scenario0[[#This Row],[ability]])+COUNTIF(Scenario0[loser2-ability1],AvengerAbilities1Scenario0[[#This Row],[ability]])</f>
        <v>56</v>
      </c>
      <c r="N3">
        <f>COUNTIF(Scenario0[winner1-ability1],AvengerAbilities1Scenario0[[#This Row],[ability]])+COUNTIF(Scenario0[winner2-ability1],AvengerAbilities1Scenario0[[#This Row],[ability]])</f>
        <v>35</v>
      </c>
      <c r="O3" s="3">
        <f>IF(SUM(AvengerAbilities1Scenario0[[#This Row],[takes]]) &gt; 0,AvengerAbilities1Scenario0[[#This Row],[takes]]/SUM(AvengerAbilities1Scenario0[takes]),0)</f>
        <v>0.33333333333333331</v>
      </c>
      <c r="P3" s="3">
        <f>IF(AvengerAbilities1Scenario0[[#This Row],[takes]]&gt;0,AvengerAbilities1Scenario0[[#This Row],[wins]]/AvengerAbilities1Scenario0[[#This Row],[takes]],0)</f>
        <v>0.625</v>
      </c>
      <c r="R3">
        <v>1</v>
      </c>
      <c r="S3">
        <f>COUNTIFS(Scenario0[winner1],"avenger",Scenario0[winner1-pw],AvengerEquipScenario0[[#This Row],[level]])+COUNTIFS(Scenario0[winner2],"avenger",Scenario0[winner2-pw],AvengerEquipScenario0[[#This Row],[level]])+COUNTIFS(Scenario0[loser1],"avenger",Scenario0[loser1-pw],AvengerEquipScenario0[[#This Row],[level]])+COUNTIFS(Scenario0[loser2],"avenger",Scenario0[loser2-pw],AvengerEquipScenario0[[#This Row],[level]])</f>
        <v>130</v>
      </c>
      <c r="T3">
        <f>COUNTIFS(Scenario0[winner1],"avenger",Scenario0[winner1-sw],AvengerEquipScenario0[[#This Row],[level]])+COUNTIFS(Scenario0[winner2],"avenger",Scenario0[winner2-sw],AvengerEquipScenario0[[#This Row],[level]])+COUNTIFS(Scenario0[loser1],"avenger",Scenario0[loser1-sw],AvengerEquipScenario0[[#This Row],[level]])+COUNTIFS(Scenario0[loser2],"avenger",Scenario0[loser2-sw],AvengerEquipScenario0[[#This Row],[level]])</f>
        <v>146</v>
      </c>
      <c r="U3" s="18">
        <f>COUNTIFS(Scenario0[winner1],"avenger",Scenario0[winner1-cp],AvengerEquipScenario0[[#This Row],[level]])+COUNTIFS(Scenario0[winner2],"avenger",Scenario0[winner2-cp],AvengerEquipScenario0[[#This Row],[level]])+COUNTIFS(Scenario0[loser1],"avenger",Scenario0[loser1-cp],AvengerEquipScenario0[[#This Row],[level]])+COUNTIFS(Scenario0[loser2],"avenger",Scenario0[loser2-cp],AvengerEquipScenario0[[#This Row],[level]])</f>
        <v>88</v>
      </c>
      <c r="W3" t="s">
        <v>206</v>
      </c>
      <c r="X3" s="16">
        <f>H5/SUM(AvengerEquip[sabre])</f>
        <v>0.25496688741721857</v>
      </c>
    </row>
    <row r="4" spans="1:24" x14ac:dyDescent="0.25">
      <c r="A4" t="s">
        <v>152</v>
      </c>
      <c r="B4">
        <f t="shared" ref="B4:B5" si="0">M4+M25+M46+M67+M88+M109</f>
        <v>208</v>
      </c>
      <c r="C4">
        <f t="shared" ref="C4:C5" si="1">N4+N25+N46+N67+N88+N109</f>
        <v>131</v>
      </c>
      <c r="D4" s="3">
        <f>IF(SUM(AvengerAbilities1[[#This Row],[takes]]) &gt; 0,AvengerAbilities1[[#This Row],[takes]]/SUM(AvengerAbilities1[takes]),0)</f>
        <v>0.3443708609271523</v>
      </c>
      <c r="E4" s="3">
        <f>IF(AvengerAbilities1[[#This Row],[takes]]&gt;0,AvengerAbilities1[[#This Row],[wins]]/AvengerAbilities1[[#This Row],[takes]],0)</f>
        <v>0.62980769230769229</v>
      </c>
      <c r="G4">
        <v>2</v>
      </c>
      <c r="H4">
        <f t="shared" ref="H4:H5" si="2">S4+S25+S46+S67+S88+S109</f>
        <v>106</v>
      </c>
      <c r="I4">
        <f t="shared" ref="I4:I5" si="3">T4+T25+T46+T67+T88+T109</f>
        <v>81</v>
      </c>
      <c r="J4" s="18">
        <f t="shared" ref="J4:J5" si="4">U4+U25+U46+U67+U88+U109</f>
        <v>249</v>
      </c>
      <c r="L4" t="s">
        <v>152</v>
      </c>
      <c r="M4">
        <f>COUNTIF(Scenario0[winner1-ability1],AvengerAbilities1Scenario0[[#This Row],[ability]])+COUNTIF(Scenario0[winner2-ability1],AvengerAbilities1Scenario0[[#This Row],[ability]])+COUNTIF(Scenario0[loser1-ability1],AvengerAbilities1Scenario0[[#This Row],[ability]])+COUNTIF(Scenario0[loser2-ability1],AvengerAbilities1Scenario0[[#This Row],[ability]])</f>
        <v>112</v>
      </c>
      <c r="N4">
        <f>COUNTIF(Scenario0[winner1-ability1],AvengerAbilities1Scenario0[[#This Row],[ability]])+COUNTIF(Scenario0[winner2-ability1],AvengerAbilities1Scenario0[[#This Row],[ability]])</f>
        <v>64</v>
      </c>
      <c r="O4" s="3">
        <f>IF(SUM(AvengerAbilities1Scenario0[[#This Row],[takes]]) &gt; 0,AvengerAbilities1Scenario0[[#This Row],[takes]]/SUM(AvengerAbilities1Scenario0[takes]),0)</f>
        <v>0.66666666666666663</v>
      </c>
      <c r="P4" s="3">
        <f>IF(AvengerAbilities1Scenario0[[#This Row],[takes]]&gt;0,AvengerAbilities1Scenario0[[#This Row],[wins]]/AvengerAbilities1Scenario0[[#This Row],[takes]],0)</f>
        <v>0.5714285714285714</v>
      </c>
      <c r="R4">
        <v>2</v>
      </c>
      <c r="S4">
        <f>COUNTIFS(Scenario0[winner1],"avenger",Scenario0[winner1-pw],AvengerEquipScenario0[[#This Row],[level]])+COUNTIFS(Scenario0[winner2],"avenger",Scenario0[winner2-pw],AvengerEquipScenario0[[#This Row],[level]])+COUNTIFS(Scenario0[loser1],"avenger",Scenario0[loser1-pw],AvengerEquipScenario0[[#This Row],[level]])+COUNTIFS(Scenario0[loser2],"avenger",Scenario0[loser2-pw],AvengerEquipScenario0[[#This Row],[level]])</f>
        <v>29</v>
      </c>
      <c r="T4">
        <f>COUNTIFS(Scenario0[winner1],"avenger",Scenario0[winner1-sw],AvengerEquipScenario0[[#This Row],[level]])+COUNTIFS(Scenario0[winner2],"avenger",Scenario0[winner2-sw],AvengerEquipScenario0[[#This Row],[level]])+COUNTIFS(Scenario0[loser1],"avenger",Scenario0[loser1-sw],AvengerEquipScenario0[[#This Row],[level]])+COUNTIFS(Scenario0[loser2],"avenger",Scenario0[loser2-sw],AvengerEquipScenario0[[#This Row],[level]])</f>
        <v>21</v>
      </c>
      <c r="U4" s="18">
        <f>COUNTIFS(Scenario0[winner1],"avenger",Scenario0[winner1-cp],AvengerEquipScenario0[[#This Row],[level]])+COUNTIFS(Scenario0[winner2],"avenger",Scenario0[winner2-cp],AvengerEquipScenario0[[#This Row],[level]])+COUNTIFS(Scenario0[loser1],"avenger",Scenario0[loser1-cp],AvengerEquipScenario0[[#This Row],[level]])+COUNTIFS(Scenario0[loser2],"avenger",Scenario0[loser2-cp],AvengerEquipScenario0[[#This Row],[level]])</f>
        <v>63</v>
      </c>
      <c r="W4" t="s">
        <v>207</v>
      </c>
      <c r="X4" s="3">
        <f>AvengerEquip[[#This Row],[blade]]/SUM(AvengerEquip[blade])</f>
        <v>0.13410596026490065</v>
      </c>
    </row>
    <row r="5" spans="1:24" x14ac:dyDescent="0.25">
      <c r="A5" t="s">
        <v>39</v>
      </c>
      <c r="B5">
        <f t="shared" si="0"/>
        <v>240</v>
      </c>
      <c r="C5">
        <f t="shared" si="1"/>
        <v>83</v>
      </c>
      <c r="D5" s="3">
        <f>IF(SUM(AvengerAbilities1[[#This Row],[takes]]) &gt; 0,AvengerAbilities1[[#This Row],[takes]]/SUM(AvengerAbilities1[takes]),0)</f>
        <v>0.39735099337748342</v>
      </c>
      <c r="E5" s="3">
        <f>IF(AvengerAbilities1[[#This Row],[takes]]&gt;0,AvengerAbilities1[[#This Row],[wins]]/AvengerAbilities1[[#This Row],[takes]],0)</f>
        <v>0.34583333333333333</v>
      </c>
      <c r="G5">
        <v>3</v>
      </c>
      <c r="H5">
        <f t="shared" si="2"/>
        <v>154</v>
      </c>
      <c r="I5">
        <f t="shared" si="3"/>
        <v>112</v>
      </c>
      <c r="J5" s="18">
        <f t="shared" si="4"/>
        <v>171</v>
      </c>
      <c r="L5" t="s">
        <v>39</v>
      </c>
      <c r="M5">
        <f>COUNTIF(Scenario0[winner1-ability1],AvengerAbilities1Scenario0[[#This Row],[ability]])+COUNTIF(Scenario0[winner2-ability1],AvengerAbilities1Scenario0[[#This Row],[ability]])+COUNTIF(Scenario0[loser1-ability1],AvengerAbilities1Scenario0[[#This Row],[ability]])+COUNTIF(Scenario0[loser2-ability1],AvengerAbilities1Scenario0[[#This Row],[ability]])</f>
        <v>0</v>
      </c>
      <c r="N5">
        <f>COUNTIF(Scenario0[winner1-ability1],AvengerAbilities1Scenario0[[#This Row],[ability]])+COUNTIF(Scenario0[winner2-ability1],AvengerAbilities1Scenario0[[#This Row],[ability]])</f>
        <v>0</v>
      </c>
      <c r="O5" s="3">
        <f>IF(SUM(AvengerAbilities1Scenario0[[#This Row],[takes]]) &gt; 0,AvengerAbilities1Scenario0[[#This Row],[takes]]/SUM(AvengerAbilities1Scenario0[takes]),0)</f>
        <v>0</v>
      </c>
      <c r="P5" s="3">
        <f>IF(AvengerAbilities1Scenario0[[#This Row],[takes]]&gt;0,AvengerAbilities1Scenario0[[#This Row],[wins]]/AvengerAbilities1Scenario0[[#This Row],[takes]],0)</f>
        <v>0</v>
      </c>
      <c r="R5">
        <v>3</v>
      </c>
      <c r="S5">
        <f>COUNTIFS(Scenario0[winner1],"avenger",Scenario0[winner1-pw],AvengerEquipScenario0[[#This Row],[level]])+COUNTIFS(Scenario0[winner2],"avenger",Scenario0[winner2-pw],AvengerEquipScenario0[[#This Row],[level]])+COUNTIFS(Scenario0[loser1],"avenger",Scenario0[loser1-pw],AvengerEquipScenario0[[#This Row],[level]])+COUNTIFS(Scenario0[loser2],"avenger",Scenario0[loser2-pw],AvengerEquipScenario0[[#This Row],[level]])</f>
        <v>9</v>
      </c>
      <c r="T5">
        <f>COUNTIFS(Scenario0[winner1],"avenger",Scenario0[winner1-sw],AvengerEquipScenario0[[#This Row],[level]])+COUNTIFS(Scenario0[winner2],"avenger",Scenario0[winner2-sw],AvengerEquipScenario0[[#This Row],[level]])+COUNTIFS(Scenario0[loser1],"avenger",Scenario0[loser1-sw],AvengerEquipScenario0[[#This Row],[level]])+COUNTIFS(Scenario0[loser2],"avenger",Scenario0[loser2-sw],AvengerEquipScenario0[[#This Row],[level]])</f>
        <v>1</v>
      </c>
      <c r="U5" s="18">
        <f>COUNTIFS(Scenario0[winner1],"avenger",Scenario0[winner1-cp],AvengerEquipScenario0[[#This Row],[level]])+COUNTIFS(Scenario0[winner2],"avenger",Scenario0[winner2-cp],AvengerEquipScenario0[[#This Row],[level]])+COUNTIFS(Scenario0[loser1],"avenger",Scenario0[loser1-cp],AvengerEquipScenario0[[#This Row],[level]])+COUNTIFS(Scenario0[loser2],"avenger",Scenario0[loser2-cp],AvengerEquipScenario0[[#This Row],[level]])</f>
        <v>17</v>
      </c>
      <c r="W5" t="s">
        <v>208</v>
      </c>
      <c r="X5" s="16">
        <f>AvengerEquip[[#This Row],[blade]]/SUM(AvengerEquip[blade])</f>
        <v>0.18543046357615894</v>
      </c>
    </row>
    <row r="6" spans="1:24" x14ac:dyDescent="0.25">
      <c r="A6" s="17"/>
      <c r="J6" s="18"/>
      <c r="L6" s="17"/>
      <c r="O6" s="3"/>
      <c r="P6" s="3"/>
      <c r="U6" s="18"/>
      <c r="W6" t="s">
        <v>179</v>
      </c>
      <c r="X6" s="3">
        <f>J4/SUM(AvengerEquip[chestpiece])</f>
        <v>0.41225165562913907</v>
      </c>
    </row>
    <row r="7" spans="1:24" x14ac:dyDescent="0.25">
      <c r="A7" s="19" t="s">
        <v>109</v>
      </c>
      <c r="B7" s="8" t="s">
        <v>110</v>
      </c>
      <c r="C7" s="8" t="s">
        <v>79</v>
      </c>
      <c r="D7" s="9" t="s">
        <v>117</v>
      </c>
      <c r="E7" s="9" t="s">
        <v>118</v>
      </c>
      <c r="J7" s="18"/>
      <c r="L7" s="19" t="s">
        <v>109</v>
      </c>
      <c r="M7" s="8" t="s">
        <v>110</v>
      </c>
      <c r="N7" s="8" t="s">
        <v>79</v>
      </c>
      <c r="O7" s="9" t="s">
        <v>117</v>
      </c>
      <c r="P7" s="9" t="s">
        <v>118</v>
      </c>
      <c r="U7" s="18"/>
      <c r="W7" t="s">
        <v>180</v>
      </c>
      <c r="X7" s="16">
        <f>J5/SUM(AvengerEquip[chestpiece])</f>
        <v>0.28311258278145696</v>
      </c>
    </row>
    <row r="8" spans="1:24" x14ac:dyDescent="0.25">
      <c r="A8" s="2" t="s">
        <v>40</v>
      </c>
      <c r="B8" s="2">
        <f>M8+M29+M50+M71+M92+M113</f>
        <v>117</v>
      </c>
      <c r="C8" s="2">
        <f>N8+N29+N50+N71+N92+N113</f>
        <v>31</v>
      </c>
      <c r="D8" s="12">
        <f>IF(SUM(AvengerAbilities2[[#This Row],[takes]]) &gt; 0,AvengerAbilities2[[#This Row],[takes]]/SUM(AvengerAbilities2[takes]),0)</f>
        <v>0.25</v>
      </c>
      <c r="E8" s="12">
        <f>IF(AvengerAbilities2[[#This Row],[takes]]&gt;0,AvengerAbilities2[[#This Row],[wins]]/AvengerAbilities2[[#This Row],[takes]],0)</f>
        <v>0.26495726495726496</v>
      </c>
      <c r="J8" s="18"/>
      <c r="L8" s="2" t="s">
        <v>40</v>
      </c>
      <c r="M8" s="2">
        <f>COUNTIF(Scenario0[winner1-ability2],AvengerAbilities2Scenario0[[#This Row],[ability]])+COUNTIF(Scenario0[winner2-ability2],AvengerAbilities2Scenario0[[#This Row],[ability]])+COUNTIF(Scenario0[loser1-ability2],AvengerAbilities2Scenario0[[#This Row],[ability]])+COUNTIF(Scenario0[loser2-ability2],AvengerAbilities2Scenario0[[#This Row],[ability]])</f>
        <v>5</v>
      </c>
      <c r="N8" s="2">
        <f>COUNTIF(Scenario0[winner1-ability2],AvengerAbilities2Scenario0[[#This Row],[ability]])+COUNTIF(Scenario0[winner2-ability2],AvengerAbilities2Scenario0[[#This Row],[ability]])</f>
        <v>3</v>
      </c>
      <c r="O8" s="12">
        <f>IF(SUM(AvengerAbilities2Scenario0[[#This Row],[takes]]) &gt; 0,AvengerAbilities2Scenario0[[#This Row],[takes]]/SUM(AvengerAbilities2Scenario0[takes]),0)</f>
        <v>5.7471264367816091E-2</v>
      </c>
      <c r="P8" s="12">
        <f>IF(AvengerAbilities2Scenario0[[#This Row],[takes]]&gt;0,AvengerAbilities2Scenario0[[#This Row],[wins]]/AvengerAbilities2Scenario0[[#This Row],[takes]],0)</f>
        <v>0.6</v>
      </c>
      <c r="U8" s="18"/>
      <c r="W8" t="s">
        <v>176</v>
      </c>
      <c r="X8" s="3">
        <f>SUM(AvengerAbilities2[takes])/SUM(AvengerAbilities1[takes])</f>
        <v>0.77483443708609268</v>
      </c>
    </row>
    <row r="9" spans="1:24" x14ac:dyDescent="0.25">
      <c r="A9" t="s">
        <v>70</v>
      </c>
      <c r="B9" s="2">
        <f t="shared" ref="B9:B10" si="5">M9+M30+M51+M72+M93+M114</f>
        <v>212</v>
      </c>
      <c r="C9" s="2">
        <f t="shared" ref="C9:C10" si="6">N9+N30+N51+N72+N93+N114</f>
        <v>172</v>
      </c>
      <c r="D9" s="3">
        <f>IF(SUM(AvengerAbilities2[[#This Row],[takes]]) &gt; 0,AvengerAbilities2[[#This Row],[takes]]/SUM(AvengerAbilities2[takes]),0)</f>
        <v>0.45299145299145299</v>
      </c>
      <c r="E9" s="3">
        <f>IF(AvengerAbilities2[[#This Row],[takes]]&gt;0,AvengerAbilities2[[#This Row],[wins]]/AvengerAbilities2[[#This Row],[takes]],0)</f>
        <v>0.81132075471698117</v>
      </c>
      <c r="J9" s="18"/>
      <c r="L9" t="s">
        <v>70</v>
      </c>
      <c r="M9" s="2">
        <f>COUNTIF(Scenario0[winner1-ability2],AvengerAbilities2Scenario0[[#This Row],[ability]])+COUNTIF(Scenario0[winner2-ability2],AvengerAbilities2Scenario0[[#This Row],[ability]])+COUNTIF(Scenario0[loser1-ability2],AvengerAbilities2Scenario0[[#This Row],[ability]])+COUNTIF(Scenario0[loser2-ability2],AvengerAbilities2Scenario0[[#This Row],[ability]])</f>
        <v>73</v>
      </c>
      <c r="N9" s="2">
        <f>COUNTIF(Scenario0[winner1-ability2],AvengerAbilities2Scenario0[[#This Row],[ability]])+COUNTIF(Scenario0[winner2-ability2],AvengerAbilities2Scenario0[[#This Row],[ability]])</f>
        <v>57</v>
      </c>
      <c r="O9" s="3">
        <f>IF(SUM(AvengerAbilities2Scenario0[[#This Row],[takes]]) &gt; 0,AvengerAbilities2Scenario0[[#This Row],[takes]]/SUM(AvengerAbilities2Scenario0[takes]),0)</f>
        <v>0.83908045977011492</v>
      </c>
      <c r="P9" s="3">
        <f>IF(AvengerAbilities2Scenario0[[#This Row],[takes]]&gt;0,AvengerAbilities2Scenario0[[#This Row],[wins]]/AvengerAbilities2Scenario0[[#This Row],[takes]],0)</f>
        <v>0.78082191780821919</v>
      </c>
      <c r="U9" s="18"/>
      <c r="W9" t="s">
        <v>177</v>
      </c>
      <c r="X9" s="3">
        <f>SUM(AvengerAbilities3[takes])/SUM(AvengerAbilities1[takes])</f>
        <v>0.45860927152317882</v>
      </c>
    </row>
    <row r="10" spans="1:24" x14ac:dyDescent="0.25">
      <c r="A10" s="10" t="s">
        <v>96</v>
      </c>
      <c r="B10" s="2">
        <f t="shared" si="5"/>
        <v>139</v>
      </c>
      <c r="C10" s="2">
        <f t="shared" si="6"/>
        <v>55</v>
      </c>
      <c r="D10" s="13">
        <f>IF(SUM(AvengerAbilities2[[#This Row],[takes]]) &gt; 0,AvengerAbilities2[[#This Row],[takes]]/SUM(AvengerAbilities2[takes]),0)</f>
        <v>0.29700854700854701</v>
      </c>
      <c r="E10" s="13">
        <f>IF(AvengerAbilities2[[#This Row],[takes]]&gt;0,AvengerAbilities2[[#This Row],[wins]]/AvengerAbilities2[[#This Row],[takes]],0)</f>
        <v>0.39568345323741005</v>
      </c>
      <c r="J10" s="18"/>
      <c r="L10" s="10" t="s">
        <v>96</v>
      </c>
      <c r="M10" s="2">
        <f>COUNTIF(Scenario0[winner1-ability2],AvengerAbilities2Scenario0[[#This Row],[ability]])+COUNTIF(Scenario0[winner2-ability2],AvengerAbilities2Scenario0[[#This Row],[ability]])+COUNTIF(Scenario0[loser1-ability2],AvengerAbilities2Scenario0[[#This Row],[ability]])+COUNTIF(Scenario0[loser2-ability2],AvengerAbilities2Scenario0[[#This Row],[ability]])</f>
        <v>9</v>
      </c>
      <c r="N10" s="2">
        <f>COUNTIF(Scenario0[winner1-ability2],AvengerAbilities2Scenario0[[#This Row],[ability]])+COUNTIF(Scenario0[winner2-ability2],AvengerAbilities2Scenario0[[#This Row],[ability]])</f>
        <v>2</v>
      </c>
      <c r="O10" s="13">
        <f>IF(SUM(AvengerAbilities2Scenario0[[#This Row],[takes]]) &gt; 0,AvengerAbilities2Scenario0[[#This Row],[takes]]/SUM(AvengerAbilities2Scenario0[takes]),0)</f>
        <v>0.10344827586206896</v>
      </c>
      <c r="P10" s="13">
        <f>IF(AvengerAbilities2Scenario0[[#This Row],[takes]]&gt;0,AvengerAbilities2Scenario0[[#This Row],[wins]]/AvengerAbilities2Scenario0[[#This Row],[takes]],0)</f>
        <v>0.22222222222222221</v>
      </c>
      <c r="U10" s="18"/>
      <c r="W10" t="s">
        <v>178</v>
      </c>
      <c r="X10" s="16">
        <f>SUM(AvengerAbilities4[takes])/SUM(AvengerAbilities1[takes])</f>
        <v>0.3443708609271523</v>
      </c>
    </row>
    <row r="11" spans="1:24" x14ac:dyDescent="0.25">
      <c r="A11" s="17"/>
      <c r="J11" s="18"/>
      <c r="L11" s="17"/>
      <c r="O11" s="3"/>
      <c r="P11" s="3"/>
      <c r="U11" s="18"/>
      <c r="W11" t="s">
        <v>194</v>
      </c>
      <c r="X11" s="33">
        <f>(SUM(AvengerAbilities2[takes])+SUM(AvengerAbilities3[takes])+SUM(AvengerAbilities4[takes])+SUM(H4:H5)+SUM(I4:I5)+SUM(J4:J5))/SUM(AvengerAbilities1[takes])</f>
        <v>3.0231788079470197</v>
      </c>
    </row>
    <row r="12" spans="1:24" x14ac:dyDescent="0.25">
      <c r="A12" s="19" t="s">
        <v>109</v>
      </c>
      <c r="B12" s="8" t="s">
        <v>110</v>
      </c>
      <c r="C12" s="8" t="s">
        <v>79</v>
      </c>
      <c r="D12" s="9" t="s">
        <v>117</v>
      </c>
      <c r="E12" s="9" t="s">
        <v>118</v>
      </c>
      <c r="J12" s="18"/>
      <c r="L12" s="19" t="s">
        <v>109</v>
      </c>
      <c r="M12" s="8" t="s">
        <v>110</v>
      </c>
      <c r="N12" s="8" t="s">
        <v>79</v>
      </c>
      <c r="O12" s="9" t="s">
        <v>117</v>
      </c>
      <c r="P12" s="9" t="s">
        <v>118</v>
      </c>
      <c r="U12" s="18"/>
    </row>
    <row r="13" spans="1:24" x14ac:dyDescent="0.25">
      <c r="A13" s="1" t="s">
        <v>41</v>
      </c>
      <c r="B13" s="1">
        <f>M13+M34+M55+M76+M97+M118</f>
        <v>82</v>
      </c>
      <c r="C13" s="1">
        <f>N13+N34+N55+N76+N97+N118</f>
        <v>45</v>
      </c>
      <c r="D13" s="14">
        <f>IF(SUM(AvengerAbilities3[[#This Row],[takes]]) &gt; 0,AvengerAbilities3[[#This Row],[takes]]/SUM(AvengerAbilities3[takes]),0)</f>
        <v>0.29602888086642598</v>
      </c>
      <c r="E13" s="14">
        <f>IF(AvengerAbilities3[[#This Row],[takes]]&gt;0,AvengerAbilities3[[#This Row],[wins]]/AvengerAbilities3[[#This Row],[takes]],0)</f>
        <v>0.54878048780487809</v>
      </c>
      <c r="J13" s="18"/>
      <c r="L13" s="1" t="s">
        <v>41</v>
      </c>
      <c r="M13" s="1">
        <f>COUNTIF(Scenario0[winner1-ability3],AvengerAbilities3Scenario0[[#This Row],[ability]])+COUNTIF(Scenario0[winner2-ability3],AvengerAbilities3Scenario0[[#This Row],[ability]])+COUNTIF(Scenario0[loser1-ability3],AvengerAbilities3Scenario0[[#This Row],[ability]])+COUNTIF(Scenario0[loser2-ability3],AvengerAbilities3Scenario0[[#This Row],[ability]])</f>
        <v>8</v>
      </c>
      <c r="N13" s="1">
        <f>COUNTIF(Scenario0[winner1-ability3],AvengerAbilities3Scenario0[[#This Row],[ability]])+COUNTIF(Scenario0[winner2-ability3],AvengerAbilities3Scenario0[[#This Row],[ability]])</f>
        <v>3</v>
      </c>
      <c r="O13" s="14">
        <f>IF(SUM(AvengerAbilities3Scenario0[[#This Row],[takes]]) &gt; 0,AvengerAbilities3Scenario0[[#This Row],[takes]]/SUM(AvengerAbilities3Scenario0[takes]),0)</f>
        <v>0.53333333333333333</v>
      </c>
      <c r="P13" s="14">
        <f>IF(AvengerAbilities3Scenario0[[#This Row],[takes]]&gt;0,AvengerAbilities3Scenario0[[#This Row],[wins]]/AvengerAbilities3Scenario0[[#This Row],[takes]],0)</f>
        <v>0.375</v>
      </c>
      <c r="U13" s="18"/>
    </row>
    <row r="14" spans="1:24" x14ac:dyDescent="0.25">
      <c r="A14" s="2" t="s">
        <v>153</v>
      </c>
      <c r="B14" s="2">
        <f t="shared" ref="B14:B15" si="7">M14+M35+M56+M77+M98+M119</f>
        <v>127</v>
      </c>
      <c r="C14" s="2">
        <f t="shared" ref="C14:C15" si="8">N14+N35+N56+N77+N98+N119</f>
        <v>37</v>
      </c>
      <c r="D14" s="12">
        <f>IF(SUM(AvengerAbilities3[[#This Row],[takes]]) &gt; 0,AvengerAbilities3[[#This Row],[takes]]/SUM(AvengerAbilities3[takes]),0)</f>
        <v>0.4584837545126354</v>
      </c>
      <c r="E14" s="12">
        <f>IF(AvengerAbilities3[[#This Row],[takes]]&gt;0,AvengerAbilities3[[#This Row],[wins]]/AvengerAbilities3[[#This Row],[takes]],0)</f>
        <v>0.29133858267716534</v>
      </c>
      <c r="J14" s="18"/>
      <c r="L14" s="2" t="s">
        <v>153</v>
      </c>
      <c r="M14" s="2">
        <f>COUNTIF(Scenario0[winner1-ability3],AvengerAbilities3Scenario0[[#This Row],[ability]])+COUNTIF(Scenario0[winner2-ability3],AvengerAbilities3Scenario0[[#This Row],[ability]])+COUNTIF(Scenario0[loser1-ability3],AvengerAbilities3Scenario0[[#This Row],[ability]])+COUNTIF(Scenario0[loser2-ability3],AvengerAbilities3Scenario0[[#This Row],[ability]])</f>
        <v>1</v>
      </c>
      <c r="N14" s="2">
        <f>COUNTIF(Scenario0[winner1-ability3],AvengerAbilities3Scenario0[[#This Row],[ability]])+COUNTIF(Scenario0[winner2-ability3],AvengerAbilities3Scenario0[[#This Row],[ability]])</f>
        <v>0</v>
      </c>
      <c r="O14" s="12">
        <f>IF(SUM(AvengerAbilities3Scenario0[[#This Row],[takes]]) &gt; 0,AvengerAbilities3Scenario0[[#This Row],[takes]]/SUM(AvengerAbilities3Scenario0[takes]),0)</f>
        <v>6.6666666666666666E-2</v>
      </c>
      <c r="P14" s="12">
        <f>IF(AvengerAbilities3Scenario0[[#This Row],[takes]]&gt;0,AvengerAbilities3Scenario0[[#This Row],[wins]]/AvengerAbilities3Scenario0[[#This Row],[takes]],0)</f>
        <v>0</v>
      </c>
      <c r="U14" s="18"/>
    </row>
    <row r="15" spans="1:24" x14ac:dyDescent="0.25">
      <c r="A15" s="11" t="s">
        <v>154</v>
      </c>
      <c r="B15" s="1">
        <f t="shared" si="7"/>
        <v>68</v>
      </c>
      <c r="C15" s="1">
        <f t="shared" si="8"/>
        <v>38</v>
      </c>
      <c r="D15" s="15">
        <f>IF(SUM(AvengerAbilities3[[#This Row],[takes]]) &gt; 0,AvengerAbilities3[[#This Row],[takes]]/SUM(AvengerAbilities3[takes]),0)</f>
        <v>0.24548736462093862</v>
      </c>
      <c r="E15" s="15">
        <f>IF(AvengerAbilities3[[#This Row],[takes]]&gt;0,AvengerAbilities3[[#This Row],[wins]]/AvengerAbilities3[[#This Row],[takes]],0)</f>
        <v>0.55882352941176472</v>
      </c>
      <c r="J15" s="18"/>
      <c r="L15" s="11" t="s">
        <v>154</v>
      </c>
      <c r="M15" s="1">
        <f>COUNTIF(Scenario0[winner1-ability3],AvengerAbilities3Scenario0[[#This Row],[ability]])+COUNTIF(Scenario0[winner2-ability3],AvengerAbilities3Scenario0[[#This Row],[ability]])+COUNTIF(Scenario0[loser1-ability3],AvengerAbilities3Scenario0[[#This Row],[ability]])+COUNTIF(Scenario0[loser2-ability3],AvengerAbilities3Scenario0[[#This Row],[ability]])</f>
        <v>6</v>
      </c>
      <c r="N15" s="1">
        <f>COUNTIF(Scenario0[winner1-ability3],AvengerAbilities3Scenario0[[#This Row],[ability]])+COUNTIF(Scenario0[winner2-ability3],AvengerAbilities3Scenario0[[#This Row],[ability]])</f>
        <v>4</v>
      </c>
      <c r="O15" s="15">
        <f>IF(SUM(AvengerAbilities3Scenario0[[#This Row],[takes]]) &gt; 0,AvengerAbilities3Scenario0[[#This Row],[takes]]/SUM(AvengerAbilities3Scenario0[takes]),0)</f>
        <v>0.4</v>
      </c>
      <c r="P15" s="15">
        <f>IF(AvengerAbilities3Scenario0[[#This Row],[takes]]&gt;0,AvengerAbilities3Scenario0[[#This Row],[wins]]/AvengerAbilities3Scenario0[[#This Row],[takes]],0)</f>
        <v>0.66666666666666663</v>
      </c>
      <c r="U15" s="18"/>
    </row>
    <row r="16" spans="1:24" x14ac:dyDescent="0.25">
      <c r="A16" s="17"/>
      <c r="J16" s="18"/>
      <c r="L16" s="17"/>
      <c r="O16" s="3"/>
      <c r="P16" s="3"/>
      <c r="U16" s="18"/>
    </row>
    <row r="17" spans="1:21" x14ac:dyDescent="0.25">
      <c r="A17" s="19" t="s">
        <v>109</v>
      </c>
      <c r="B17" s="8" t="s">
        <v>110</v>
      </c>
      <c r="C17" s="8" t="s">
        <v>79</v>
      </c>
      <c r="D17" s="9" t="s">
        <v>117</v>
      </c>
      <c r="E17" s="9" t="s">
        <v>118</v>
      </c>
      <c r="J17" s="18"/>
      <c r="L17" s="19" t="s">
        <v>109</v>
      </c>
      <c r="M17" s="8" t="s">
        <v>110</v>
      </c>
      <c r="N17" s="8" t="s">
        <v>79</v>
      </c>
      <c r="O17" s="9" t="s">
        <v>117</v>
      </c>
      <c r="P17" s="9" t="s">
        <v>118</v>
      </c>
      <c r="U17" s="18"/>
    </row>
    <row r="18" spans="1:21" x14ac:dyDescent="0.25">
      <c r="A18" s="2" t="s">
        <v>155</v>
      </c>
      <c r="B18" s="2">
        <f>M18+M39+M60+M81+M102+M123</f>
        <v>38</v>
      </c>
      <c r="C18" s="2">
        <f>N18+N39+N60+N81+N102+N123</f>
        <v>17</v>
      </c>
      <c r="D18" s="12">
        <f>IF(SUM(AvengerAbilities4[[#This Row],[takes]]) &gt; 0,AvengerAbilities4[[#This Row],[takes]]/SUM(AvengerAbilities4[takes]),0)</f>
        <v>0.18269230769230768</v>
      </c>
      <c r="E18" s="12">
        <f>IF(AvengerAbilities4[[#This Row],[takes]]&gt;0,AvengerAbilities4[[#This Row],[wins]]/AvengerAbilities4[[#This Row],[takes]],0)</f>
        <v>0.44736842105263158</v>
      </c>
      <c r="J18" s="18"/>
      <c r="L18" s="2" t="s">
        <v>155</v>
      </c>
      <c r="M18" s="2">
        <f>COUNTIF(Scenario0[winner1-ability4],AvengerAbilities4Scenario0[[#This Row],[ability]])+COUNTIF(Scenario0[winner2-ability4],AvengerAbilities4Scenario0[[#This Row],[ability]])+COUNTIF(Scenario0[loser1-ability4],AvengerAbilities4Scenario0[[#This Row],[ability]])+COUNTIF(Scenario0[loser2-ability4],AvengerAbilities4Scenario0[[#This Row],[ability]])</f>
        <v>0</v>
      </c>
      <c r="N18" s="2">
        <f>COUNTIF(Scenario0[winner1-ability4],AvengerAbilities4Scenario0[[#This Row],[ability]])+COUNTIF(Scenario0[winner2-ability4],AvengerAbilities4Scenario0[[#This Row],[ability]])</f>
        <v>0</v>
      </c>
      <c r="O18" s="12">
        <f>IF(SUM(AvengerAbilities4Scenario0[[#This Row],[takes]]) &gt; 0,AvengerAbilities4Scenario0[[#This Row],[takes]]/SUM(AvengerAbilities4Scenario0[takes]),0)</f>
        <v>0</v>
      </c>
      <c r="P18" s="12">
        <f>IF(AvengerAbilities4Scenario0[[#This Row],[takes]]&gt;0,AvengerAbilities4Scenario0[[#This Row],[wins]]/AvengerAbilities4Scenario0[[#This Row],[takes]],0)</f>
        <v>0</v>
      </c>
      <c r="U18" s="18"/>
    </row>
    <row r="19" spans="1:21" x14ac:dyDescent="0.25">
      <c r="A19" s="2" t="s">
        <v>156</v>
      </c>
      <c r="B19" s="2">
        <f t="shared" ref="B19:B20" si="9">M19+M40+M61+M82+M103+M124</f>
        <v>90</v>
      </c>
      <c r="C19" s="2">
        <f t="shared" ref="C19:C20" si="10">N19+N40+N61+N82+N103+N124</f>
        <v>25</v>
      </c>
      <c r="D19" s="12">
        <f>IF(SUM(AvengerAbilities4[[#This Row],[takes]]) &gt; 0,AvengerAbilities4[[#This Row],[takes]]/SUM(AvengerAbilities4[takes]),0)</f>
        <v>0.43269230769230771</v>
      </c>
      <c r="E19" s="12">
        <f>IF(AvengerAbilities4[[#This Row],[takes]]&gt;0,AvengerAbilities4[[#This Row],[wins]]/AvengerAbilities4[[#This Row],[takes]],0)</f>
        <v>0.27777777777777779</v>
      </c>
      <c r="J19" s="18"/>
      <c r="L19" s="2" t="s">
        <v>156</v>
      </c>
      <c r="M19" s="2">
        <f>COUNTIF(Scenario0[winner1-ability4],AvengerAbilities4Scenario0[[#This Row],[ability]])+COUNTIF(Scenario0[winner2-ability4],AvengerAbilities4Scenario0[[#This Row],[ability]])+COUNTIF(Scenario0[loser1-ability4],AvengerAbilities4Scenario0[[#This Row],[ability]])+COUNTIF(Scenario0[loser2-ability4],AvengerAbilities4Scenario0[[#This Row],[ability]])</f>
        <v>1</v>
      </c>
      <c r="N19" s="2">
        <f>COUNTIF(Scenario0[winner1-ability4],AvengerAbilities4Scenario0[[#This Row],[ability]])+COUNTIF(Scenario0[winner2-ability4],AvengerAbilities4Scenario0[[#This Row],[ability]])</f>
        <v>1</v>
      </c>
      <c r="O19" s="12">
        <f>IF(SUM(AvengerAbilities4Scenario0[[#This Row],[takes]]) &gt; 0,AvengerAbilities4Scenario0[[#This Row],[takes]]/SUM(AvengerAbilities4Scenario0[takes]),0)</f>
        <v>0.1</v>
      </c>
      <c r="P19" s="12">
        <f>IF(AvengerAbilities4Scenario0[[#This Row],[takes]]&gt;0,AvengerAbilities4Scenario0[[#This Row],[wins]]/AvengerAbilities4Scenario0[[#This Row],[takes]],0)</f>
        <v>1</v>
      </c>
      <c r="U19" s="18"/>
    </row>
    <row r="20" spans="1:21" ht="15.75" thickBot="1" x14ac:dyDescent="0.3">
      <c r="A20" s="10" t="s">
        <v>42</v>
      </c>
      <c r="B20" s="2">
        <f t="shared" si="9"/>
        <v>80</v>
      </c>
      <c r="C20" s="2">
        <f t="shared" si="10"/>
        <v>41</v>
      </c>
      <c r="D20" s="26">
        <f>IF(SUM(AvengerAbilities4[[#This Row],[takes]]) &gt; 0,AvengerAbilities4[[#This Row],[takes]]/SUM(AvengerAbilities4[takes]),0)</f>
        <v>0.38461538461538464</v>
      </c>
      <c r="E20" s="26">
        <f>IF(AvengerAbilities4[[#This Row],[takes]]&gt;0,AvengerAbilities4[[#This Row],[wins]]/AvengerAbilities4[[#This Row],[takes]],0)</f>
        <v>0.51249999999999996</v>
      </c>
      <c r="F20" s="27"/>
      <c r="G20" s="27"/>
      <c r="H20" s="27"/>
      <c r="I20" s="27"/>
      <c r="J20" s="28"/>
      <c r="L20" s="10" t="s">
        <v>42</v>
      </c>
      <c r="M20" s="25">
        <f>COUNTIF(Scenario0[winner1-ability4],AvengerAbilities4Scenario0[[#This Row],[ability]])+COUNTIF(Scenario0[winner2-ability4],AvengerAbilities4Scenario0[[#This Row],[ability]])+COUNTIF(Scenario0[loser1-ability4],AvengerAbilities4Scenario0[[#This Row],[ability]])+COUNTIF(Scenario0[loser2-ability4],AvengerAbilities4Scenario0[[#This Row],[ability]])</f>
        <v>9</v>
      </c>
      <c r="N20" s="25">
        <f>COUNTIF(Scenario0[winner1-ability4],AvengerAbilities4Scenario0[[#This Row],[ability]])+COUNTIF(Scenario0[winner2-ability4],AvengerAbilities4Scenario0[[#This Row],[ability]])</f>
        <v>4</v>
      </c>
      <c r="O20" s="26">
        <f>IF(SUM(AvengerAbilities4Scenario0[[#This Row],[takes]]) &gt; 0,AvengerAbilities4Scenario0[[#This Row],[takes]]/SUM(AvengerAbilities4Scenario0[takes]),0)</f>
        <v>0.9</v>
      </c>
      <c r="P20" s="26">
        <f>IF(AvengerAbilities4Scenario0[[#This Row],[takes]]&gt;0,AvengerAbilities4Scenario0[[#This Row],[wins]]/AvengerAbilities4Scenario0[[#This Row],[takes]],0)</f>
        <v>0.44444444444444442</v>
      </c>
      <c r="Q20" s="27"/>
      <c r="R20" s="27"/>
      <c r="S20" s="27"/>
      <c r="T20" s="27"/>
      <c r="U20" s="28"/>
    </row>
    <row r="21" spans="1:21" ht="15.75" thickBot="1" x14ac:dyDescent="0.3"/>
    <row r="22" spans="1:21" ht="15.75" thickBot="1" x14ac:dyDescent="0.3">
      <c r="L22" s="36" t="s">
        <v>183</v>
      </c>
      <c r="M22" s="37"/>
      <c r="N22" s="37"/>
      <c r="O22" s="37"/>
      <c r="P22" s="37"/>
      <c r="Q22" s="37"/>
      <c r="R22" s="37"/>
      <c r="S22" s="37"/>
      <c r="T22" s="37"/>
      <c r="U22" s="38"/>
    </row>
    <row r="23" spans="1:21" x14ac:dyDescent="0.25">
      <c r="L23" s="17" t="s">
        <v>109</v>
      </c>
      <c r="M23" t="s">
        <v>110</v>
      </c>
      <c r="N23" t="s">
        <v>79</v>
      </c>
      <c r="O23" s="3" t="s">
        <v>117</v>
      </c>
      <c r="P23" s="3" t="s">
        <v>118</v>
      </c>
      <c r="R23" t="s">
        <v>161</v>
      </c>
      <c r="S23" t="s">
        <v>171</v>
      </c>
      <c r="T23" t="s">
        <v>172</v>
      </c>
      <c r="U23" s="18" t="s">
        <v>164</v>
      </c>
    </row>
    <row r="24" spans="1:21" x14ac:dyDescent="0.25">
      <c r="L24" t="s">
        <v>67</v>
      </c>
      <c r="M24">
        <f>COUNTIF(Scenario1[winner1-ability1],AvengerAbilities1Scenario1[[#This Row],[ability]])+COUNTIF(Scenario1[winner2-ability1],AvengerAbilities1Scenario1[[#This Row],[ability]])+COUNTIF(Scenario1[loser1-ability1],AvengerAbilities1Scenario1[[#This Row],[ability]])+COUNTIF(Scenario1[loser2-ability1],AvengerAbilities1Scenario1[[#This Row],[ability]])</f>
        <v>63</v>
      </c>
      <c r="N24">
        <f>COUNTIF(Scenario1[winner1-ability1],AvengerAbilities1Scenario1[[#This Row],[ability]])+COUNTIF(Scenario1[winner2-ability1],AvengerAbilities1Scenario1[[#This Row],[ability]])</f>
        <v>46</v>
      </c>
      <c r="O24" s="3">
        <f>IF(SUM(AvengerAbilities1Scenario1[[#This Row],[takes]]) &gt; 0,AvengerAbilities1Scenario1[[#This Row],[takes]]/SUM(AvengerAbilities1Scenario1[takes]),0)</f>
        <v>0.375</v>
      </c>
      <c r="P24" s="3">
        <f>IF(AvengerAbilities1Scenario1[[#This Row],[takes]]&gt;0,AvengerAbilities1Scenario1[[#This Row],[wins]]/AvengerAbilities1Scenario1[[#This Row],[takes]],0)</f>
        <v>0.73015873015873012</v>
      </c>
      <c r="R24">
        <v>1</v>
      </c>
      <c r="S24">
        <f>COUNTIFS(Scenario1[winner1],"avenger",Scenario1[winner1-pw],AvengerEquipScenario1[[#This Row],[level]])+COUNTIFS(Scenario1[winner2],"avenger",Scenario1[winner2-pw],AvengerEquipScenario1[[#This Row],[level]])+COUNTIFS(Scenario1[loser1],"avenger",Scenario1[loser1-pw],AvengerEquipScenario1[[#This Row],[level]])+COUNTIFS(Scenario1[loser2],"avenger",Scenario1[loser2-pw],AvengerEquipScenario1[[#This Row],[level]])</f>
        <v>120</v>
      </c>
      <c r="T24">
        <f>COUNTIFS(Scenario1[winner1],"avenger",Scenario1[winner1-sw],AvengerEquipScenario1[[#This Row],[level]])+COUNTIFS(Scenario1[winner2],"avenger",Scenario1[winner2-sw],AvengerEquipScenario1[[#This Row],[level]])+COUNTIFS(Scenario1[loser1],"avenger",Scenario1[loser1-sw],AvengerEquipScenario1[[#This Row],[level]])+COUNTIFS(Scenario1[loser2],"avenger",Scenario1[loser2-sw],AvengerEquipScenario1[[#This Row],[level]])</f>
        <v>152</v>
      </c>
      <c r="U24" s="18">
        <f>COUNTIFS(Scenario1[winner1],"avenger",Scenario1[winner1-cp],AvengerEquipScenario1[[#This Row],[level]])+COUNTIFS(Scenario1[winner2],"avenger",Scenario1[winner2-cp],AvengerEquipScenario1[[#This Row],[level]])+COUNTIFS(Scenario1[loser1],"avenger",Scenario1[loser1-cp],AvengerEquipScenario1[[#This Row],[level]])+COUNTIFS(Scenario1[loser2],"avenger",Scenario1[loser2-cp],AvengerEquipScenario1[[#This Row],[level]])</f>
        <v>71</v>
      </c>
    </row>
    <row r="25" spans="1:21" x14ac:dyDescent="0.25">
      <c r="L25" t="s">
        <v>152</v>
      </c>
      <c r="M25">
        <f>COUNTIF(Scenario1[winner1-ability1],AvengerAbilities1Scenario1[[#This Row],[ability]])+COUNTIF(Scenario1[winner2-ability1],AvengerAbilities1Scenario1[[#This Row],[ability]])+COUNTIF(Scenario1[loser1-ability1],AvengerAbilities1Scenario1[[#This Row],[ability]])+COUNTIF(Scenario1[loser2-ability1],AvengerAbilities1Scenario1[[#This Row],[ability]])</f>
        <v>84</v>
      </c>
      <c r="N25">
        <f>COUNTIF(Scenario1[winner1-ability1],AvengerAbilities1Scenario1[[#This Row],[ability]])+COUNTIF(Scenario1[winner2-ability1],AvengerAbilities1Scenario1[[#This Row],[ability]])</f>
        <v>66</v>
      </c>
      <c r="O25" s="3">
        <f>IF(SUM(AvengerAbilities1Scenario1[[#This Row],[takes]]) &gt; 0,AvengerAbilities1Scenario1[[#This Row],[takes]]/SUM(AvengerAbilities1Scenario1[takes]),0)</f>
        <v>0.5</v>
      </c>
      <c r="P25" s="3">
        <f>IF(AvengerAbilities1Scenario1[[#This Row],[takes]]&gt;0,AvengerAbilities1Scenario1[[#This Row],[wins]]/AvengerAbilities1Scenario1[[#This Row],[takes]],0)</f>
        <v>0.7857142857142857</v>
      </c>
      <c r="R25">
        <v>2</v>
      </c>
      <c r="S25">
        <f>COUNTIFS(Scenario1[winner1],"avenger",Scenario1[winner1-pw],AvengerEquipScenario1[[#This Row],[level]])+COUNTIFS(Scenario1[winner2],"avenger",Scenario1[winner2-pw],AvengerEquipScenario1[[#This Row],[level]])+COUNTIFS(Scenario1[loser1],"avenger",Scenario1[loser1-pw],AvengerEquipScenario1[[#This Row],[level]])+COUNTIFS(Scenario1[loser2],"avenger",Scenario1[loser2-pw],AvengerEquipScenario1[[#This Row],[level]])</f>
        <v>34</v>
      </c>
      <c r="T25">
        <f>COUNTIFS(Scenario1[winner1],"avenger",Scenario1[winner1-sw],AvengerEquipScenario1[[#This Row],[level]])+COUNTIFS(Scenario1[winner2],"avenger",Scenario1[winner2-sw],AvengerEquipScenario1[[#This Row],[level]])+COUNTIFS(Scenario1[loser1],"avenger",Scenario1[loser1-sw],AvengerEquipScenario1[[#This Row],[level]])+COUNTIFS(Scenario1[loser2],"avenger",Scenario1[loser2-sw],AvengerEquipScenario1[[#This Row],[level]])</f>
        <v>15</v>
      </c>
      <c r="U25" s="18">
        <f>COUNTIFS(Scenario1[winner1],"avenger",Scenario1[winner1-cp],AvengerEquipScenario1[[#This Row],[level]])+COUNTIFS(Scenario1[winner2],"avenger",Scenario1[winner2-cp],AvengerEquipScenario1[[#This Row],[level]])+COUNTIFS(Scenario1[loser1],"avenger",Scenario1[loser1-cp],AvengerEquipScenario1[[#This Row],[level]])+COUNTIFS(Scenario1[loser2],"avenger",Scenario1[loser2-cp],AvengerEquipScenario1[[#This Row],[level]])</f>
        <v>82</v>
      </c>
    </row>
    <row r="26" spans="1:21" x14ac:dyDescent="0.25">
      <c r="L26" t="s">
        <v>39</v>
      </c>
      <c r="M26">
        <f>COUNTIF(Scenario1[winner1-ability1],AvengerAbilities1Scenario1[[#This Row],[ability]])+COUNTIF(Scenario1[winner2-ability1],AvengerAbilities1Scenario1[[#This Row],[ability]])+COUNTIF(Scenario1[loser1-ability1],AvengerAbilities1Scenario1[[#This Row],[ability]])+COUNTIF(Scenario1[loser2-ability1],AvengerAbilities1Scenario1[[#This Row],[ability]])</f>
        <v>21</v>
      </c>
      <c r="N26">
        <f>COUNTIF(Scenario1[winner1-ability1],AvengerAbilities1Scenario1[[#This Row],[ability]])+COUNTIF(Scenario1[winner2-ability1],AvengerAbilities1Scenario1[[#This Row],[ability]])</f>
        <v>18</v>
      </c>
      <c r="O26" s="3">
        <f>IF(SUM(AvengerAbilities1Scenario1[[#This Row],[takes]]) &gt; 0,AvengerAbilities1Scenario1[[#This Row],[takes]]/SUM(AvengerAbilities1Scenario1[takes]),0)</f>
        <v>0.125</v>
      </c>
      <c r="P26" s="3">
        <f>IF(AvengerAbilities1Scenario1[[#This Row],[takes]]&gt;0,AvengerAbilities1Scenario1[[#This Row],[wins]]/AvengerAbilities1Scenario1[[#This Row],[takes]],0)</f>
        <v>0.8571428571428571</v>
      </c>
      <c r="R26">
        <v>3</v>
      </c>
      <c r="S26">
        <f>COUNTIFS(Scenario1[winner1],"avenger",Scenario1[winner1-pw],AvengerEquipScenario1[[#This Row],[level]])+COUNTIFS(Scenario1[winner2],"avenger",Scenario1[winner2-pw],AvengerEquipScenario1[[#This Row],[level]])+COUNTIFS(Scenario1[loser1],"avenger",Scenario1[loser1-pw],AvengerEquipScenario1[[#This Row],[level]])+COUNTIFS(Scenario1[loser2],"avenger",Scenario1[loser2-pw],AvengerEquipScenario1[[#This Row],[level]])</f>
        <v>14</v>
      </c>
      <c r="T26">
        <f>COUNTIFS(Scenario1[winner1],"avenger",Scenario1[winner1-sw],AvengerEquipScenario1[[#This Row],[level]])+COUNTIFS(Scenario1[winner2],"avenger",Scenario1[winner2-sw],AvengerEquipScenario1[[#This Row],[level]])+COUNTIFS(Scenario1[loser1],"avenger",Scenario1[loser1-sw],AvengerEquipScenario1[[#This Row],[level]])+COUNTIFS(Scenario1[loser2],"avenger",Scenario1[loser2-sw],AvengerEquipScenario1[[#This Row],[level]])</f>
        <v>1</v>
      </c>
      <c r="U26" s="18">
        <f>COUNTIFS(Scenario1[winner1],"avenger",Scenario1[winner1-cp],AvengerEquipScenario1[[#This Row],[level]])+COUNTIFS(Scenario1[winner2],"avenger",Scenario1[winner2-cp],AvengerEquipScenario1[[#This Row],[level]])+COUNTIFS(Scenario1[loser1],"avenger",Scenario1[loser1-cp],AvengerEquipScenario1[[#This Row],[level]])+COUNTIFS(Scenario1[loser2],"avenger",Scenario1[loser2-cp],AvengerEquipScenario1[[#This Row],[level]])</f>
        <v>15</v>
      </c>
    </row>
    <row r="27" spans="1:21" x14ac:dyDescent="0.25">
      <c r="L27" s="17"/>
      <c r="O27" s="3"/>
      <c r="P27" s="3"/>
      <c r="U27" s="18"/>
    </row>
    <row r="28" spans="1:21" x14ac:dyDescent="0.25">
      <c r="L28" s="19" t="s">
        <v>109</v>
      </c>
      <c r="M28" s="8" t="s">
        <v>110</v>
      </c>
      <c r="N28" s="8" t="s">
        <v>79</v>
      </c>
      <c r="O28" s="9" t="s">
        <v>117</v>
      </c>
      <c r="P28" s="9" t="s">
        <v>118</v>
      </c>
      <c r="U28" s="18"/>
    </row>
    <row r="29" spans="1:21" x14ac:dyDescent="0.25">
      <c r="L29" s="2" t="s">
        <v>40</v>
      </c>
      <c r="M29" s="2">
        <f>COUNTIF(Scenario1[winner1-ability2],AvengerAbilities2Scenario1[[#This Row],[ability]])+COUNTIF(Scenario1[winner2-ability2],AvengerAbilities2Scenario1[[#This Row],[ability]])+COUNTIF(Scenario1[loser1-ability2],AvengerAbilities2Scenario1[[#This Row],[ability]])+COUNTIF(Scenario1[loser2-ability2],AvengerAbilities2Scenario1[[#This Row],[ability]])</f>
        <v>10</v>
      </c>
      <c r="N29" s="2">
        <f>COUNTIF(Scenario1[winner1-ability2],AvengerAbilities2Scenario1[[#This Row],[ability]])+COUNTIF(Scenario1[winner2-ability2],AvengerAbilities2Scenario1[[#This Row],[ability]])</f>
        <v>5</v>
      </c>
      <c r="O29" s="12">
        <f>IF(SUM(AvengerAbilities2Scenario1[[#This Row],[takes]]) &gt; 0,AvengerAbilities2Scenario1[[#This Row],[takes]]/SUM(AvengerAbilities2Scenario1[takes]),0)</f>
        <v>8.3333333333333329E-2</v>
      </c>
      <c r="P29" s="12">
        <f>IF(AvengerAbilities2Scenario1[[#This Row],[takes]]&gt;0,AvengerAbilities2Scenario1[[#This Row],[wins]]/AvengerAbilities2Scenario1[[#This Row],[takes]],0)</f>
        <v>0.5</v>
      </c>
      <c r="U29" s="18"/>
    </row>
    <row r="30" spans="1:21" x14ac:dyDescent="0.25">
      <c r="L30" t="s">
        <v>70</v>
      </c>
      <c r="M30" s="2">
        <f>COUNTIF(Scenario1[winner1-ability2],AvengerAbilities2Scenario1[[#This Row],[ability]])+COUNTIF(Scenario1[winner2-ability2],AvengerAbilities2Scenario1[[#This Row],[ability]])+COUNTIF(Scenario1[loser1-ability2],AvengerAbilities2Scenario1[[#This Row],[ability]])+COUNTIF(Scenario1[loser2-ability2],AvengerAbilities2Scenario1[[#This Row],[ability]])</f>
        <v>99</v>
      </c>
      <c r="N30" s="2">
        <f>COUNTIF(Scenario1[winner1-ability2],AvengerAbilities2Scenario1[[#This Row],[ability]])+COUNTIF(Scenario1[winner2-ability2],AvengerAbilities2Scenario1[[#This Row],[ability]])</f>
        <v>89</v>
      </c>
      <c r="O30" s="3">
        <f>IF(SUM(AvengerAbilities2Scenario1[[#This Row],[takes]]) &gt; 0,AvengerAbilities2Scenario1[[#This Row],[takes]]/SUM(AvengerAbilities2Scenario1[takes]),0)</f>
        <v>0.82499999999999996</v>
      </c>
      <c r="P30" s="3">
        <f>IF(AvengerAbilities2Scenario1[[#This Row],[takes]]&gt;0,AvengerAbilities2Scenario1[[#This Row],[wins]]/AvengerAbilities2Scenario1[[#This Row],[takes]],0)</f>
        <v>0.89898989898989901</v>
      </c>
      <c r="U30" s="18"/>
    </row>
    <row r="31" spans="1:21" x14ac:dyDescent="0.25">
      <c r="L31" s="10" t="s">
        <v>96</v>
      </c>
      <c r="M31" s="2">
        <f>COUNTIF(Scenario1[winner1-ability2],AvengerAbilities2Scenario1[[#This Row],[ability]])+COUNTIF(Scenario1[winner2-ability2],AvengerAbilities2Scenario1[[#This Row],[ability]])+COUNTIF(Scenario1[loser1-ability2],AvengerAbilities2Scenario1[[#This Row],[ability]])+COUNTIF(Scenario1[loser2-ability2],AvengerAbilities2Scenario1[[#This Row],[ability]])</f>
        <v>11</v>
      </c>
      <c r="N31" s="2">
        <f>COUNTIF(Scenario1[winner1-ability2],AvengerAbilities2Scenario1[[#This Row],[ability]])+COUNTIF(Scenario1[winner2-ability2],AvengerAbilities2Scenario1[[#This Row],[ability]])</f>
        <v>8</v>
      </c>
      <c r="O31" s="13">
        <f>IF(SUM(AvengerAbilities2Scenario1[[#This Row],[takes]]) &gt; 0,AvengerAbilities2Scenario1[[#This Row],[takes]]/SUM(AvengerAbilities2Scenario1[takes]),0)</f>
        <v>9.166666666666666E-2</v>
      </c>
      <c r="P31" s="13">
        <f>IF(AvengerAbilities2Scenario1[[#This Row],[takes]]&gt;0,AvengerAbilities2Scenario1[[#This Row],[wins]]/AvengerAbilities2Scenario1[[#This Row],[takes]],0)</f>
        <v>0.72727272727272729</v>
      </c>
      <c r="U31" s="18"/>
    </row>
    <row r="32" spans="1:21" x14ac:dyDescent="0.25">
      <c r="L32" s="17"/>
      <c r="O32" s="3"/>
      <c r="P32" s="3"/>
      <c r="U32" s="18"/>
    </row>
    <row r="33" spans="12:21" x14ac:dyDescent="0.25">
      <c r="L33" s="19" t="s">
        <v>109</v>
      </c>
      <c r="M33" s="8" t="s">
        <v>110</v>
      </c>
      <c r="N33" s="8" t="s">
        <v>79</v>
      </c>
      <c r="O33" s="9" t="s">
        <v>117</v>
      </c>
      <c r="P33" s="9" t="s">
        <v>118</v>
      </c>
      <c r="U33" s="18"/>
    </row>
    <row r="34" spans="12:21" x14ac:dyDescent="0.25">
      <c r="L34" s="1" t="s">
        <v>41</v>
      </c>
      <c r="M34" s="1">
        <f>COUNTIF(Scenario1[winner1-ability3],AvengerAbilities3Scenario1[[#This Row],[ability]])+COUNTIF(Scenario1[winner2-ability3],AvengerAbilities3Scenario1[[#This Row],[ability]])+COUNTIF(Scenario1[loser1-ability3],AvengerAbilities3Scenario1[[#This Row],[ability]])+COUNTIF(Scenario1[loser2-ability3],AvengerAbilities3Scenario1[[#This Row],[ability]])</f>
        <v>24</v>
      </c>
      <c r="N34" s="1">
        <f>COUNTIF(Scenario1[winner1-ability3],AvengerAbilities3Scenario1[[#This Row],[ability]])+COUNTIF(Scenario1[winner2-ability3],AvengerAbilities3Scenario1[[#This Row],[ability]])</f>
        <v>20</v>
      </c>
      <c r="O34" s="14">
        <f>IF(SUM(AvengerAbilities3Scenario1[[#This Row],[takes]]) &gt; 0,AvengerAbilities3Scenario1[[#This Row],[takes]]/SUM(AvengerAbilities3Scenario1[takes]),0)</f>
        <v>0.66666666666666663</v>
      </c>
      <c r="P34" s="14">
        <f>IF(AvengerAbilities3Scenario1[[#This Row],[takes]]&gt;0,AvengerAbilities3Scenario1[[#This Row],[wins]]/AvengerAbilities3Scenario1[[#This Row],[takes]],0)</f>
        <v>0.83333333333333337</v>
      </c>
      <c r="U34" s="18"/>
    </row>
    <row r="35" spans="12:21" x14ac:dyDescent="0.25">
      <c r="L35" s="2" t="s">
        <v>153</v>
      </c>
      <c r="M35" s="2">
        <f>COUNTIF(Scenario1[winner1-ability3],AvengerAbilities3Scenario1[[#This Row],[ability]])+COUNTIF(Scenario1[winner2-ability3],AvengerAbilities3Scenario1[[#This Row],[ability]])+COUNTIF(Scenario1[loser1-ability3],AvengerAbilities3Scenario1[[#This Row],[ability]])+COUNTIF(Scenario1[loser2-ability3],AvengerAbilities3Scenario1[[#This Row],[ability]])</f>
        <v>11</v>
      </c>
      <c r="N35" s="2">
        <f>COUNTIF(Scenario1[winner1-ability3],AvengerAbilities3Scenario1[[#This Row],[ability]])+COUNTIF(Scenario1[winner2-ability3],AvengerAbilities3Scenario1[[#This Row],[ability]])</f>
        <v>8</v>
      </c>
      <c r="O35" s="12">
        <f>IF(SUM(AvengerAbilities3Scenario1[[#This Row],[takes]]) &gt; 0,AvengerAbilities3Scenario1[[#This Row],[takes]]/SUM(AvengerAbilities3Scenario1[takes]),0)</f>
        <v>0.30555555555555558</v>
      </c>
      <c r="P35" s="12">
        <f>IF(AvengerAbilities3Scenario1[[#This Row],[takes]]&gt;0,AvengerAbilities3Scenario1[[#This Row],[wins]]/AvengerAbilities3Scenario1[[#This Row],[takes]],0)</f>
        <v>0.72727272727272729</v>
      </c>
      <c r="U35" s="18"/>
    </row>
    <row r="36" spans="12:21" x14ac:dyDescent="0.25">
      <c r="L36" s="11" t="s">
        <v>154</v>
      </c>
      <c r="M36" s="1">
        <f>COUNTIF(Scenario1[winner1-ability3],AvengerAbilities3Scenario1[[#This Row],[ability]])+COUNTIF(Scenario1[winner2-ability3],AvengerAbilities3Scenario1[[#This Row],[ability]])+COUNTIF(Scenario1[loser1-ability3],AvengerAbilities3Scenario1[[#This Row],[ability]])+COUNTIF(Scenario1[loser2-ability3],AvengerAbilities3Scenario1[[#This Row],[ability]])</f>
        <v>1</v>
      </c>
      <c r="N36" s="1">
        <f>COUNTIF(Scenario1[winner1-ability3],AvengerAbilities3Scenario1[[#This Row],[ability]])+COUNTIF(Scenario1[winner2-ability3],AvengerAbilities3Scenario1[[#This Row],[ability]])</f>
        <v>1</v>
      </c>
      <c r="O36" s="15">
        <f>IF(SUM(AvengerAbilities3Scenario1[[#This Row],[takes]]) &gt; 0,AvengerAbilities3Scenario1[[#This Row],[takes]]/SUM(AvengerAbilities3Scenario1[takes]),0)</f>
        <v>2.7777777777777776E-2</v>
      </c>
      <c r="P36" s="15">
        <f>IF(AvengerAbilities3Scenario1[[#This Row],[takes]]&gt;0,AvengerAbilities3Scenario1[[#This Row],[wins]]/AvengerAbilities3Scenario1[[#This Row],[takes]],0)</f>
        <v>1</v>
      </c>
      <c r="U36" s="18"/>
    </row>
    <row r="37" spans="12:21" x14ac:dyDescent="0.25">
      <c r="L37" s="17"/>
      <c r="O37" s="3"/>
      <c r="P37" s="3"/>
      <c r="U37" s="18"/>
    </row>
    <row r="38" spans="12:21" x14ac:dyDescent="0.25">
      <c r="L38" s="19" t="s">
        <v>109</v>
      </c>
      <c r="M38" s="8" t="s">
        <v>110</v>
      </c>
      <c r="N38" s="8" t="s">
        <v>79</v>
      </c>
      <c r="O38" s="9" t="s">
        <v>117</v>
      </c>
      <c r="P38" s="9" t="s">
        <v>118</v>
      </c>
      <c r="U38" s="18"/>
    </row>
    <row r="39" spans="12:21" x14ac:dyDescent="0.25">
      <c r="L39" s="2" t="s">
        <v>155</v>
      </c>
      <c r="M39" s="2">
        <f>COUNTIF(Scenario1[winner1-ability4],AvengerAbilities4Scenario1[[#This Row],[ability]])+COUNTIF(Scenario1[winner2-ability4],AvengerAbilities4Scenario1[[#This Row],[ability]])+COUNTIF(Scenario1[loser1-ability4],AvengerAbilities4Scenario1[[#This Row],[ability]])+COUNTIF(Scenario1[loser2-ability4],AvengerAbilities4Scenario1[[#This Row],[ability]])</f>
        <v>5</v>
      </c>
      <c r="N39" s="2">
        <f>COUNTIF(Scenario1[winner1-ability4],AvengerAbilities4Scenario1[[#This Row],[ability]])+COUNTIF(Scenario1[winner2-ability4],AvengerAbilities4Scenario1[[#This Row],[ability]])</f>
        <v>5</v>
      </c>
      <c r="O39" s="12">
        <f>IF(SUM(AvengerAbilities4Scenario1[[#This Row],[takes]]) &gt; 0,AvengerAbilities4Scenario1[[#This Row],[takes]]/SUM(AvengerAbilities4Scenario1[takes]),0)</f>
        <v>0.38461538461538464</v>
      </c>
      <c r="P39" s="12">
        <f>IF(AvengerAbilities4Scenario1[[#This Row],[takes]]&gt;0,AvengerAbilities4Scenario1[[#This Row],[wins]]/AvengerAbilities4Scenario1[[#This Row],[takes]],0)</f>
        <v>1</v>
      </c>
      <c r="U39" s="18"/>
    </row>
    <row r="40" spans="12:21" x14ac:dyDescent="0.25">
      <c r="L40" s="2" t="s">
        <v>156</v>
      </c>
      <c r="M40" s="2">
        <f>COUNTIF(Scenario1[winner1-ability4],AvengerAbilities4Scenario1[[#This Row],[ability]])+COUNTIF(Scenario1[winner2-ability4],AvengerAbilities4Scenario1[[#This Row],[ability]])+COUNTIF(Scenario1[loser1-ability4],AvengerAbilities4Scenario1[[#This Row],[ability]])+COUNTIF(Scenario1[loser2-ability4],AvengerAbilities4Scenario1[[#This Row],[ability]])</f>
        <v>0</v>
      </c>
      <c r="N40" s="2">
        <f>COUNTIF(Scenario1[winner1-ability4],AvengerAbilities4Scenario1[[#This Row],[ability]])+COUNTIF(Scenario1[winner2-ability4],AvengerAbilities4Scenario1[[#This Row],[ability]])</f>
        <v>0</v>
      </c>
      <c r="O40" s="12">
        <f>IF(SUM(AvengerAbilities4Scenario1[[#This Row],[takes]]) &gt; 0,AvengerAbilities4Scenario1[[#This Row],[takes]]/SUM(AvengerAbilities4Scenario1[takes]),0)</f>
        <v>0</v>
      </c>
      <c r="P40" s="12">
        <f>IF(AvengerAbilities4Scenario1[[#This Row],[takes]]&gt;0,AvengerAbilities4Scenario1[[#This Row],[wins]]/AvengerAbilities4Scenario1[[#This Row],[takes]],0)</f>
        <v>0</v>
      </c>
      <c r="U40" s="18"/>
    </row>
    <row r="41" spans="12:21" ht="15.75" thickBot="1" x14ac:dyDescent="0.3">
      <c r="L41" s="10" t="s">
        <v>42</v>
      </c>
      <c r="M41" s="2">
        <f>COUNTIF(Scenario1[winner1-ability4],AvengerAbilities4Scenario1[[#This Row],[ability]])+COUNTIF(Scenario1[winner2-ability4],AvengerAbilities4Scenario1[[#This Row],[ability]])+COUNTIF(Scenario1[loser1-ability4],AvengerAbilities4Scenario1[[#This Row],[ability]])+COUNTIF(Scenario1[loser2-ability4],AvengerAbilities4Scenario1[[#This Row],[ability]])</f>
        <v>8</v>
      </c>
      <c r="N41" s="2">
        <f>COUNTIF(Scenario1[winner1-ability4],AvengerAbilities4Scenario1[[#This Row],[ability]])+COUNTIF(Scenario1[winner2-ability4],AvengerAbilities4Scenario1[[#This Row],[ability]])</f>
        <v>6</v>
      </c>
      <c r="O41" s="26">
        <f>IF(SUM(AvengerAbilities4Scenario1[[#This Row],[takes]]) &gt; 0,AvengerAbilities4Scenario1[[#This Row],[takes]]/SUM(AvengerAbilities4Scenario1[takes]),0)</f>
        <v>0.61538461538461542</v>
      </c>
      <c r="P41" s="26">
        <f>IF(AvengerAbilities4Scenario1[[#This Row],[takes]]&gt;0,AvengerAbilities4Scenario1[[#This Row],[wins]]/AvengerAbilities4Scenario1[[#This Row],[takes]],0)</f>
        <v>0.75</v>
      </c>
      <c r="Q41" s="27"/>
      <c r="R41" s="27"/>
      <c r="S41" s="27"/>
      <c r="T41" s="27"/>
      <c r="U41" s="28"/>
    </row>
    <row r="42" spans="12:21" ht="15.75" thickBot="1" x14ac:dyDescent="0.3"/>
    <row r="43" spans="12:21" ht="15.75" thickBot="1" x14ac:dyDescent="0.3">
      <c r="L43" s="36" t="s">
        <v>184</v>
      </c>
      <c r="M43" s="37"/>
      <c r="N43" s="37"/>
      <c r="O43" s="37"/>
      <c r="P43" s="37"/>
      <c r="Q43" s="37"/>
      <c r="R43" s="37"/>
      <c r="S43" s="37"/>
      <c r="T43" s="37"/>
      <c r="U43" s="38"/>
    </row>
    <row r="44" spans="12:21" x14ac:dyDescent="0.25">
      <c r="L44" s="17" t="s">
        <v>109</v>
      </c>
      <c r="M44" t="s">
        <v>110</v>
      </c>
      <c r="N44" t="s">
        <v>79</v>
      </c>
      <c r="O44" s="3" t="s">
        <v>117</v>
      </c>
      <c r="P44" s="3" t="s">
        <v>118</v>
      </c>
      <c r="R44" t="s">
        <v>161</v>
      </c>
      <c r="S44" t="s">
        <v>171</v>
      </c>
      <c r="T44" t="s">
        <v>172</v>
      </c>
      <c r="U44" s="18" t="s">
        <v>164</v>
      </c>
    </row>
    <row r="45" spans="12:21" x14ac:dyDescent="0.25">
      <c r="L45" t="s">
        <v>67</v>
      </c>
      <c r="M45">
        <f>COUNTIF(Scenario2[winner1-ability1],AvengerAbilities1Scenario2[[#This Row],[ability]])+COUNTIF(Scenario2[loser1-ability1],AvengerAbilities1Scenario2[[#This Row],[ability]])</f>
        <v>0</v>
      </c>
      <c r="N45">
        <f>COUNTIF(Scenario2[winner1-ability1],AvengerAbilities1Scenario2[[#This Row],[ability]])</f>
        <v>0</v>
      </c>
      <c r="O45" s="3">
        <f>IF(SUM(AvengerAbilities1Scenario2[[#This Row],[takes]]) &gt; 0,AvengerAbilities1Scenario2[[#This Row],[takes]]/SUM(AvengerAbilities1Scenario2[takes]),0)</f>
        <v>0</v>
      </c>
      <c r="P45" s="3">
        <f>IF(AvengerAbilities1Scenario2[[#This Row],[takes]]&gt;0,AvengerAbilities1Scenario2[[#This Row],[wins]]/AvengerAbilities1Scenario2[[#This Row],[takes]],0)</f>
        <v>0</v>
      </c>
      <c r="R45">
        <v>1</v>
      </c>
      <c r="S45">
        <f>COUNTIFS(Scenario2[winner1],"avenger",Scenario2[winner1-pw],AvengerEquipScenario2[[#This Row],[level]])+COUNTIFS(Scenario2[loser1],"avenger",Scenario2[loser1-pw],AvengerEquipScenario2[[#This Row],[level]])</f>
        <v>9</v>
      </c>
      <c r="T45">
        <f>COUNTIFS(Scenario2[winner1],"avenger",Scenario2[winner1-sw],AvengerEquipScenario2[[#This Row],[level]])+COUNTIFS(Scenario2[loser1],"avenger",Scenario2[loser1-sw],AvengerEquipScenario2[[#This Row],[level]])</f>
        <v>10</v>
      </c>
      <c r="U45" s="18">
        <f>COUNTIFS(Scenario2[winner1],"avenger",Scenario2[winner1-cp],AvengerEquipScenario2[[#This Row],[level]])+COUNTIFS(Scenario2[loser1],"avenger",Scenario2[loser1-cp],AvengerEquipScenario2[[#This Row],[level]])</f>
        <v>1</v>
      </c>
    </row>
    <row r="46" spans="12:21" x14ac:dyDescent="0.25">
      <c r="L46" t="s">
        <v>152</v>
      </c>
      <c r="M46">
        <f>COUNTIF(Scenario2[winner1-ability1],AvengerAbilities1Scenario2[[#This Row],[ability]])+COUNTIF(Scenario2[loser1-ability1],AvengerAbilities1Scenario2[[#This Row],[ability]])</f>
        <v>2</v>
      </c>
      <c r="N46">
        <f>COUNTIF(Scenario2[winner1-ability1],AvengerAbilities1Scenario2[[#This Row],[ability]])</f>
        <v>0</v>
      </c>
      <c r="O46" s="3">
        <f>IF(SUM(AvengerAbilities1Scenario2[[#This Row],[takes]]) &gt; 0,AvengerAbilities1Scenario2[[#This Row],[takes]]/SUM(AvengerAbilities1Scenario2[takes]),0)</f>
        <v>0.125</v>
      </c>
      <c r="P46" s="3">
        <f>IF(AvengerAbilities1Scenario2[[#This Row],[takes]]&gt;0,AvengerAbilities1Scenario2[[#This Row],[wins]]/AvengerAbilities1Scenario2[[#This Row],[takes]],0)</f>
        <v>0</v>
      </c>
      <c r="R46">
        <v>2</v>
      </c>
      <c r="S46">
        <f>COUNTIFS(Scenario2[winner1],"avenger",Scenario2[winner1-pw],AvengerEquipScenario2[[#This Row],[level]])+COUNTIFS(Scenario2[loser1],"avenger",Scenario2[loser1-pw],AvengerEquipScenario2[[#This Row],[level]])</f>
        <v>2</v>
      </c>
      <c r="T46">
        <f>COUNTIFS(Scenario2[winner1],"avenger",Scenario2[winner1-sw],AvengerEquipScenario2[[#This Row],[level]])+COUNTIFS(Scenario2[loser1],"avenger",Scenario2[loser1-sw],AvengerEquipScenario2[[#This Row],[level]])</f>
        <v>4</v>
      </c>
      <c r="U46" s="18">
        <f>COUNTIFS(Scenario2[winner1],"avenger",Scenario2[winner1-cp],AvengerEquipScenario2[[#This Row],[level]])+COUNTIFS(Scenario2[loser1],"avenger",Scenario2[loser1-cp],AvengerEquipScenario2[[#This Row],[level]])</f>
        <v>11</v>
      </c>
    </row>
    <row r="47" spans="12:21" x14ac:dyDescent="0.25">
      <c r="L47" t="s">
        <v>39</v>
      </c>
      <c r="M47">
        <f>COUNTIF(Scenario2[winner1-ability1],AvengerAbilities1Scenario2[[#This Row],[ability]])+COUNTIF(Scenario2[loser1-ability1],AvengerAbilities1Scenario2[[#This Row],[ability]])</f>
        <v>14</v>
      </c>
      <c r="N47">
        <f>COUNTIF(Scenario2[winner1-ability1],AvengerAbilities1Scenario2[[#This Row],[ability]])</f>
        <v>8</v>
      </c>
      <c r="O47" s="3">
        <f>IF(SUM(AvengerAbilities1Scenario2[[#This Row],[takes]]) &gt; 0,AvengerAbilities1Scenario2[[#This Row],[takes]]/SUM(AvengerAbilities1Scenario2[takes]),0)</f>
        <v>0.875</v>
      </c>
      <c r="P47" s="3">
        <f>IF(AvengerAbilities1Scenario2[[#This Row],[takes]]&gt;0,AvengerAbilities1Scenario2[[#This Row],[wins]]/AvengerAbilities1Scenario2[[#This Row],[takes]],0)</f>
        <v>0.5714285714285714</v>
      </c>
      <c r="R47">
        <v>3</v>
      </c>
      <c r="S47">
        <f>COUNTIFS(Scenario2[winner1],"avenger",Scenario2[winner1-pw],AvengerEquipScenario2[[#This Row],[level]])+COUNTIFS(Scenario2[loser1],"avenger",Scenario2[loser1-pw],AvengerEquipScenario2[[#This Row],[level]])</f>
        <v>5</v>
      </c>
      <c r="T47">
        <f>COUNTIFS(Scenario2[winner1],"avenger",Scenario2[winner1-sw],AvengerEquipScenario2[[#This Row],[level]])+COUNTIFS(Scenario2[loser1],"avenger",Scenario2[loser1-sw],AvengerEquipScenario2[[#This Row],[level]])</f>
        <v>2</v>
      </c>
      <c r="U47" s="18">
        <f>COUNTIFS(Scenario2[winner1],"avenger",Scenario2[winner1-cp],AvengerEquipScenario2[[#This Row],[level]])+COUNTIFS(Scenario2[loser1],"avenger",Scenario2[loser1-cp],AvengerEquipScenario2[[#This Row],[level]])</f>
        <v>4</v>
      </c>
    </row>
    <row r="48" spans="12:21" x14ac:dyDescent="0.25">
      <c r="L48" s="17"/>
      <c r="O48" s="3"/>
      <c r="P48" s="3"/>
      <c r="U48" s="18"/>
    </row>
    <row r="49" spans="12:21" x14ac:dyDescent="0.25">
      <c r="L49" s="19" t="s">
        <v>109</v>
      </c>
      <c r="M49" s="8" t="s">
        <v>110</v>
      </c>
      <c r="N49" s="8" t="s">
        <v>79</v>
      </c>
      <c r="O49" s="9" t="s">
        <v>117</v>
      </c>
      <c r="P49" s="9" t="s">
        <v>118</v>
      </c>
      <c r="U49" s="18"/>
    </row>
    <row r="50" spans="12:21" x14ac:dyDescent="0.25">
      <c r="L50" s="2" t="s">
        <v>40</v>
      </c>
      <c r="M50" s="2">
        <f>COUNTIF(Scenario2[winner1-ability2],AvengerAbilities2Scenario2[[#This Row],[ability]])+COUNTIF(Scenario2[loser1-ability2],AvengerAbilities2Scenario2[[#This Row],[ability]])</f>
        <v>5</v>
      </c>
      <c r="N50" s="2">
        <f>COUNTIF(Scenario2[winner1-ability2],AvengerAbilities2Scenario2[[#This Row],[ability]])</f>
        <v>1</v>
      </c>
      <c r="O50" s="12">
        <f>IF(SUM(AvengerAbilities2Scenario2[[#This Row],[takes]]) &gt; 0,AvengerAbilities2Scenario2[[#This Row],[takes]]/SUM(AvengerAbilities2Scenario2[takes]),0)</f>
        <v>0.3125</v>
      </c>
      <c r="P50" s="12">
        <f>IF(AvengerAbilities2Scenario2[[#This Row],[takes]]&gt;0,AvengerAbilities2Scenario2[[#This Row],[wins]]/AvengerAbilities2Scenario2[[#This Row],[takes]],0)</f>
        <v>0.2</v>
      </c>
      <c r="U50" s="18"/>
    </row>
    <row r="51" spans="12:21" x14ac:dyDescent="0.25">
      <c r="L51" t="s">
        <v>70</v>
      </c>
      <c r="M51" s="2">
        <f>COUNTIF(Scenario2[winner1-ability2],AvengerAbilities2Scenario2[[#This Row],[ability]])+COUNTIF(Scenario2[loser1-ability2],AvengerAbilities2Scenario2[[#This Row],[ability]])</f>
        <v>2</v>
      </c>
      <c r="N51" s="2">
        <f>COUNTIF(Scenario2[winner1-ability2],AvengerAbilities2Scenario2[[#This Row],[ability]])</f>
        <v>1</v>
      </c>
      <c r="O51" s="3">
        <f>IF(SUM(AvengerAbilities2Scenario2[[#This Row],[takes]]) &gt; 0,AvengerAbilities2Scenario2[[#This Row],[takes]]/SUM(AvengerAbilities2Scenario2[takes]),0)</f>
        <v>0.125</v>
      </c>
      <c r="P51" s="3">
        <f>IF(AvengerAbilities2Scenario2[[#This Row],[takes]]&gt;0,AvengerAbilities2Scenario2[[#This Row],[wins]]/AvengerAbilities2Scenario2[[#This Row],[takes]],0)</f>
        <v>0.5</v>
      </c>
      <c r="U51" s="18"/>
    </row>
    <row r="52" spans="12:21" x14ac:dyDescent="0.25">
      <c r="L52" s="10" t="s">
        <v>96</v>
      </c>
      <c r="M52" s="2">
        <f>COUNTIF(Scenario2[winner1-ability2],AvengerAbilities2Scenario2[[#This Row],[ability]])+COUNTIF(Scenario2[loser1-ability2],AvengerAbilities2Scenario2[[#This Row],[ability]])</f>
        <v>9</v>
      </c>
      <c r="N52" s="2">
        <f>COUNTIF(Scenario2[winner1-ability2],AvengerAbilities2Scenario2[[#This Row],[ability]])</f>
        <v>6</v>
      </c>
      <c r="O52" s="13">
        <f>IF(SUM(AvengerAbilities2Scenario2[[#This Row],[takes]]) &gt; 0,AvengerAbilities2Scenario2[[#This Row],[takes]]/SUM(AvengerAbilities2Scenario2[takes]),0)</f>
        <v>0.5625</v>
      </c>
      <c r="P52" s="13">
        <f>IF(AvengerAbilities2Scenario2[[#This Row],[takes]]&gt;0,AvengerAbilities2Scenario2[[#This Row],[wins]]/AvengerAbilities2Scenario2[[#This Row],[takes]],0)</f>
        <v>0.66666666666666663</v>
      </c>
      <c r="U52" s="18"/>
    </row>
    <row r="53" spans="12:21" x14ac:dyDescent="0.25">
      <c r="L53" s="17"/>
      <c r="O53" s="3"/>
      <c r="P53" s="3"/>
      <c r="U53" s="18"/>
    </row>
    <row r="54" spans="12:21" x14ac:dyDescent="0.25">
      <c r="L54" s="19" t="s">
        <v>109</v>
      </c>
      <c r="M54" s="8" t="s">
        <v>110</v>
      </c>
      <c r="N54" s="8" t="s">
        <v>79</v>
      </c>
      <c r="O54" s="9" t="s">
        <v>117</v>
      </c>
      <c r="P54" s="9" t="s">
        <v>118</v>
      </c>
      <c r="U54" s="18"/>
    </row>
    <row r="55" spans="12:21" x14ac:dyDescent="0.25">
      <c r="L55" s="1" t="s">
        <v>41</v>
      </c>
      <c r="M55" s="1">
        <f>COUNTIF(Scenario2[winner1-ability3],AvengerAbilities3Scenario2[[#This Row],[ability]])+COUNTIF(Scenario2[loser1-ability3],AvengerAbilities3Scenario2[[#This Row],[ability]])</f>
        <v>5</v>
      </c>
      <c r="N55" s="1">
        <f>COUNTIF(Scenario2[winner1-ability3],AvengerAbilities3Scenario2[[#This Row],[ability]])</f>
        <v>3</v>
      </c>
      <c r="O55" s="14">
        <f>IF(SUM(AvengerAbilities3Scenario2[[#This Row],[takes]]) &gt; 0,AvengerAbilities3Scenario2[[#This Row],[takes]]/SUM(AvengerAbilities3Scenario2[takes]),0)</f>
        <v>0.35714285714285715</v>
      </c>
      <c r="P55" s="14">
        <f>IF(AvengerAbilities3Scenario2[[#This Row],[takes]]&gt;0,AvengerAbilities3Scenario2[[#This Row],[wins]]/AvengerAbilities3Scenario2[[#This Row],[takes]],0)</f>
        <v>0.6</v>
      </c>
      <c r="U55" s="18"/>
    </row>
    <row r="56" spans="12:21" x14ac:dyDescent="0.25">
      <c r="L56" s="2" t="s">
        <v>153</v>
      </c>
      <c r="M56" s="2">
        <f>COUNTIF(Scenario2[winner1-ability3],AvengerAbilities3Scenario2[[#This Row],[ability]])+COUNTIF(Scenario2[loser1-ability3],AvengerAbilities3Scenario2[[#This Row],[ability]])</f>
        <v>5</v>
      </c>
      <c r="N56" s="2">
        <f>COUNTIF(Scenario2[winner1-ability3],AvengerAbilities3Scenario2[[#This Row],[ability]])</f>
        <v>2</v>
      </c>
      <c r="O56" s="12">
        <f>IF(SUM(AvengerAbilities3Scenario2[[#This Row],[takes]]) &gt; 0,AvengerAbilities3Scenario2[[#This Row],[takes]]/SUM(AvengerAbilities3Scenario2[takes]),0)</f>
        <v>0.35714285714285715</v>
      </c>
      <c r="P56" s="12">
        <f>IF(AvengerAbilities3Scenario2[[#This Row],[takes]]&gt;0,AvengerAbilities3Scenario2[[#This Row],[wins]]/AvengerAbilities3Scenario2[[#This Row],[takes]],0)</f>
        <v>0.4</v>
      </c>
      <c r="U56" s="18"/>
    </row>
    <row r="57" spans="12:21" x14ac:dyDescent="0.25">
      <c r="L57" s="11" t="s">
        <v>154</v>
      </c>
      <c r="M57" s="1">
        <f>COUNTIF(Scenario2[winner1-ability3],AvengerAbilities3Scenario2[[#This Row],[ability]])+COUNTIF(Scenario2[loser1-ability3],AvengerAbilities3Scenario2[[#This Row],[ability]])</f>
        <v>4</v>
      </c>
      <c r="N57" s="1">
        <f>COUNTIF(Scenario2[winner1-ability3],AvengerAbilities3Scenario2[[#This Row],[ability]])</f>
        <v>2</v>
      </c>
      <c r="O57" s="15">
        <f>IF(SUM(AvengerAbilities3Scenario2[[#This Row],[takes]]) &gt; 0,AvengerAbilities3Scenario2[[#This Row],[takes]]/SUM(AvengerAbilities3Scenario2[takes]),0)</f>
        <v>0.2857142857142857</v>
      </c>
      <c r="P57" s="15">
        <f>IF(AvengerAbilities3Scenario2[[#This Row],[takes]]&gt;0,AvengerAbilities3Scenario2[[#This Row],[wins]]/AvengerAbilities3Scenario2[[#This Row],[takes]],0)</f>
        <v>0.5</v>
      </c>
      <c r="U57" s="18"/>
    </row>
    <row r="58" spans="12:21" x14ac:dyDescent="0.25">
      <c r="L58" s="17"/>
      <c r="O58" s="3"/>
      <c r="P58" s="3"/>
      <c r="U58" s="18"/>
    </row>
    <row r="59" spans="12:21" x14ac:dyDescent="0.25">
      <c r="L59" s="19" t="s">
        <v>109</v>
      </c>
      <c r="M59" s="8" t="s">
        <v>110</v>
      </c>
      <c r="N59" s="8" t="s">
        <v>79</v>
      </c>
      <c r="O59" s="9" t="s">
        <v>117</v>
      </c>
      <c r="P59" s="9" t="s">
        <v>118</v>
      </c>
      <c r="U59" s="18"/>
    </row>
    <row r="60" spans="12:21" x14ac:dyDescent="0.25">
      <c r="L60" s="2" t="s">
        <v>155</v>
      </c>
      <c r="M60" s="2">
        <f>COUNTIF(Scenario2[winner1-ability4],AvengerAbilities4Scenario2[[#This Row],[ability]])+COUNTIF(Scenario2[loser1-ability4],AvengerAbilities4Scenario2[[#This Row],[ability]])</f>
        <v>4</v>
      </c>
      <c r="N60" s="2">
        <f>COUNTIF(Scenario2[winner1-ability4],AvengerAbilities4Scenario2[[#This Row],[ability]])</f>
        <v>4</v>
      </c>
      <c r="O60" s="12">
        <f>IF(SUM(AvengerAbilities4Scenario2[[#This Row],[takes]]) &gt; 0,AvengerAbilities4Scenario2[[#This Row],[takes]]/SUM(AvengerAbilities4Scenario2[takes]),0)</f>
        <v>0.5</v>
      </c>
      <c r="P60" s="12">
        <f>IF(AvengerAbilities4Scenario2[[#This Row],[takes]]&gt;0,AvengerAbilities4Scenario2[[#This Row],[wins]]/AvengerAbilities4Scenario2[[#This Row],[takes]],0)</f>
        <v>1</v>
      </c>
      <c r="U60" s="18"/>
    </row>
    <row r="61" spans="12:21" x14ac:dyDescent="0.25">
      <c r="L61" s="2" t="s">
        <v>156</v>
      </c>
      <c r="M61" s="2">
        <f>COUNTIF(Scenario2[winner1-ability4],AvengerAbilities4Scenario2[[#This Row],[ability]])+COUNTIF(Scenario2[loser1-ability4],AvengerAbilities4Scenario2[[#This Row],[ability]])</f>
        <v>1</v>
      </c>
      <c r="N61" s="2">
        <f>COUNTIF(Scenario2[winner1-ability4],AvengerAbilities4Scenario2[[#This Row],[ability]])</f>
        <v>1</v>
      </c>
      <c r="O61" s="12">
        <f>IF(SUM(AvengerAbilities4Scenario2[[#This Row],[takes]]) &gt; 0,AvengerAbilities4Scenario2[[#This Row],[takes]]/SUM(AvengerAbilities4Scenario2[takes]),0)</f>
        <v>0.125</v>
      </c>
      <c r="P61" s="12">
        <f>IF(AvengerAbilities4Scenario2[[#This Row],[takes]]&gt;0,AvengerAbilities4Scenario2[[#This Row],[wins]]/AvengerAbilities4Scenario2[[#This Row],[takes]],0)</f>
        <v>1</v>
      </c>
      <c r="U61" s="18"/>
    </row>
    <row r="62" spans="12:21" ht="15.75" thickBot="1" x14ac:dyDescent="0.3">
      <c r="L62" s="10" t="s">
        <v>42</v>
      </c>
      <c r="M62" s="2">
        <f>COUNTIF(Scenario2[winner1-ability4],AvengerAbilities4Scenario2[[#This Row],[ability]])+COUNTIF(Scenario2[loser1-ability4],AvengerAbilities4Scenario2[[#This Row],[ability]])</f>
        <v>3</v>
      </c>
      <c r="N62" s="2">
        <f>COUNTIF(Scenario2[winner1-ability4],AvengerAbilities4Scenario2[[#This Row],[ability]])</f>
        <v>0</v>
      </c>
      <c r="O62" s="26">
        <f>IF(SUM(AvengerAbilities4Scenario2[[#This Row],[takes]]) &gt; 0,AvengerAbilities4Scenario2[[#This Row],[takes]]/SUM(AvengerAbilities4Scenario2[takes]),0)</f>
        <v>0.375</v>
      </c>
      <c r="P62" s="26">
        <f>IF(AvengerAbilities4Scenario2[[#This Row],[takes]]&gt;0,AvengerAbilities4Scenario2[[#This Row],[wins]]/AvengerAbilities4Scenario2[[#This Row],[takes]],0)</f>
        <v>0</v>
      </c>
      <c r="Q62" s="27"/>
      <c r="R62" s="27"/>
      <c r="S62" s="27"/>
      <c r="T62" s="27"/>
      <c r="U62" s="28"/>
    </row>
    <row r="63" spans="12:21" ht="15.75" thickBot="1" x14ac:dyDescent="0.3"/>
    <row r="64" spans="12:21" ht="15.75" thickBot="1" x14ac:dyDescent="0.3">
      <c r="L64" s="36" t="s">
        <v>209</v>
      </c>
      <c r="M64" s="37"/>
      <c r="N64" s="37"/>
      <c r="O64" s="37"/>
      <c r="P64" s="37"/>
      <c r="Q64" s="37"/>
      <c r="R64" s="37"/>
      <c r="S64" s="37"/>
      <c r="T64" s="37"/>
      <c r="U64" s="38"/>
    </row>
    <row r="65" spans="12:21" x14ac:dyDescent="0.25">
      <c r="L65" s="17" t="s">
        <v>109</v>
      </c>
      <c r="M65" t="s">
        <v>110</v>
      </c>
      <c r="N65" t="s">
        <v>79</v>
      </c>
      <c r="O65" s="3" t="s">
        <v>117</v>
      </c>
      <c r="P65" s="3" t="s">
        <v>118</v>
      </c>
      <c r="R65" t="s">
        <v>161</v>
      </c>
      <c r="S65" t="s">
        <v>171</v>
      </c>
      <c r="T65" t="s">
        <v>172</v>
      </c>
      <c r="U65" s="18" t="s">
        <v>164</v>
      </c>
    </row>
    <row r="66" spans="12:21" x14ac:dyDescent="0.25">
      <c r="L66" t="s">
        <v>67</v>
      </c>
      <c r="M66">
        <f>COUNTIF(Scenario3[winner1-ability1],AvengerAbilities1Scenario3[[#This Row],[ability]])+COUNTIF(Scenario3[loser1-ability1],AvengerAbilities1Scenario3[[#This Row],[ability]])+COUNTIF(Scenario3[loser2-ability1],AvengerAbilities1Scenario3[[#This Row],[ability]])</f>
        <v>0</v>
      </c>
      <c r="N66">
        <f>COUNTIF(Scenario3[winner1-ability1],AvengerAbilities1Scenario3[[#This Row],[ability]])</f>
        <v>0</v>
      </c>
      <c r="O66" s="3">
        <f>IF(SUM(AvengerAbilities1Scenario3[[#This Row],[takes]]) &gt; 0,AvengerAbilities1Scenario3[[#This Row],[takes]]/SUM(AvengerAbilities1Scenario3[takes]),0)</f>
        <v>0</v>
      </c>
      <c r="P66" s="3">
        <f>IF(AvengerAbilities1Scenario3[[#This Row],[takes]]&gt;0,AvengerAbilities1Scenario3[[#This Row],[wins]]/AvengerAbilities1Scenario3[[#This Row],[takes]],0)</f>
        <v>0</v>
      </c>
      <c r="R66">
        <v>1</v>
      </c>
      <c r="S66">
        <f>COUNTIFS(Scenario3[winner1],"avenger",Scenario3[winner1-pw],AvengerEquipScenario3[[#This Row],[level]])+COUNTIFS(Scenario3[loser1],"avenger",Scenario3[loser1-pw],AvengerEquipScenario3[[#This Row],[level]])+COUNTIFS(Scenario3[loser2],"avenger",Scenario3[loser2-pw],AvengerEquipScenario3[[#This Row],[level]])</f>
        <v>8</v>
      </c>
      <c r="T66">
        <f>COUNTIFS(Scenario3[winner1],"avenger",Scenario3[winner1-sw],AvengerEquipScenario3[[#This Row],[level]])+COUNTIFS(Scenario3[loser1],"avenger",Scenario3[loser1-sw],AvengerEquipScenario3[[#This Row],[level]])+COUNTIFS(Scenario3[loser2],"avenger",Scenario3[loser2-sw],AvengerEquipScenario3[[#This Row],[level]])</f>
        <v>6</v>
      </c>
      <c r="U66" s="18">
        <f>COUNTIFS(Scenario3[winner1],"avenger",Scenario3[winner1-cp],AvengerEquipScenario3[[#This Row],[level]])+COUNTIFS(Scenario3[loser1],"avenger",Scenario3[loser1-cp],AvengerEquipScenario3[[#This Row],[level]])+COUNTIFS(Scenario3[loser2],"avenger",Scenario3[loser2-cp],AvengerEquipScenario3[[#This Row],[level]])</f>
        <v>1</v>
      </c>
    </row>
    <row r="67" spans="12:21" x14ac:dyDescent="0.25">
      <c r="L67" t="s">
        <v>152</v>
      </c>
      <c r="M67">
        <f>COUNTIF(Scenario3[winner1-ability1],AvengerAbilities1Scenario3[[#This Row],[ability]])+COUNTIF(Scenario3[loser1-ability1],AvengerAbilities1Scenario3[[#This Row],[ability]])+COUNTIF(Scenario3[loser2-ability1],AvengerAbilities1Scenario3[[#This Row],[ability]])</f>
        <v>0</v>
      </c>
      <c r="N67">
        <f>COUNTIF(Scenario3[winner1-ability1],AvengerAbilities1Scenario3[[#This Row],[ability]])</f>
        <v>0</v>
      </c>
      <c r="O67" s="3">
        <f>IF(SUM(AvengerAbilities1Scenario3[[#This Row],[takes]]) &gt; 0,AvengerAbilities1Scenario3[[#This Row],[takes]]/SUM(AvengerAbilities1Scenario3[takes]),0)</f>
        <v>0</v>
      </c>
      <c r="P67" s="3">
        <f>IF(AvengerAbilities1Scenario3[[#This Row],[takes]]&gt;0,AvengerAbilities1Scenario3[[#This Row],[wins]]/AvengerAbilities1Scenario3[[#This Row],[takes]],0)</f>
        <v>0</v>
      </c>
      <c r="R67">
        <v>2</v>
      </c>
      <c r="S67">
        <f>COUNTIFS(Scenario3[winner1],"avenger",Scenario3[winner1-pw],AvengerEquipScenario3[[#This Row],[level]])+COUNTIFS(Scenario3[loser1],"avenger",Scenario3[loser1-pw],AvengerEquipScenario3[[#This Row],[level]])+COUNTIFS(Scenario3[loser2],"avenger",Scenario3[loser2-pw],AvengerEquipScenario3[[#This Row],[level]])</f>
        <v>0</v>
      </c>
      <c r="T67">
        <f>COUNTIFS(Scenario3[winner1],"avenger",Scenario3[winner1-sw],AvengerEquipScenario3[[#This Row],[level]])+COUNTIFS(Scenario3[loser1],"avenger",Scenario3[loser1-sw],AvengerEquipScenario3[[#This Row],[level]])+COUNTIFS(Scenario3[loser2],"avenger",Scenario3[loser2-sw],AvengerEquipScenario3[[#This Row],[level]])</f>
        <v>2</v>
      </c>
      <c r="U67" s="18">
        <f>COUNTIFS(Scenario3[winner1],"avenger",Scenario3[winner1-cp],AvengerEquipScenario3[[#This Row],[level]])+COUNTIFS(Scenario3[loser1],"avenger",Scenario3[loser1-cp],AvengerEquipScenario3[[#This Row],[level]])+COUNTIFS(Scenario3[loser2],"avenger",Scenario3[loser2-cp],AvengerEquipScenario3[[#This Row],[level]])</f>
        <v>7</v>
      </c>
    </row>
    <row r="68" spans="12:21" x14ac:dyDescent="0.25">
      <c r="L68" t="s">
        <v>39</v>
      </c>
      <c r="M68">
        <f>COUNTIF(Scenario3[winner1-ability1],AvengerAbilities1Scenario3[[#This Row],[ability]])+COUNTIF(Scenario3[loser1-ability1],AvengerAbilities1Scenario3[[#This Row],[ability]])+COUNTIF(Scenario3[loser2-ability1],AvengerAbilities1Scenario3[[#This Row],[ability]])</f>
        <v>28</v>
      </c>
      <c r="N68">
        <f>COUNTIF(Scenario3[winner1-ability1],AvengerAbilities1Scenario3[[#This Row],[ability]])</f>
        <v>8</v>
      </c>
      <c r="O68" s="3">
        <f>IF(SUM(AvengerAbilities1Scenario3[[#This Row],[takes]]) &gt; 0,AvengerAbilities1Scenario3[[#This Row],[takes]]/SUM(AvengerAbilities1Scenario3[takes]),0)</f>
        <v>1</v>
      </c>
      <c r="P68" s="3">
        <f>IF(AvengerAbilities1Scenario3[[#This Row],[takes]]&gt;0,AvengerAbilities1Scenario3[[#This Row],[wins]]/AvengerAbilities1Scenario3[[#This Row],[takes]],0)</f>
        <v>0.2857142857142857</v>
      </c>
      <c r="R68">
        <v>3</v>
      </c>
      <c r="S68">
        <f>COUNTIFS(Scenario3[winner1],"avenger",Scenario3[winner1-pw],AvengerEquipScenario3[[#This Row],[level]])+COUNTIFS(Scenario3[loser1],"avenger",Scenario3[loser1-pw],AvengerEquipScenario3[[#This Row],[level]])+COUNTIFS(Scenario3[loser2],"avenger",Scenario3[loser2-pw],AvengerEquipScenario3[[#This Row],[level]])</f>
        <v>20</v>
      </c>
      <c r="T68">
        <f>COUNTIFS(Scenario3[winner1],"avenger",Scenario3[winner1-sw],AvengerEquipScenario3[[#This Row],[level]])+COUNTIFS(Scenario3[loser1],"avenger",Scenario3[loser1-sw],AvengerEquipScenario3[[#This Row],[level]])+COUNTIFS(Scenario3[loser2],"avenger",Scenario3[loser2-sw],AvengerEquipScenario3[[#This Row],[level]])</f>
        <v>20</v>
      </c>
      <c r="U68" s="18">
        <f>COUNTIFS(Scenario3[winner1],"avenger",Scenario3[winner1-cp],AvengerEquipScenario3[[#This Row],[level]])+COUNTIFS(Scenario3[loser1],"avenger",Scenario3[loser1-cp],AvengerEquipScenario3[[#This Row],[level]])+COUNTIFS(Scenario3[loser2],"avenger",Scenario3[loser2-cp],AvengerEquipScenario3[[#This Row],[level]])</f>
        <v>20</v>
      </c>
    </row>
    <row r="69" spans="12:21" x14ac:dyDescent="0.25">
      <c r="L69" s="17"/>
      <c r="O69" s="3"/>
      <c r="P69" s="3"/>
      <c r="U69" s="18"/>
    </row>
    <row r="70" spans="12:21" x14ac:dyDescent="0.25">
      <c r="L70" s="19" t="s">
        <v>109</v>
      </c>
      <c r="M70" s="8" t="s">
        <v>110</v>
      </c>
      <c r="N70" s="8" t="s">
        <v>79</v>
      </c>
      <c r="O70" s="9" t="s">
        <v>117</v>
      </c>
      <c r="P70" s="9" t="s">
        <v>118</v>
      </c>
      <c r="U70" s="18"/>
    </row>
    <row r="71" spans="12:21" x14ac:dyDescent="0.25">
      <c r="L71" s="2" t="s">
        <v>40</v>
      </c>
      <c r="M71" s="2">
        <f>COUNTIF(Scenario3[winner1-ability2],AvengerAbilities2Scenario3[[#This Row],[ability]])+COUNTIF(Scenario3[loser1-ability2],AvengerAbilities2Scenario3[[#This Row],[ability]])+COUNTIF(Scenario3[loser2-ability2],AvengerAbilities2Scenario3[[#This Row],[ability]])</f>
        <v>17</v>
      </c>
      <c r="N71" s="2">
        <f>COUNTIF(Scenario3[winner1-ability2],AvengerAbilities2Scenario3[[#This Row],[ability]])</f>
        <v>6</v>
      </c>
      <c r="O71" s="12">
        <f>IF(SUM(AvengerAbilities2Scenario3[[#This Row],[takes]]) &gt; 0,AvengerAbilities2Scenario3[[#This Row],[takes]]/SUM(AvengerAbilities2Scenario3[takes]),0)</f>
        <v>0.6071428571428571</v>
      </c>
      <c r="P71" s="12">
        <f>IF(AvengerAbilities2Scenario3[[#This Row],[takes]]&gt;0,AvengerAbilities2Scenario3[[#This Row],[wins]]/AvengerAbilities2Scenario3[[#This Row],[takes]],0)</f>
        <v>0.35294117647058826</v>
      </c>
      <c r="U71" s="18"/>
    </row>
    <row r="72" spans="12:21" x14ac:dyDescent="0.25">
      <c r="L72" t="s">
        <v>70</v>
      </c>
      <c r="M72" s="2">
        <f>COUNTIF(Scenario3[winner1-ability2],AvengerAbilities2Scenario3[[#This Row],[ability]])+COUNTIF(Scenario3[loser1-ability2],AvengerAbilities2Scenario3[[#This Row],[ability]])+COUNTIF(Scenario3[loser2-ability2],AvengerAbilities2Scenario3[[#This Row],[ability]])</f>
        <v>3</v>
      </c>
      <c r="N72" s="2">
        <f>COUNTIF(Scenario3[winner1-ability2],AvengerAbilities2Scenario3[[#This Row],[ability]])</f>
        <v>1</v>
      </c>
      <c r="O72" s="3">
        <f>IF(SUM(AvengerAbilities2Scenario3[[#This Row],[takes]]) &gt; 0,AvengerAbilities2Scenario3[[#This Row],[takes]]/SUM(AvengerAbilities2Scenario3[takes]),0)</f>
        <v>0.10714285714285714</v>
      </c>
      <c r="P72" s="3">
        <f>IF(AvengerAbilities2Scenario3[[#This Row],[takes]]&gt;0,AvengerAbilities2Scenario3[[#This Row],[wins]]/AvengerAbilities2Scenario3[[#This Row],[takes]],0)</f>
        <v>0.33333333333333331</v>
      </c>
      <c r="U72" s="18"/>
    </row>
    <row r="73" spans="12:21" x14ac:dyDescent="0.25">
      <c r="L73" s="10" t="s">
        <v>96</v>
      </c>
      <c r="M73" s="2">
        <f>COUNTIF(Scenario3[winner1-ability2],AvengerAbilities2Scenario3[[#This Row],[ability]])+COUNTIF(Scenario3[loser1-ability2],AvengerAbilities2Scenario3[[#This Row],[ability]])+COUNTIF(Scenario3[loser2-ability2],AvengerAbilities2Scenario3[[#This Row],[ability]])</f>
        <v>8</v>
      </c>
      <c r="N73" s="2">
        <f>COUNTIF(Scenario3[winner1-ability2],AvengerAbilities2Scenario3[[#This Row],[ability]])</f>
        <v>1</v>
      </c>
      <c r="O73" s="13">
        <f>IF(SUM(AvengerAbilities2Scenario3[[#This Row],[takes]]) &gt; 0,AvengerAbilities2Scenario3[[#This Row],[takes]]/SUM(AvengerAbilities2Scenario3[takes]),0)</f>
        <v>0.2857142857142857</v>
      </c>
      <c r="P73" s="13">
        <f>IF(AvengerAbilities2Scenario3[[#This Row],[takes]]&gt;0,AvengerAbilities2Scenario3[[#This Row],[wins]]/AvengerAbilities2Scenario3[[#This Row],[takes]],0)</f>
        <v>0.125</v>
      </c>
      <c r="U73" s="18"/>
    </row>
    <row r="74" spans="12:21" x14ac:dyDescent="0.25">
      <c r="L74" s="17"/>
      <c r="O74" s="3"/>
      <c r="P74" s="3"/>
      <c r="U74" s="18"/>
    </row>
    <row r="75" spans="12:21" x14ac:dyDescent="0.25">
      <c r="L75" s="19" t="s">
        <v>109</v>
      </c>
      <c r="M75" s="8" t="s">
        <v>110</v>
      </c>
      <c r="N75" s="8" t="s">
        <v>79</v>
      </c>
      <c r="O75" s="9" t="s">
        <v>117</v>
      </c>
      <c r="P75" s="9" t="s">
        <v>118</v>
      </c>
      <c r="U75" s="18"/>
    </row>
    <row r="76" spans="12:21" x14ac:dyDescent="0.25">
      <c r="L76" s="1" t="s">
        <v>41</v>
      </c>
      <c r="M76" s="1">
        <f>COUNTIF(Scenario3[winner1-ability3],AvengerAbilities3Scenario3[[#This Row],[ability]])+COUNTIF(Scenario3[loser1-ability3],AvengerAbilities3Scenario3[[#This Row],[ability]])+COUNTIF(Scenario3[loser2-ability3],AvengerAbilities3Scenario3[[#This Row],[ability]])</f>
        <v>6</v>
      </c>
      <c r="N76" s="1">
        <f>COUNTIF(Scenario3[winner1-ability3],AvengerAbilities3Scenario3[[#This Row],[ability]])</f>
        <v>0</v>
      </c>
      <c r="O76" s="14">
        <f>IF(SUM(AvengerAbilities3Scenario3[[#This Row],[takes]]) &gt; 0,AvengerAbilities3Scenario3[[#This Row],[takes]]/SUM(AvengerAbilities3Scenario3[takes]),0)</f>
        <v>0.21428571428571427</v>
      </c>
      <c r="P76" s="14">
        <f>IF(AvengerAbilities3Scenario3[[#This Row],[takes]]&gt;0,AvengerAbilities3Scenario3[[#This Row],[wins]]/AvengerAbilities3Scenario3[[#This Row],[takes]],0)</f>
        <v>0</v>
      </c>
      <c r="U76" s="18"/>
    </row>
    <row r="77" spans="12:21" x14ac:dyDescent="0.25">
      <c r="L77" s="2" t="s">
        <v>153</v>
      </c>
      <c r="M77" s="2">
        <f>COUNTIF(Scenario3[winner1-ability3],AvengerAbilities3Scenario3[[#This Row],[ability]])+COUNTIF(Scenario3[loser1-ability3],AvengerAbilities3Scenario3[[#This Row],[ability]])+COUNTIF(Scenario3[loser2-ability3],AvengerAbilities3Scenario3[[#This Row],[ability]])</f>
        <v>18</v>
      </c>
      <c r="N77" s="2">
        <f>COUNTIF(Scenario3[winner1-ability3],AvengerAbilities3Scenario3[[#This Row],[ability]])</f>
        <v>6</v>
      </c>
      <c r="O77" s="12">
        <f>IF(SUM(AvengerAbilities3Scenario3[[#This Row],[takes]]) &gt; 0,AvengerAbilities3Scenario3[[#This Row],[takes]]/SUM(AvengerAbilities3Scenario3[takes]),0)</f>
        <v>0.6428571428571429</v>
      </c>
      <c r="P77" s="12">
        <f>IF(AvengerAbilities3Scenario3[[#This Row],[takes]]&gt;0,AvengerAbilities3Scenario3[[#This Row],[wins]]/AvengerAbilities3Scenario3[[#This Row],[takes]],0)</f>
        <v>0.33333333333333331</v>
      </c>
      <c r="U77" s="18"/>
    </row>
    <row r="78" spans="12:21" x14ac:dyDescent="0.25">
      <c r="L78" s="11" t="s">
        <v>154</v>
      </c>
      <c r="M78" s="1">
        <f>COUNTIF(Scenario3[winner1-ability3],AvengerAbilities3Scenario3[[#This Row],[ability]])+COUNTIF(Scenario3[loser1-ability3],AvengerAbilities3Scenario3[[#This Row],[ability]])+COUNTIF(Scenario3[loser2-ability3],AvengerAbilities3Scenario3[[#This Row],[ability]])</f>
        <v>4</v>
      </c>
      <c r="N78" s="1">
        <f>COUNTIF(Scenario3[winner1-ability3],AvengerAbilities3Scenario3[[#This Row],[ability]])</f>
        <v>2</v>
      </c>
      <c r="O78" s="15">
        <f>IF(SUM(AvengerAbilities3Scenario3[[#This Row],[takes]]) &gt; 0,AvengerAbilities3Scenario3[[#This Row],[takes]]/SUM(AvengerAbilities3Scenario3[takes]),0)</f>
        <v>0.14285714285714285</v>
      </c>
      <c r="P78" s="15">
        <f>IF(AvengerAbilities3Scenario3[[#This Row],[takes]]&gt;0,AvengerAbilities3Scenario3[[#This Row],[wins]]/AvengerAbilities3Scenario3[[#This Row],[takes]],0)</f>
        <v>0.5</v>
      </c>
      <c r="U78" s="18"/>
    </row>
    <row r="79" spans="12:21" x14ac:dyDescent="0.25">
      <c r="L79" s="17"/>
      <c r="O79" s="3"/>
      <c r="P79" s="3"/>
      <c r="U79" s="18"/>
    </row>
    <row r="80" spans="12:21" x14ac:dyDescent="0.25">
      <c r="L80" s="19" t="s">
        <v>109</v>
      </c>
      <c r="M80" s="8" t="s">
        <v>110</v>
      </c>
      <c r="N80" s="8" t="s">
        <v>79</v>
      </c>
      <c r="O80" s="9" t="s">
        <v>117</v>
      </c>
      <c r="P80" s="9" t="s">
        <v>118</v>
      </c>
      <c r="U80" s="18"/>
    </row>
    <row r="81" spans="12:21" x14ac:dyDescent="0.25">
      <c r="L81" s="2" t="s">
        <v>155</v>
      </c>
      <c r="M81" s="2">
        <f>COUNTIF(Scenario3[winner1-ability4],AvengerAbilities4Scenario3[[#This Row],[ability]])+COUNTIF(Scenario3[loser1-ability4],AvengerAbilities4Scenario3[[#This Row],[ability]])+COUNTIF(Scenario3[loser2-ability4],AvengerAbilities4Scenario3[[#This Row],[ability]])</f>
        <v>2</v>
      </c>
      <c r="N81" s="2">
        <f>COUNTIF(Scenario3[winner1-ability4],AvengerAbilities4Scenario3[[#This Row],[ability]])</f>
        <v>1</v>
      </c>
      <c r="O81" s="12">
        <f>IF(SUM(AvengerAbilities4Scenario3[[#This Row],[takes]]) &gt; 0,AvengerAbilities4Scenario3[[#This Row],[takes]]/SUM(AvengerAbilities4Scenario3[takes]),0)</f>
        <v>0.08</v>
      </c>
      <c r="P81" s="12">
        <f>IF(AvengerAbilities4Scenario3[[#This Row],[takes]]&gt;0,AvengerAbilities4Scenario3[[#This Row],[wins]]/AvengerAbilities4Scenario3[[#This Row],[takes]],0)</f>
        <v>0.5</v>
      </c>
      <c r="U81" s="18"/>
    </row>
    <row r="82" spans="12:21" x14ac:dyDescent="0.25">
      <c r="L82" s="2" t="s">
        <v>156</v>
      </c>
      <c r="M82" s="2">
        <f>COUNTIF(Scenario3[winner1-ability4],AvengerAbilities4Scenario3[[#This Row],[ability]])+COUNTIF(Scenario3[loser1-ability4],AvengerAbilities4Scenario3[[#This Row],[ability]])+COUNTIF(Scenario3[loser2-ability4],AvengerAbilities4Scenario3[[#This Row],[ability]])</f>
        <v>19</v>
      </c>
      <c r="N82" s="2">
        <f>COUNTIF(Scenario3[winner1-ability4],AvengerAbilities4Scenario3[[#This Row],[ability]])</f>
        <v>7</v>
      </c>
      <c r="O82" s="12">
        <f>IF(SUM(AvengerAbilities4Scenario3[[#This Row],[takes]]) &gt; 0,AvengerAbilities4Scenario3[[#This Row],[takes]]/SUM(AvengerAbilities4Scenario3[takes]),0)</f>
        <v>0.76</v>
      </c>
      <c r="P82" s="12">
        <f>IF(AvengerAbilities4Scenario3[[#This Row],[takes]]&gt;0,AvengerAbilities4Scenario3[[#This Row],[wins]]/AvengerAbilities4Scenario3[[#This Row],[takes]],0)</f>
        <v>0.36842105263157893</v>
      </c>
      <c r="U82" s="18"/>
    </row>
    <row r="83" spans="12:21" ht="15.75" thickBot="1" x14ac:dyDescent="0.3">
      <c r="L83" s="10" t="s">
        <v>42</v>
      </c>
      <c r="M83" s="2">
        <f>COUNTIF(Scenario3[winner1-ability4],AvengerAbilities4Scenario3[[#This Row],[ability]])+COUNTIF(Scenario3[loser1-ability4],AvengerAbilities4Scenario3[[#This Row],[ability]])+COUNTIF(Scenario3[loser2-ability4],AvengerAbilities4Scenario3[[#This Row],[ability]])</f>
        <v>4</v>
      </c>
      <c r="N83" s="2">
        <f>COUNTIF(Scenario3[winner1-ability4],AvengerAbilities4Scenario3[[#This Row],[ability]])</f>
        <v>0</v>
      </c>
      <c r="O83" s="26">
        <f>IF(SUM(AvengerAbilities4Scenario3[[#This Row],[takes]]) &gt; 0,AvengerAbilities4Scenario3[[#This Row],[takes]]/SUM(AvengerAbilities4Scenario3[takes]),0)</f>
        <v>0.16</v>
      </c>
      <c r="P83" s="26">
        <f>IF(AvengerAbilities4Scenario3[[#This Row],[takes]]&gt;0,AvengerAbilities4Scenario3[[#This Row],[wins]]/AvengerAbilities4Scenario3[[#This Row],[takes]],0)</f>
        <v>0</v>
      </c>
      <c r="Q83" s="27"/>
      <c r="R83" s="27"/>
      <c r="S83" s="27"/>
      <c r="T83" s="27"/>
      <c r="U83" s="28"/>
    </row>
    <row r="84" spans="12:21" ht="15.75" thickBot="1" x14ac:dyDescent="0.3"/>
    <row r="85" spans="12:21" ht="15.75" thickBot="1" x14ac:dyDescent="0.3">
      <c r="L85" s="36" t="s">
        <v>219</v>
      </c>
      <c r="M85" s="37"/>
      <c r="N85" s="37"/>
      <c r="O85" s="37"/>
      <c r="P85" s="37"/>
      <c r="Q85" s="37"/>
      <c r="R85" s="37"/>
      <c r="S85" s="37"/>
      <c r="T85" s="37"/>
      <c r="U85" s="38"/>
    </row>
    <row r="86" spans="12:21" x14ac:dyDescent="0.25">
      <c r="L86" s="17" t="s">
        <v>109</v>
      </c>
      <c r="M86" t="s">
        <v>110</v>
      </c>
      <c r="N86" t="s">
        <v>79</v>
      </c>
      <c r="O86" s="3" t="s">
        <v>117</v>
      </c>
      <c r="P86" s="3" t="s">
        <v>118</v>
      </c>
      <c r="R86" t="s">
        <v>161</v>
      </c>
      <c r="S86" t="s">
        <v>171</v>
      </c>
      <c r="T86" t="s">
        <v>172</v>
      </c>
      <c r="U86" s="18" t="s">
        <v>164</v>
      </c>
    </row>
    <row r="87" spans="12:21" x14ac:dyDescent="0.25">
      <c r="L87" t="s">
        <v>67</v>
      </c>
      <c r="M87">
        <f>COUNTIF(Scenario4[winner1-ability1],AvengerAbilities1Scenario4[[#This Row],[ability]])+COUNTIF(Scenario4[loser1-ability1],AvengerAbilities1Scenario4[[#This Row],[ability]])+COUNTIF(Scenario4[loser2-ability1],AvengerAbilities1Scenario4[[#This Row],[ability]])+COUNTIF(Scenario4[loser3-ability1],AvengerAbilities1Scenario4[[#This Row],[ability]])</f>
        <v>0</v>
      </c>
      <c r="N87">
        <f>COUNTIF(Scenario4[winner1-ability1],AvengerAbilities1Scenario4[[#This Row],[ability]])</f>
        <v>0</v>
      </c>
      <c r="O87" s="3">
        <f>IF(SUM(AvengerAbilities1Scenario4[[#This Row],[takes]]) &gt; 0,AvengerAbilities1Scenario4[[#This Row],[takes]]/SUM(AvengerAbilities1Scenario4[takes]),0)</f>
        <v>0</v>
      </c>
      <c r="P87" s="3">
        <f>IF(AvengerAbilities1Scenario4[[#This Row],[takes]]&gt;0,AvengerAbilities1Scenario4[[#This Row],[wins]]/AvengerAbilities1Scenario4[[#This Row],[takes]],0)</f>
        <v>0</v>
      </c>
      <c r="R87">
        <v>1</v>
      </c>
      <c r="S87">
        <f>COUNTIFS(Scenario4[winner1],"avenger",Scenario4[winner1-pw],AvengerEquipScenario4[[#This Row],[level]])+COUNTIFS(Scenario4[loser1],"avenger",Scenario4[loser1-pw],AvengerEquipScenario4[[#This Row],[level]])+COUNTIFS(Scenario4[loser2],"avenger",Scenario4[loser2-pw],AvengerEquipScenario4[[#This Row],[level]])+COUNTIFS(Scenario4[loser3],"avenger",Scenario4[loser3-pw],AvengerEquipScenario4[[#This Row],[level]])</f>
        <v>11</v>
      </c>
      <c r="T87">
        <f>COUNTIFS(Scenario4[winner1],"avenger",Scenario4[winner1-sw],AvengerEquipScenario4[[#This Row],[level]])+COUNTIFS(Scenario4[loser1],"avenger",Scenario4[loser1-sw],AvengerEquipScenario4[[#This Row],[level]])+COUNTIFS(Scenario4[loser2],"avenger",Scenario4[loser2-sw],AvengerEquipScenario4[[#This Row],[level]])+COUNTIFS(Scenario4[loser3],"avenger",Scenario4[loser3-sw],AvengerEquipScenario4[[#This Row],[level]])</f>
        <v>11</v>
      </c>
      <c r="U87" s="18">
        <f>COUNTIFS(Scenario4[winner1],"avenger",Scenario4[winner1-cp],AvengerEquipScenario4[[#This Row],[level]])+COUNTIFS(Scenario4[loser1],"avenger",Scenario4[loser1-cp],AvengerEquipScenario4[[#This Row],[level]])+COUNTIFS(Scenario4[loser2],"avenger",Scenario4[loser2-cp],AvengerEquipScenario4[[#This Row],[level]])+COUNTIFS(Scenario4[loser3],"avenger",Scenario4[loser3-cp],AvengerEquipScenario4[[#This Row],[level]])</f>
        <v>2</v>
      </c>
    </row>
    <row r="88" spans="12:21" x14ac:dyDescent="0.25">
      <c r="L88" t="s">
        <v>152</v>
      </c>
      <c r="M88">
        <f>COUNTIF(Scenario4[winner1-ability1],AvengerAbilities1Scenario4[[#This Row],[ability]])+COUNTIF(Scenario4[loser1-ability1],AvengerAbilities1Scenario4[[#This Row],[ability]])+COUNTIF(Scenario4[loser2-ability1],AvengerAbilities1Scenario4[[#This Row],[ability]])+COUNTIF(Scenario4[loser3-ability1],AvengerAbilities1Scenario4[[#This Row],[ability]])</f>
        <v>0</v>
      </c>
      <c r="N88">
        <f>COUNTIF(Scenario4[winner1-ability1],AvengerAbilities1Scenario4[[#This Row],[ability]])</f>
        <v>0</v>
      </c>
      <c r="O88" s="3">
        <f>IF(SUM(AvengerAbilities1Scenario4[[#This Row],[takes]]) &gt; 0,AvengerAbilities1Scenario4[[#This Row],[takes]]/SUM(AvengerAbilities1Scenario4[takes]),0)</f>
        <v>0</v>
      </c>
      <c r="P88" s="3">
        <f>IF(AvengerAbilities1Scenario4[[#This Row],[takes]]&gt;0,AvengerAbilities1Scenario4[[#This Row],[wins]]/AvengerAbilities1Scenario4[[#This Row],[takes]],0)</f>
        <v>0</v>
      </c>
      <c r="R88">
        <v>2</v>
      </c>
      <c r="S88">
        <f>COUNTIFS(Scenario4[winner1],"avenger",Scenario4[winner1-pw],AvengerEquipScenario4[[#This Row],[level]])+COUNTIFS(Scenario4[loser1],"avenger",Scenario4[loser1-pw],AvengerEquipScenario4[[#This Row],[level]])+COUNTIFS(Scenario4[loser2],"avenger",Scenario4[loser2-pw],AvengerEquipScenario4[[#This Row],[level]])+COUNTIFS(Scenario4[loser3],"avenger",Scenario4[loser3-pw],AvengerEquipScenario4[[#This Row],[level]])</f>
        <v>9</v>
      </c>
      <c r="T88">
        <f>COUNTIFS(Scenario4[winner1],"avenger",Scenario4[winner1-sw],AvengerEquipScenario4[[#This Row],[level]])+COUNTIFS(Scenario4[loser1],"avenger",Scenario4[loser1-sw],AvengerEquipScenario4[[#This Row],[level]])+COUNTIFS(Scenario4[loser2],"avenger",Scenario4[loser2-sw],AvengerEquipScenario4[[#This Row],[level]])+COUNTIFS(Scenario4[loser3],"avenger",Scenario4[loser3-sw],AvengerEquipScenario4[[#This Row],[level]])</f>
        <v>5</v>
      </c>
      <c r="U88" s="18">
        <f>COUNTIFS(Scenario4[winner1],"avenger",Scenario4[winner1-cp],AvengerEquipScenario4[[#This Row],[level]])+COUNTIFS(Scenario4[loser1],"avenger",Scenario4[loser1-cp],AvengerEquipScenario4[[#This Row],[level]])+COUNTIFS(Scenario4[loser2],"avenger",Scenario4[loser2-cp],AvengerEquipScenario4[[#This Row],[level]])+COUNTIFS(Scenario4[loser3],"avenger",Scenario4[loser3-cp],AvengerEquipScenario4[[#This Row],[level]])</f>
        <v>8</v>
      </c>
    </row>
    <row r="89" spans="12:21" x14ac:dyDescent="0.25">
      <c r="L89" t="s">
        <v>39</v>
      </c>
      <c r="M89">
        <f>COUNTIF(Scenario4[winner1-ability1],AvengerAbilities1Scenario4[[#This Row],[ability]])+COUNTIF(Scenario4[loser1-ability1],AvengerAbilities1Scenario4[[#This Row],[ability]])+COUNTIF(Scenario4[loser2-ability1],AvengerAbilities1Scenario4[[#This Row],[ability]])+COUNTIF(Scenario4[loser3-ability1],AvengerAbilities1Scenario4[[#This Row],[ability]])</f>
        <v>56</v>
      </c>
      <c r="N89">
        <f>COUNTIF(Scenario4[winner1-ability1],AvengerAbilities1Scenario4[[#This Row],[ability]])</f>
        <v>8</v>
      </c>
      <c r="O89" s="3">
        <f>IF(SUM(AvengerAbilities1Scenario4[[#This Row],[takes]]) &gt; 0,AvengerAbilities1Scenario4[[#This Row],[takes]]/SUM(AvengerAbilities1Scenario4[takes]),0)</f>
        <v>1</v>
      </c>
      <c r="P89" s="3">
        <f>IF(AvengerAbilities1Scenario4[[#This Row],[takes]]&gt;0,AvengerAbilities1Scenario4[[#This Row],[wins]]/AvengerAbilities1Scenario4[[#This Row],[takes]],0)</f>
        <v>0.14285714285714285</v>
      </c>
      <c r="R89">
        <v>3</v>
      </c>
      <c r="S89">
        <f>COUNTIFS(Scenario4[winner1],"avenger",Scenario4[winner1-pw],AvengerEquipScenario4[[#This Row],[level]])+COUNTIFS(Scenario4[loser1],"avenger",Scenario4[loser1-pw],AvengerEquipScenario4[[#This Row],[level]])+COUNTIFS(Scenario4[loser2],"avenger",Scenario4[loser2-pw],AvengerEquipScenario4[[#This Row],[level]])+COUNTIFS(Scenario4[loser3],"avenger",Scenario4[loser3-pw],AvengerEquipScenario4[[#This Row],[level]])</f>
        <v>36</v>
      </c>
      <c r="T89">
        <f>COUNTIFS(Scenario4[winner1],"avenger",Scenario4[winner1-sw],AvengerEquipScenario4[[#This Row],[level]])+COUNTIFS(Scenario4[loser1],"avenger",Scenario4[loser1-sw],AvengerEquipScenario4[[#This Row],[level]])+COUNTIFS(Scenario4[loser2],"avenger",Scenario4[loser2-sw],AvengerEquipScenario4[[#This Row],[level]])+COUNTIFS(Scenario4[loser3],"avenger",Scenario4[loser3-sw],AvengerEquipScenario4[[#This Row],[level]])</f>
        <v>40</v>
      </c>
      <c r="U89" s="18">
        <f>COUNTIFS(Scenario4[winner1],"avenger",Scenario4[winner1-cp],AvengerEquipScenario4[[#This Row],[level]])+COUNTIFS(Scenario4[loser1],"avenger",Scenario4[loser1-cp],AvengerEquipScenario4[[#This Row],[level]])+COUNTIFS(Scenario4[loser2],"avenger",Scenario4[loser2-cp],AvengerEquipScenario4[[#This Row],[level]])+COUNTIFS(Scenario4[loser3],"avenger",Scenario4[loser3-cp],AvengerEquipScenario4[[#This Row],[level]])</f>
        <v>46</v>
      </c>
    </row>
    <row r="90" spans="12:21" x14ac:dyDescent="0.25">
      <c r="L90" s="17"/>
      <c r="O90" s="3"/>
      <c r="P90" s="3"/>
      <c r="U90" s="18"/>
    </row>
    <row r="91" spans="12:21" x14ac:dyDescent="0.25">
      <c r="L91" s="19" t="s">
        <v>109</v>
      </c>
      <c r="M91" s="8" t="s">
        <v>110</v>
      </c>
      <c r="N91" s="8" t="s">
        <v>79</v>
      </c>
      <c r="O91" s="9" t="s">
        <v>117</v>
      </c>
      <c r="P91" s="9" t="s">
        <v>118</v>
      </c>
      <c r="U91" s="18"/>
    </row>
    <row r="92" spans="12:21" x14ac:dyDescent="0.25">
      <c r="L92" s="2" t="s">
        <v>40</v>
      </c>
      <c r="M92" s="2">
        <f>COUNTIF(Scenario4[winner1-ability2],AvengerAbilities2Scenario4[[#This Row],[ability]])+COUNTIF(Scenario4[loser1-ability2],AvengerAbilities2Scenario4[[#This Row],[ability]])+COUNTIF(Scenario4[loser2-ability2],AvengerAbilities2Scenario4[[#This Row],[ability]])+COUNTIF(Scenario4[loser3-ability2],AvengerAbilities2Scenario4[[#This Row],[ability]])</f>
        <v>34</v>
      </c>
      <c r="N92" s="2">
        <f>COUNTIF(Scenario4[winner1-ability2],AvengerAbilities2Scenario4[[#This Row],[ability]])</f>
        <v>6</v>
      </c>
      <c r="O92" s="12">
        <f>IF(SUM(AvengerAbilities2Scenario4[[#This Row],[takes]]) &gt; 0,AvengerAbilities2Scenario4[[#This Row],[takes]]/SUM(AvengerAbilities2Scenario4[takes]),0)</f>
        <v>0.62962962962962965</v>
      </c>
      <c r="P92" s="12">
        <f>IF(AvengerAbilities2Scenario4[[#This Row],[takes]]&gt;0,AvengerAbilities2Scenario4[[#This Row],[wins]]/AvengerAbilities2Scenario4[[#This Row],[takes]],0)</f>
        <v>0.17647058823529413</v>
      </c>
      <c r="U92" s="18"/>
    </row>
    <row r="93" spans="12:21" x14ac:dyDescent="0.25">
      <c r="L93" t="s">
        <v>70</v>
      </c>
      <c r="M93" s="2">
        <f>COUNTIF(Scenario4[winner1-ability2],AvengerAbilities2Scenario4[[#This Row],[ability]])+COUNTIF(Scenario4[loser1-ability2],AvengerAbilities2Scenario4[[#This Row],[ability]])+COUNTIF(Scenario4[loser2-ability2],AvengerAbilities2Scenario4[[#This Row],[ability]])+COUNTIF(Scenario4[loser3-ability2],AvengerAbilities2Scenario4[[#This Row],[ability]])</f>
        <v>3</v>
      </c>
      <c r="N93" s="2">
        <f>COUNTIF(Scenario4[winner1-ability2],AvengerAbilities2Scenario4[[#This Row],[ability]])</f>
        <v>1</v>
      </c>
      <c r="O93" s="3">
        <f>IF(SUM(AvengerAbilities2Scenario4[[#This Row],[takes]]) &gt; 0,AvengerAbilities2Scenario4[[#This Row],[takes]]/SUM(AvengerAbilities2Scenario4[takes]),0)</f>
        <v>5.5555555555555552E-2</v>
      </c>
      <c r="P93" s="3">
        <f>IF(AvengerAbilities2Scenario4[[#This Row],[takes]]&gt;0,AvengerAbilities2Scenario4[[#This Row],[wins]]/AvengerAbilities2Scenario4[[#This Row],[takes]],0)</f>
        <v>0.33333333333333331</v>
      </c>
      <c r="U93" s="18"/>
    </row>
    <row r="94" spans="12:21" x14ac:dyDescent="0.25">
      <c r="L94" s="10" t="s">
        <v>96</v>
      </c>
      <c r="M94" s="2">
        <f>COUNTIF(Scenario4[winner1-ability2],AvengerAbilities2Scenario4[[#This Row],[ability]])+COUNTIF(Scenario4[loser1-ability2],AvengerAbilities2Scenario4[[#This Row],[ability]])+COUNTIF(Scenario4[loser2-ability2],AvengerAbilities2Scenario4[[#This Row],[ability]])+COUNTIF(Scenario4[loser3-ability2],AvengerAbilities2Scenario4[[#This Row],[ability]])</f>
        <v>17</v>
      </c>
      <c r="N94" s="2">
        <f>COUNTIF(Scenario4[winner1-ability2],AvengerAbilities2Scenario4[[#This Row],[ability]])</f>
        <v>1</v>
      </c>
      <c r="O94" s="13">
        <f>IF(SUM(AvengerAbilities2Scenario4[[#This Row],[takes]]) &gt; 0,AvengerAbilities2Scenario4[[#This Row],[takes]]/SUM(AvengerAbilities2Scenario4[takes]),0)</f>
        <v>0.31481481481481483</v>
      </c>
      <c r="P94" s="13">
        <f>IF(AvengerAbilities2Scenario4[[#This Row],[takes]]&gt;0,AvengerAbilities2Scenario4[[#This Row],[wins]]/AvengerAbilities2Scenario4[[#This Row],[takes]],0)</f>
        <v>5.8823529411764705E-2</v>
      </c>
      <c r="U94" s="18"/>
    </row>
    <row r="95" spans="12:21" x14ac:dyDescent="0.25">
      <c r="L95" s="17"/>
      <c r="O95" s="3"/>
      <c r="P95" s="3"/>
      <c r="U95" s="18"/>
    </row>
    <row r="96" spans="12:21" x14ac:dyDescent="0.25">
      <c r="L96" s="19" t="s">
        <v>109</v>
      </c>
      <c r="M96" s="8" t="s">
        <v>110</v>
      </c>
      <c r="N96" s="8" t="s">
        <v>79</v>
      </c>
      <c r="O96" s="9" t="s">
        <v>117</v>
      </c>
      <c r="P96" s="9" t="s">
        <v>118</v>
      </c>
      <c r="U96" s="18"/>
    </row>
    <row r="97" spans="12:21" x14ac:dyDescent="0.25">
      <c r="L97" s="1" t="s">
        <v>41</v>
      </c>
      <c r="M97" s="1">
        <f>COUNTIF(Scenario4[winner1-ability3],AvengerAbilities3Scenario4[[#This Row],[ability]])+COUNTIF(Scenario4[loser1-ability3],AvengerAbilities3Scenario4[[#This Row],[ability]])+COUNTIF(Scenario4[loser2-ability3],AvengerAbilities3Scenario4[[#This Row],[ability]])+COUNTIF(Scenario4[loser3-ability3],AvengerAbilities3Scenario4[[#This Row],[ability]])</f>
        <v>14</v>
      </c>
      <c r="N97" s="1">
        <f>COUNTIF(Scenario4[winner1-ability3],AvengerAbilities3Scenario4[[#This Row],[ability]])</f>
        <v>3</v>
      </c>
      <c r="O97" s="14">
        <f>IF(SUM(AvengerAbilities3Scenario4[[#This Row],[takes]]) &gt; 0,AvengerAbilities3Scenario4[[#This Row],[takes]]/SUM(AvengerAbilities3Scenario4[takes]),0)</f>
        <v>0.28000000000000003</v>
      </c>
      <c r="P97" s="14">
        <f>IF(AvengerAbilities3Scenario4[[#This Row],[takes]]&gt;0,AvengerAbilities3Scenario4[[#This Row],[wins]]/AvengerAbilities3Scenario4[[#This Row],[takes]],0)</f>
        <v>0.21428571428571427</v>
      </c>
      <c r="U97" s="18"/>
    </row>
    <row r="98" spans="12:21" x14ac:dyDescent="0.25">
      <c r="L98" s="2" t="s">
        <v>153</v>
      </c>
      <c r="M98" s="2">
        <f>COUNTIF(Scenario4[winner1-ability3],AvengerAbilities3Scenario4[[#This Row],[ability]])+COUNTIF(Scenario4[loser1-ability3],AvengerAbilities3Scenario4[[#This Row],[ability]])+COUNTIF(Scenario4[loser2-ability3],AvengerAbilities3Scenario4[[#This Row],[ability]])+COUNTIF(Scenario4[loser3-ability3],AvengerAbilities3Scenario4[[#This Row],[ability]])</f>
        <v>32</v>
      </c>
      <c r="N98" s="2">
        <f>COUNTIF(Scenario4[winner1-ability3],AvengerAbilities3Scenario4[[#This Row],[ability]])</f>
        <v>4</v>
      </c>
      <c r="O98" s="12">
        <f>IF(SUM(AvengerAbilities3Scenario4[[#This Row],[takes]]) &gt; 0,AvengerAbilities3Scenario4[[#This Row],[takes]]/SUM(AvengerAbilities3Scenario4[takes]),0)</f>
        <v>0.64</v>
      </c>
      <c r="P98" s="12">
        <f>IF(AvengerAbilities3Scenario4[[#This Row],[takes]]&gt;0,AvengerAbilities3Scenario4[[#This Row],[wins]]/AvengerAbilities3Scenario4[[#This Row],[takes]],0)</f>
        <v>0.125</v>
      </c>
      <c r="U98" s="18"/>
    </row>
    <row r="99" spans="12:21" x14ac:dyDescent="0.25">
      <c r="L99" s="11" t="s">
        <v>154</v>
      </c>
      <c r="M99" s="1">
        <f>COUNTIF(Scenario4[winner1-ability3],AvengerAbilities3Scenario4[[#This Row],[ability]])+COUNTIF(Scenario4[loser1-ability3],AvengerAbilities3Scenario4[[#This Row],[ability]])+COUNTIF(Scenario4[loser2-ability3],AvengerAbilities3Scenario4[[#This Row],[ability]])+COUNTIF(Scenario4[loser3-ability3],AvengerAbilities3Scenario4[[#This Row],[ability]])</f>
        <v>4</v>
      </c>
      <c r="N99" s="1">
        <f>COUNTIF(Scenario4[winner1-ability3],AvengerAbilities3Scenario4[[#This Row],[ability]])</f>
        <v>1</v>
      </c>
      <c r="O99" s="15">
        <f>IF(SUM(AvengerAbilities3Scenario4[[#This Row],[takes]]) &gt; 0,AvengerAbilities3Scenario4[[#This Row],[takes]]/SUM(AvengerAbilities3Scenario4[takes]),0)</f>
        <v>0.08</v>
      </c>
      <c r="P99" s="15">
        <f>IF(AvengerAbilities3Scenario4[[#This Row],[takes]]&gt;0,AvengerAbilities3Scenario4[[#This Row],[wins]]/AvengerAbilities3Scenario4[[#This Row],[takes]],0)</f>
        <v>0.25</v>
      </c>
      <c r="U99" s="18"/>
    </row>
    <row r="100" spans="12:21" x14ac:dyDescent="0.25">
      <c r="L100" s="17"/>
      <c r="O100" s="3"/>
      <c r="P100" s="3"/>
      <c r="U100" s="18"/>
    </row>
    <row r="101" spans="12:21" x14ac:dyDescent="0.25">
      <c r="L101" s="19" t="s">
        <v>109</v>
      </c>
      <c r="M101" s="8" t="s">
        <v>110</v>
      </c>
      <c r="N101" s="8" t="s">
        <v>79</v>
      </c>
      <c r="O101" s="9" t="s">
        <v>117</v>
      </c>
      <c r="P101" s="9" t="s">
        <v>118</v>
      </c>
      <c r="U101" s="18"/>
    </row>
    <row r="102" spans="12:21" x14ac:dyDescent="0.25">
      <c r="L102" s="2" t="s">
        <v>155</v>
      </c>
      <c r="M102" s="2">
        <f>COUNTIF(Scenario4[winner1-ability4],AvengerAbilities4Scenario4[[#This Row],[ability]])+COUNTIF(Scenario4[loser1-ability4],AvengerAbilities4Scenario4[[#This Row],[ability]])+COUNTIF(Scenario4[loser2-ability4],AvengerAbilities4Scenario4[[#This Row],[ability]])+COUNTIF(Scenario4[loser3-ability4],AvengerAbilities4Scenario4[[#This Row],[ability]])</f>
        <v>2</v>
      </c>
      <c r="N102" s="2">
        <f>COUNTIF(Scenario4[winner1-ability4],AvengerAbilities4Scenario4[[#This Row],[ability]])</f>
        <v>0</v>
      </c>
      <c r="O102" s="12">
        <f>IF(SUM(AvengerAbilities4Scenario4[[#This Row],[takes]]) &gt; 0,AvengerAbilities4Scenario4[[#This Row],[takes]]/SUM(AvengerAbilities4Scenario4[takes]),0)</f>
        <v>4.4444444444444446E-2</v>
      </c>
      <c r="P102" s="12">
        <f>IF(AvengerAbilities4Scenario4[[#This Row],[takes]]&gt;0,AvengerAbilities4Scenario4[[#This Row],[wins]]/AvengerAbilities4Scenario4[[#This Row],[takes]],0)</f>
        <v>0</v>
      </c>
      <c r="U102" s="18"/>
    </row>
    <row r="103" spans="12:21" x14ac:dyDescent="0.25">
      <c r="L103" s="2" t="s">
        <v>156</v>
      </c>
      <c r="M103" s="2">
        <f>COUNTIF(Scenario4[winner1-ability4],AvengerAbilities4Scenario4[[#This Row],[ability]])+COUNTIF(Scenario4[loser1-ability4],AvengerAbilities4Scenario4[[#This Row],[ability]])+COUNTIF(Scenario4[loser2-ability4],AvengerAbilities4Scenario4[[#This Row],[ability]])+COUNTIF(Scenario4[loser3-ability4],AvengerAbilities4Scenario4[[#This Row],[ability]])</f>
        <v>37</v>
      </c>
      <c r="N103" s="2">
        <f>COUNTIF(Scenario4[winner1-ability4],AvengerAbilities4Scenario4[[#This Row],[ability]])</f>
        <v>7</v>
      </c>
      <c r="O103" s="12">
        <f>IF(SUM(AvengerAbilities4Scenario4[[#This Row],[takes]]) &gt; 0,AvengerAbilities4Scenario4[[#This Row],[takes]]/SUM(AvengerAbilities4Scenario4[takes]),0)</f>
        <v>0.82222222222222219</v>
      </c>
      <c r="P103" s="12">
        <f>IF(AvengerAbilities4Scenario4[[#This Row],[takes]]&gt;0,AvengerAbilities4Scenario4[[#This Row],[wins]]/AvengerAbilities4Scenario4[[#This Row],[takes]],0)</f>
        <v>0.1891891891891892</v>
      </c>
      <c r="U103" s="18"/>
    </row>
    <row r="104" spans="12:21" ht="15.75" thickBot="1" x14ac:dyDescent="0.3">
      <c r="L104" s="10" t="s">
        <v>42</v>
      </c>
      <c r="M104" s="2">
        <f>COUNTIF(Scenario4[winner1-ability4],AvengerAbilities4Scenario4[[#This Row],[ability]])+COUNTIF(Scenario4[loser1-ability4],AvengerAbilities4Scenario4[[#This Row],[ability]])+COUNTIF(Scenario4[loser2-ability4],AvengerAbilities4Scenario4[[#This Row],[ability]])+COUNTIF(Scenario4[loser3-ability4],AvengerAbilities4Scenario4[[#This Row],[ability]])</f>
        <v>6</v>
      </c>
      <c r="N104" s="2">
        <f>COUNTIF(Scenario4[winner1-ability4],AvengerAbilities4Scenario4[[#This Row],[ability]])</f>
        <v>1</v>
      </c>
      <c r="O104" s="26">
        <f>IF(SUM(AvengerAbilities4Scenario4[[#This Row],[takes]]) &gt; 0,AvengerAbilities4Scenario4[[#This Row],[takes]]/SUM(AvengerAbilities4Scenario4[takes]),0)</f>
        <v>0.13333333333333333</v>
      </c>
      <c r="P104" s="26">
        <f>IF(AvengerAbilities4Scenario4[[#This Row],[takes]]&gt;0,AvengerAbilities4Scenario4[[#This Row],[wins]]/AvengerAbilities4Scenario4[[#This Row],[takes]],0)</f>
        <v>0.16666666666666666</v>
      </c>
      <c r="Q104" s="27"/>
      <c r="R104" s="27"/>
      <c r="S104" s="27"/>
      <c r="T104" s="27"/>
      <c r="U104" s="28"/>
    </row>
    <row r="105" spans="12:21" ht="15.75" thickBot="1" x14ac:dyDescent="0.3"/>
    <row r="106" spans="12:21" ht="15.75" thickBot="1" x14ac:dyDescent="0.3">
      <c r="L106" s="36" t="s">
        <v>220</v>
      </c>
      <c r="M106" s="37"/>
      <c r="N106" s="37"/>
      <c r="O106" s="37"/>
      <c r="P106" s="37"/>
      <c r="Q106" s="37"/>
      <c r="R106" s="37"/>
      <c r="S106" s="37"/>
      <c r="T106" s="37"/>
      <c r="U106" s="38"/>
    </row>
    <row r="107" spans="12:21" x14ac:dyDescent="0.25">
      <c r="L107" s="17" t="s">
        <v>109</v>
      </c>
      <c r="M107" t="s">
        <v>110</v>
      </c>
      <c r="N107" t="s">
        <v>79</v>
      </c>
      <c r="O107" s="3" t="s">
        <v>117</v>
      </c>
      <c r="P107" s="3" t="s">
        <v>118</v>
      </c>
      <c r="R107" t="s">
        <v>161</v>
      </c>
      <c r="S107" t="s">
        <v>171</v>
      </c>
      <c r="T107" t="s">
        <v>172</v>
      </c>
      <c r="U107" s="18" t="s">
        <v>164</v>
      </c>
    </row>
    <row r="108" spans="12:21" x14ac:dyDescent="0.25">
      <c r="L108" t="s">
        <v>67</v>
      </c>
      <c r="M108">
        <f>COUNTIF(Scenario5[winner1-ability1],AvengerAbilities1Scenario5[[#This Row],[ability]])+COUNTIF(Scenario5[winner2-ability1],AvengerAbilities1Scenario5[[#This Row],[ability]])+COUNTIF(Scenario5[loser1-ability1],AvengerAbilities1Scenario5[[#This Row],[ability]])+COUNTIF(Scenario5[loser2-ability1],AvengerAbilities1Scenario5[[#This Row],[ability]])</f>
        <v>37</v>
      </c>
      <c r="N108">
        <f>COUNTIF(Scenario5[winner1-ability1],AvengerAbilities1Scenario5[[#This Row],[ability]])+COUNTIF(Scenario5[winner2-ability1],AvengerAbilities1Scenario5[[#This Row],[ability]])</f>
        <v>28</v>
      </c>
      <c r="O108" s="3">
        <f>IF(SUM(AvengerAbilities1Scenario5[[#This Row],[takes]]) &gt; 0,AvengerAbilities1Scenario5[[#This Row],[takes]]/SUM(AvengerAbilities1Scenario5[takes]),0)</f>
        <v>0.22023809523809523</v>
      </c>
      <c r="P108" s="3">
        <f>IF(AvengerAbilities1Scenario5[[#This Row],[takes]]&gt;0,AvengerAbilities1Scenario5[[#This Row],[wins]]/AvengerAbilities1Scenario5[[#This Row],[takes]],0)</f>
        <v>0.7567567567567568</v>
      </c>
      <c r="R108">
        <v>1</v>
      </c>
      <c r="S108">
        <f>COUNTIFS(Scenario5[winner1],"avenger",Scenario5[winner1-pw],AvengerEquipScenario5[[#This Row],[level]])+COUNTIFS(Scenario5[winner2],"avenger",Scenario5[winner2-pw],AvengerEquipScenario5[[#This Row],[level]])+COUNTIFS(Scenario5[loser1],"avenger",Scenario5[loser1-pw],AvengerEquipScenario5[[#This Row],[level]])+COUNTIFS(Scenario5[loser2],"avenger",Scenario5[loser2-pw],AvengerEquipScenario5[[#This Row],[level]])</f>
        <v>66</v>
      </c>
      <c r="T108">
        <f>COUNTIFS(Scenario5[winner1],"avenger",Scenario5[winner1-sw],AvengerEquipScenario5[[#This Row],[level]])+COUNTIFS(Scenario5[winner2],"avenger",Scenario5[winner2-sw],AvengerEquipScenario5[[#This Row],[level]])+COUNTIFS(Scenario5[loser1],"avenger",Scenario5[loser1-sw],AvengerEquipScenario5[[#This Row],[level]])+COUNTIFS(Scenario5[loser2],"avenger",Scenario5[loser2-sw],AvengerEquipScenario5[[#This Row],[level]])</f>
        <v>86</v>
      </c>
      <c r="U108" s="18">
        <f>COUNTIFS(Scenario5[winner1],"avenger",Scenario5[winner1-cp],AvengerEquipScenario5[[#This Row],[level]])+COUNTIFS(Scenario5[winner2],"avenger",Scenario5[winner2-cp],AvengerEquipScenario5[[#This Row],[level]])+COUNTIFS(Scenario5[loser1],"avenger",Scenario5[loser1-cp],AvengerEquipScenario5[[#This Row],[level]])+COUNTIFS(Scenario5[loser2],"avenger",Scenario5[loser2-cp],AvengerEquipScenario5[[#This Row],[level]])</f>
        <v>21</v>
      </c>
    </row>
    <row r="109" spans="12:21" x14ac:dyDescent="0.25">
      <c r="L109" t="s">
        <v>152</v>
      </c>
      <c r="M109">
        <f>COUNTIF(Scenario5[winner1-ability1],AvengerAbilities1Scenario5[[#This Row],[ability]])+COUNTIF(Scenario5[winner2-ability1],AvengerAbilities1Scenario5[[#This Row],[ability]])+COUNTIF(Scenario5[loser1-ability1],AvengerAbilities1Scenario5[[#This Row],[ability]])+COUNTIF(Scenario5[loser2-ability1],AvengerAbilities1Scenario5[[#This Row],[ability]])</f>
        <v>10</v>
      </c>
      <c r="N109">
        <f>COUNTIF(Scenario5[winner1-ability1],AvengerAbilities1Scenario5[[#This Row],[ability]])+COUNTIF(Scenario5[winner2-ability1],AvengerAbilities1Scenario5[[#This Row],[ability]])</f>
        <v>1</v>
      </c>
      <c r="O109" s="3">
        <f>IF(SUM(AvengerAbilities1Scenario5[[#This Row],[takes]]) &gt; 0,AvengerAbilities1Scenario5[[#This Row],[takes]]/SUM(AvengerAbilities1Scenario5[takes]),0)</f>
        <v>5.9523809523809521E-2</v>
      </c>
      <c r="P109" s="3">
        <f>IF(AvengerAbilities1Scenario5[[#This Row],[takes]]&gt;0,AvengerAbilities1Scenario5[[#This Row],[wins]]/AvengerAbilities1Scenario5[[#This Row],[takes]],0)</f>
        <v>0.1</v>
      </c>
      <c r="R109">
        <v>2</v>
      </c>
      <c r="S109">
        <f>COUNTIFS(Scenario5[winner1],"avenger",Scenario5[winner1-pw],AvengerEquipScenario5[[#This Row],[level]])+COUNTIFS(Scenario5[winner2],"avenger",Scenario5[winner2-pw],AvengerEquipScenario5[[#This Row],[level]])+COUNTIFS(Scenario5[loser1],"avenger",Scenario5[loser1-pw],AvengerEquipScenario5[[#This Row],[level]])+COUNTIFS(Scenario5[loser2],"avenger",Scenario5[loser2-pw],AvengerEquipScenario5[[#This Row],[level]])</f>
        <v>32</v>
      </c>
      <c r="T109">
        <f>COUNTIFS(Scenario5[winner1],"avenger",Scenario5[winner1-sw],AvengerEquipScenario5[[#This Row],[level]])+COUNTIFS(Scenario5[winner2],"avenger",Scenario5[winner2-sw],AvengerEquipScenario5[[#This Row],[level]])+COUNTIFS(Scenario5[loser1],"avenger",Scenario5[loser1-sw],AvengerEquipScenario5[[#This Row],[level]])+COUNTIFS(Scenario5[loser2],"avenger",Scenario5[loser2-sw],AvengerEquipScenario5[[#This Row],[level]])</f>
        <v>34</v>
      </c>
      <c r="U109" s="18">
        <f>COUNTIFS(Scenario5[winner1],"avenger",Scenario5[winner1-cp],AvengerEquipScenario5[[#This Row],[level]])+COUNTIFS(Scenario5[winner2],"avenger",Scenario5[winner2-cp],AvengerEquipScenario5[[#This Row],[level]])+COUNTIFS(Scenario5[loser1],"avenger",Scenario5[loser1-cp],AvengerEquipScenario5[[#This Row],[level]])+COUNTIFS(Scenario5[loser2],"avenger",Scenario5[loser2-cp],AvengerEquipScenario5[[#This Row],[level]])</f>
        <v>78</v>
      </c>
    </row>
    <row r="110" spans="12:21" x14ac:dyDescent="0.25">
      <c r="L110" t="s">
        <v>39</v>
      </c>
      <c r="M110">
        <f>COUNTIF(Scenario5[winner1-ability1],AvengerAbilities1Scenario5[[#This Row],[ability]])+COUNTIF(Scenario5[winner2-ability1],AvengerAbilities1Scenario5[[#This Row],[ability]])+COUNTIF(Scenario5[loser1-ability1],AvengerAbilities1Scenario5[[#This Row],[ability]])+COUNTIF(Scenario5[loser2-ability1],AvengerAbilities1Scenario5[[#This Row],[ability]])</f>
        <v>121</v>
      </c>
      <c r="N110">
        <f>COUNTIF(Scenario5[winner1-ability1],AvengerAbilities1Scenario5[[#This Row],[ability]])+COUNTIF(Scenario5[winner2-ability1],AvengerAbilities1Scenario5[[#This Row],[ability]])</f>
        <v>41</v>
      </c>
      <c r="O110" s="3">
        <f>IF(SUM(AvengerAbilities1Scenario5[[#This Row],[takes]]) &gt; 0,AvengerAbilities1Scenario5[[#This Row],[takes]]/SUM(AvengerAbilities1Scenario5[takes]),0)</f>
        <v>0.72023809523809523</v>
      </c>
      <c r="P110" s="3">
        <f>IF(AvengerAbilities1Scenario5[[#This Row],[takes]]&gt;0,AvengerAbilities1Scenario5[[#This Row],[wins]]/AvengerAbilities1Scenario5[[#This Row],[takes]],0)</f>
        <v>0.33884297520661155</v>
      </c>
      <c r="R110">
        <v>3</v>
      </c>
      <c r="S110">
        <f>COUNTIFS(Scenario5[winner1],"avenger",Scenario5[winner1-pw],AvengerEquipScenario5[[#This Row],[level]])+COUNTIFS(Scenario5[winner2],"avenger",Scenario5[winner2-pw],AvengerEquipScenario5[[#This Row],[level]])+COUNTIFS(Scenario5[loser1],"avenger",Scenario5[loser1-pw],AvengerEquipScenario5[[#This Row],[level]])+COUNTIFS(Scenario5[loser2],"avenger",Scenario5[loser2-pw],AvengerEquipScenario5[[#This Row],[level]])</f>
        <v>70</v>
      </c>
      <c r="T110">
        <f>COUNTIFS(Scenario5[winner1],"avenger",Scenario5[winner1-sw],AvengerEquipScenario5[[#This Row],[level]])+COUNTIFS(Scenario5[winner2],"avenger",Scenario5[winner2-sw],AvengerEquipScenario5[[#This Row],[level]])+COUNTIFS(Scenario5[loser1],"avenger",Scenario5[loser1-sw],AvengerEquipScenario5[[#This Row],[level]])+COUNTIFS(Scenario5[loser2],"avenger",Scenario5[loser2-sw],AvengerEquipScenario5[[#This Row],[level]])</f>
        <v>48</v>
      </c>
      <c r="U110" s="18">
        <f>COUNTIFS(Scenario5[winner1],"avenger",Scenario5[winner1-cp],AvengerEquipScenario5[[#This Row],[level]])+COUNTIFS(Scenario5[winner2],"avenger",Scenario5[winner2-cp],AvengerEquipScenario5[[#This Row],[level]])+COUNTIFS(Scenario5[loser1],"avenger",Scenario5[loser1-cp],AvengerEquipScenario5[[#This Row],[level]])+COUNTIFS(Scenario5[loser2],"avenger",Scenario5[loser2-cp],AvengerEquipScenario5[[#This Row],[level]])</f>
        <v>69</v>
      </c>
    </row>
    <row r="111" spans="12:21" x14ac:dyDescent="0.25">
      <c r="L111" s="17"/>
      <c r="O111" s="3"/>
      <c r="P111" s="3"/>
      <c r="U111" s="18"/>
    </row>
    <row r="112" spans="12:21" x14ac:dyDescent="0.25">
      <c r="L112" s="19" t="s">
        <v>109</v>
      </c>
      <c r="M112" s="8" t="s">
        <v>110</v>
      </c>
      <c r="N112" s="8" t="s">
        <v>79</v>
      </c>
      <c r="O112" s="9" t="s">
        <v>117</v>
      </c>
      <c r="P112" s="9" t="s">
        <v>118</v>
      </c>
      <c r="U112" s="18"/>
    </row>
    <row r="113" spans="12:21" x14ac:dyDescent="0.25">
      <c r="L113" s="2" t="s">
        <v>40</v>
      </c>
      <c r="M113" s="2">
        <f>COUNTIF(Scenario5[winner1-ability2],AvengerAbilities2Scenario5[[#This Row],[ability]])+COUNTIF(Scenario5[winner2-ability2],AvengerAbilities2Scenario5[[#This Row],[ability]])+COUNTIF(Scenario5[loser1-ability2],AvengerAbilities2Scenario5[[#This Row],[ability]])+COUNTIF(Scenario5[loser2-ability2],AvengerAbilities2Scenario5[[#This Row],[ability]])</f>
        <v>46</v>
      </c>
      <c r="N113" s="2">
        <f>COUNTIF(Scenario5[winner1-ability2],AvengerAbilities2Scenario5[[#This Row],[ability]])+COUNTIF(Scenario5[winner2-ability2],AvengerAbilities2Scenario5[[#This Row],[ability]])</f>
        <v>10</v>
      </c>
      <c r="O113" s="12">
        <f>IF(SUM(AvengerAbilities2Scenario5[[#This Row],[takes]]) &gt; 0,AvengerAbilities2Scenario5[[#This Row],[takes]]/SUM(AvengerAbilities2Scenario5[takes]),0)</f>
        <v>0.2822085889570552</v>
      </c>
      <c r="P113" s="12">
        <f>IF(AvengerAbilities2Scenario5[[#This Row],[takes]]&gt;0,AvengerAbilities2Scenario5[[#This Row],[wins]]/AvengerAbilities2Scenario5[[#This Row],[takes]],0)</f>
        <v>0.21739130434782608</v>
      </c>
      <c r="U113" s="18"/>
    </row>
    <row r="114" spans="12:21" x14ac:dyDescent="0.25">
      <c r="L114" t="s">
        <v>70</v>
      </c>
      <c r="M114" s="2">
        <f>COUNTIF(Scenario5[winner1-ability2],AvengerAbilities2Scenario5[[#This Row],[ability]])+COUNTIF(Scenario5[winner2-ability2],AvengerAbilities2Scenario5[[#This Row],[ability]])+COUNTIF(Scenario5[loser1-ability2],AvengerAbilities2Scenario5[[#This Row],[ability]])+COUNTIF(Scenario5[loser2-ability2],AvengerAbilities2Scenario5[[#This Row],[ability]])</f>
        <v>32</v>
      </c>
      <c r="N114" s="2">
        <f>COUNTIF(Scenario5[winner1-ability2],AvengerAbilities2Scenario5[[#This Row],[ability]])+COUNTIF(Scenario5[winner2-ability2],AvengerAbilities2Scenario5[[#This Row],[ability]])</f>
        <v>23</v>
      </c>
      <c r="O114" s="3">
        <f>IF(SUM(AvengerAbilities2Scenario5[[#This Row],[takes]]) &gt; 0,AvengerAbilities2Scenario5[[#This Row],[takes]]/SUM(AvengerAbilities2Scenario5[takes]),0)</f>
        <v>0.19631901840490798</v>
      </c>
      <c r="P114" s="3">
        <f>IF(AvengerAbilities2Scenario5[[#This Row],[takes]]&gt;0,AvengerAbilities2Scenario5[[#This Row],[wins]]/AvengerAbilities2Scenario5[[#This Row],[takes]],0)</f>
        <v>0.71875</v>
      </c>
      <c r="U114" s="18"/>
    </row>
    <row r="115" spans="12:21" x14ac:dyDescent="0.25">
      <c r="L115" s="10" t="s">
        <v>96</v>
      </c>
      <c r="M115" s="2">
        <f>COUNTIF(Scenario5[winner1-ability2],AvengerAbilities2Scenario5[[#This Row],[ability]])+COUNTIF(Scenario5[winner2-ability2],AvengerAbilities2Scenario5[[#This Row],[ability]])+COUNTIF(Scenario5[loser1-ability2],AvengerAbilities2Scenario5[[#This Row],[ability]])+COUNTIF(Scenario5[loser2-ability2],AvengerAbilities2Scenario5[[#This Row],[ability]])</f>
        <v>85</v>
      </c>
      <c r="N115" s="2">
        <f>COUNTIF(Scenario5[winner1-ability2],AvengerAbilities2Scenario5[[#This Row],[ability]])+COUNTIF(Scenario5[winner2-ability2],AvengerAbilities2Scenario5[[#This Row],[ability]])</f>
        <v>37</v>
      </c>
      <c r="O115" s="13">
        <f>IF(SUM(AvengerAbilities2Scenario5[[#This Row],[takes]]) &gt; 0,AvengerAbilities2Scenario5[[#This Row],[takes]]/SUM(AvengerAbilities2Scenario5[takes]),0)</f>
        <v>0.5214723926380368</v>
      </c>
      <c r="P115" s="13">
        <f>IF(AvengerAbilities2Scenario5[[#This Row],[takes]]&gt;0,AvengerAbilities2Scenario5[[#This Row],[wins]]/AvengerAbilities2Scenario5[[#This Row],[takes]],0)</f>
        <v>0.43529411764705883</v>
      </c>
      <c r="U115" s="18"/>
    </row>
    <row r="116" spans="12:21" x14ac:dyDescent="0.25">
      <c r="L116" s="17"/>
      <c r="O116" s="3"/>
      <c r="P116" s="3"/>
      <c r="U116" s="18"/>
    </row>
    <row r="117" spans="12:21" x14ac:dyDescent="0.25">
      <c r="L117" s="19" t="s">
        <v>109</v>
      </c>
      <c r="M117" s="8" t="s">
        <v>110</v>
      </c>
      <c r="N117" s="8" t="s">
        <v>79</v>
      </c>
      <c r="O117" s="9" t="s">
        <v>117</v>
      </c>
      <c r="P117" s="9" t="s">
        <v>118</v>
      </c>
      <c r="U117" s="18"/>
    </row>
    <row r="118" spans="12:21" x14ac:dyDescent="0.25">
      <c r="L118" s="1" t="s">
        <v>41</v>
      </c>
      <c r="M118" s="1">
        <f>COUNTIF(Scenario5[winner1-ability3],AvengerAbilities3Scenario5[[#This Row],[ability]])+COUNTIF(Scenario5[winner2-ability3],AvengerAbilities3Scenario5[[#This Row],[ability]])+COUNTIF(Scenario5[loser1-ability3],AvengerAbilities3Scenario5[[#This Row],[ability]])+COUNTIF(Scenario5[loser2-ability3],AvengerAbilities3Scenario5[[#This Row],[ability]])</f>
        <v>25</v>
      </c>
      <c r="N118" s="1">
        <f>COUNTIF(Scenario5[winner1-ability3],AvengerAbilities3Scenario5[[#This Row],[ability]])+COUNTIF(Scenario5[winner2-ability3],AvengerAbilities3Scenario5[[#This Row],[ability]])</f>
        <v>16</v>
      </c>
      <c r="O118" s="14">
        <f>IF(SUM(AvengerAbilities3Scenario5[[#This Row],[takes]]) &gt; 0,AvengerAbilities3Scenario5[[#This Row],[takes]]/SUM(AvengerAbilities3Scenario5[takes]),0)</f>
        <v>0.18656716417910449</v>
      </c>
      <c r="P118" s="14">
        <f>IF(AvengerAbilities3Scenario5[[#This Row],[takes]]&gt;0,AvengerAbilities3Scenario5[[#This Row],[wins]]/AvengerAbilities3Scenario5[[#This Row],[takes]],0)</f>
        <v>0.64</v>
      </c>
      <c r="U118" s="18"/>
    </row>
    <row r="119" spans="12:21" x14ac:dyDescent="0.25">
      <c r="L119" s="2" t="s">
        <v>153</v>
      </c>
      <c r="M119" s="2">
        <f>COUNTIF(Scenario5[winner1-ability3],AvengerAbilities3Scenario5[[#This Row],[ability]])+COUNTIF(Scenario5[winner2-ability3],AvengerAbilities3Scenario5[[#This Row],[ability]])+COUNTIF(Scenario5[loser1-ability3],AvengerAbilities3Scenario5[[#This Row],[ability]])+COUNTIF(Scenario5[loser2-ability3],AvengerAbilities3Scenario5[[#This Row],[ability]])</f>
        <v>60</v>
      </c>
      <c r="N119" s="2">
        <f>COUNTIF(Scenario5[winner1-ability3],AvengerAbilities3Scenario5[[#This Row],[ability]])+COUNTIF(Scenario5[winner2-ability3],AvengerAbilities3Scenario5[[#This Row],[ability]])</f>
        <v>17</v>
      </c>
      <c r="O119" s="12">
        <f>IF(SUM(AvengerAbilities3Scenario5[[#This Row],[takes]]) &gt; 0,AvengerAbilities3Scenario5[[#This Row],[takes]]/SUM(AvengerAbilities3Scenario5[takes]),0)</f>
        <v>0.44776119402985076</v>
      </c>
      <c r="P119" s="12">
        <f>IF(AvengerAbilities3Scenario5[[#This Row],[takes]]&gt;0,AvengerAbilities3Scenario5[[#This Row],[wins]]/AvengerAbilities3Scenario5[[#This Row],[takes]],0)</f>
        <v>0.28333333333333333</v>
      </c>
      <c r="U119" s="18"/>
    </row>
    <row r="120" spans="12:21" x14ac:dyDescent="0.25">
      <c r="L120" s="11" t="s">
        <v>154</v>
      </c>
      <c r="M120" s="1">
        <f>COUNTIF(Scenario5[winner1-ability3],AvengerAbilities3Scenario5[[#This Row],[ability]])+COUNTIF(Scenario5[winner2-ability3],AvengerAbilities3Scenario5[[#This Row],[ability]])+COUNTIF(Scenario5[loser1-ability3],AvengerAbilities3Scenario5[[#This Row],[ability]])+COUNTIF(Scenario5[loser2-ability3],AvengerAbilities3Scenario5[[#This Row],[ability]])</f>
        <v>49</v>
      </c>
      <c r="N120" s="1">
        <f>COUNTIF(Scenario5[winner1-ability3],AvengerAbilities3Scenario5[[#This Row],[ability]])+COUNTIF(Scenario5[winner2-ability3],AvengerAbilities3Scenario5[[#This Row],[ability]])</f>
        <v>28</v>
      </c>
      <c r="O120" s="15">
        <f>IF(SUM(AvengerAbilities3Scenario5[[#This Row],[takes]]) &gt; 0,AvengerAbilities3Scenario5[[#This Row],[takes]]/SUM(AvengerAbilities3Scenario5[takes]),0)</f>
        <v>0.36567164179104478</v>
      </c>
      <c r="P120" s="15">
        <f>IF(AvengerAbilities3Scenario5[[#This Row],[takes]]&gt;0,AvengerAbilities3Scenario5[[#This Row],[wins]]/AvengerAbilities3Scenario5[[#This Row],[takes]],0)</f>
        <v>0.5714285714285714</v>
      </c>
      <c r="U120" s="18"/>
    </row>
    <row r="121" spans="12:21" x14ac:dyDescent="0.25">
      <c r="L121" s="17"/>
      <c r="O121" s="3"/>
      <c r="P121" s="3"/>
      <c r="U121" s="18"/>
    </row>
    <row r="122" spans="12:21" x14ac:dyDescent="0.25">
      <c r="L122" s="19" t="s">
        <v>109</v>
      </c>
      <c r="M122" s="8" t="s">
        <v>110</v>
      </c>
      <c r="N122" s="8" t="s">
        <v>79</v>
      </c>
      <c r="O122" s="9" t="s">
        <v>117</v>
      </c>
      <c r="P122" s="9" t="s">
        <v>118</v>
      </c>
      <c r="U122" s="18"/>
    </row>
    <row r="123" spans="12:21" x14ac:dyDescent="0.25">
      <c r="L123" s="2" t="s">
        <v>155</v>
      </c>
      <c r="M123" s="2">
        <f>COUNTIF(Scenario5[winner1-ability4],AvengerAbilities4Scenario5[[#This Row],[ability]])+COUNTIF(Scenario5[winner2-ability4],AvengerAbilities4Scenario5[[#This Row],[ability]])+COUNTIF(Scenario5[loser1-ability4],AvengerAbilities4Scenario5[[#This Row],[ability]])+COUNTIF(Scenario5[loser2-ability4],AvengerAbilities4Scenario5[[#This Row],[ability]])</f>
        <v>25</v>
      </c>
      <c r="N123" s="2">
        <f>COUNTIF(Scenario5[winner1-ability4],AvengerAbilities4Scenario5[[#This Row],[ability]])+COUNTIF(Scenario5[winner2-ability4],AvengerAbilities4Scenario5[[#This Row],[ability]])</f>
        <v>7</v>
      </c>
      <c r="O123" s="12">
        <f>IF(SUM(AvengerAbilities4Scenario5[[#This Row],[takes]]) &gt; 0,AvengerAbilities4Scenario5[[#This Row],[takes]]/SUM(AvengerAbilities4Scenario5[takes]),0)</f>
        <v>0.23364485981308411</v>
      </c>
      <c r="P123" s="12">
        <f>IF(AvengerAbilities4Scenario5[[#This Row],[takes]]&gt;0,AvengerAbilities4Scenario5[[#This Row],[wins]]/AvengerAbilities4Scenario5[[#This Row],[takes]],0)</f>
        <v>0.28000000000000003</v>
      </c>
      <c r="U123" s="18"/>
    </row>
    <row r="124" spans="12:21" x14ac:dyDescent="0.25">
      <c r="L124" s="2" t="s">
        <v>156</v>
      </c>
      <c r="M124" s="2">
        <f>COUNTIF(Scenario5[winner1-ability4],AvengerAbilities4Scenario5[[#This Row],[ability]])+COUNTIF(Scenario5[winner2-ability4],AvengerAbilities4Scenario5[[#This Row],[ability]])+COUNTIF(Scenario5[loser1-ability4],AvengerAbilities4Scenario5[[#This Row],[ability]])+COUNTIF(Scenario5[loser2-ability4],AvengerAbilities4Scenario5[[#This Row],[ability]])</f>
        <v>32</v>
      </c>
      <c r="N124" s="2">
        <f>COUNTIF(Scenario5[winner1-ability4],AvengerAbilities4Scenario5[[#This Row],[ability]])+COUNTIF(Scenario5[winner2-ability4],AvengerAbilities4Scenario5[[#This Row],[ability]])</f>
        <v>9</v>
      </c>
      <c r="O124" s="12">
        <f>IF(SUM(AvengerAbilities4Scenario5[[#This Row],[takes]]) &gt; 0,AvengerAbilities4Scenario5[[#This Row],[takes]]/SUM(AvengerAbilities4Scenario5[takes]),0)</f>
        <v>0.29906542056074764</v>
      </c>
      <c r="P124" s="12">
        <f>IF(AvengerAbilities4Scenario5[[#This Row],[takes]]&gt;0,AvengerAbilities4Scenario5[[#This Row],[wins]]/AvengerAbilities4Scenario5[[#This Row],[takes]],0)</f>
        <v>0.28125</v>
      </c>
      <c r="U124" s="18"/>
    </row>
    <row r="125" spans="12:21" ht="15.75" thickBot="1" x14ac:dyDescent="0.3">
      <c r="L125" s="10" t="s">
        <v>42</v>
      </c>
      <c r="M125" s="2">
        <f>COUNTIF(Scenario5[winner1-ability4],AvengerAbilities4Scenario5[[#This Row],[ability]])+COUNTIF(Scenario5[winner2-ability4],AvengerAbilities4Scenario5[[#This Row],[ability]])+COUNTIF(Scenario5[loser1-ability4],AvengerAbilities4Scenario5[[#This Row],[ability]])+COUNTIF(Scenario5[loser2-ability4],AvengerAbilities4Scenario5[[#This Row],[ability]])</f>
        <v>50</v>
      </c>
      <c r="N125" s="2">
        <f>COUNTIF(Scenario5[winner1-ability4],AvengerAbilities4Scenario5[[#This Row],[ability]])+COUNTIF(Scenario5[winner2-ability4],AvengerAbilities4Scenario5[[#This Row],[ability]])</f>
        <v>30</v>
      </c>
      <c r="O125" s="26">
        <f>IF(SUM(AvengerAbilities4Scenario5[[#This Row],[takes]]) &gt; 0,AvengerAbilities4Scenario5[[#This Row],[takes]]/SUM(AvengerAbilities4Scenario5[takes]),0)</f>
        <v>0.46728971962616822</v>
      </c>
      <c r="P125" s="26">
        <f>IF(AvengerAbilities4Scenario5[[#This Row],[takes]]&gt;0,AvengerAbilities4Scenario5[[#This Row],[wins]]/AvengerAbilities4Scenario5[[#This Row],[takes]],0)</f>
        <v>0.6</v>
      </c>
      <c r="Q125" s="27"/>
      <c r="R125" s="27"/>
      <c r="S125" s="27"/>
      <c r="T125" s="27"/>
      <c r="U125" s="28"/>
    </row>
  </sheetData>
  <mergeCells count="7">
    <mergeCell ref="L106:U106"/>
    <mergeCell ref="L85:U85"/>
    <mergeCell ref="A1:J1"/>
    <mergeCell ref="L1:U1"/>
    <mergeCell ref="L22:U22"/>
    <mergeCell ref="L43:U43"/>
    <mergeCell ref="L64:U64"/>
  </mergeCells>
  <pageMargins left="0.7" right="0.7" top="0.75" bottom="0.75" header="0.3" footer="0.3"/>
  <pageSetup paperSize="9" orientation="portrait" r:id="rId1"/>
  <tableParts count="3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A93D-29B9-4152-928C-0BE9A3B90599}">
  <dimension ref="A1:X125"/>
  <sheetViews>
    <sheetView workbookViewId="0">
      <selection activeCell="D31" sqref="D31"/>
    </sheetView>
  </sheetViews>
  <sheetFormatPr defaultRowHeight="15" x14ac:dyDescent="0.25"/>
  <cols>
    <col min="1" max="1" width="20.140625" bestFit="1" customWidth="1"/>
    <col min="2" max="2" width="8" bestFit="1" customWidth="1"/>
    <col min="3" max="3" width="7.42578125" bestFit="1" customWidth="1"/>
    <col min="4" max="4" width="18.42578125" style="3" bestFit="1" customWidth="1"/>
    <col min="5" max="5" width="15.5703125" style="3" bestFit="1" customWidth="1"/>
    <col min="6" max="6" width="3.5703125" customWidth="1"/>
    <col min="7" max="7" width="7.7109375" bestFit="1" customWidth="1"/>
    <col min="8" max="8" width="8" bestFit="1" customWidth="1"/>
    <col min="9" max="9" width="6.5703125" bestFit="1" customWidth="1"/>
    <col min="10" max="10" width="12.85546875" bestFit="1" customWidth="1"/>
    <col min="11" max="11" width="3.85546875" customWidth="1"/>
    <col min="12" max="12" width="20.140625" bestFit="1" customWidth="1"/>
    <col min="13" max="13" width="8" bestFit="1" customWidth="1"/>
    <col min="14" max="14" width="7.42578125" bestFit="1" customWidth="1"/>
    <col min="15" max="15" width="18.42578125" bestFit="1" customWidth="1"/>
    <col min="16" max="16" width="15.5703125" bestFit="1" customWidth="1"/>
    <col min="17" max="17" width="4" customWidth="1"/>
    <col min="18" max="18" width="7.7109375" bestFit="1" customWidth="1"/>
    <col min="19" max="19" width="8" bestFit="1" customWidth="1"/>
    <col min="20" max="20" width="6.5703125" bestFit="1" customWidth="1"/>
    <col min="21" max="21" width="12.85546875" bestFit="1" customWidth="1"/>
    <col min="23" max="23" width="16.85546875" bestFit="1" customWidth="1"/>
    <col min="24" max="24" width="7.85546875" customWidth="1"/>
  </cols>
  <sheetData>
    <row r="1" spans="1:24" ht="15.75" thickBot="1" x14ac:dyDescent="0.3">
      <c r="A1" s="36" t="s">
        <v>181</v>
      </c>
      <c r="B1" s="37"/>
      <c r="C1" s="37"/>
      <c r="D1" s="37"/>
      <c r="E1" s="37"/>
      <c r="F1" s="37"/>
      <c r="G1" s="37"/>
      <c r="H1" s="37"/>
      <c r="I1" s="37"/>
      <c r="J1" s="38"/>
      <c r="L1" s="36" t="s">
        <v>182</v>
      </c>
      <c r="M1" s="37"/>
      <c r="N1" s="37"/>
      <c r="O1" s="37"/>
      <c r="P1" s="37"/>
      <c r="Q1" s="37"/>
      <c r="R1" s="37"/>
      <c r="S1" s="37"/>
      <c r="T1" s="37"/>
      <c r="U1" s="38"/>
      <c r="W1" t="s">
        <v>174</v>
      </c>
      <c r="X1" s="3" t="s">
        <v>175</v>
      </c>
    </row>
    <row r="2" spans="1:24" x14ac:dyDescent="0.25">
      <c r="A2" s="17" t="s">
        <v>109</v>
      </c>
      <c r="B2" t="s">
        <v>110</v>
      </c>
      <c r="C2" t="s">
        <v>79</v>
      </c>
      <c r="D2" s="3" t="s">
        <v>117</v>
      </c>
      <c r="E2" s="3" t="s">
        <v>118</v>
      </c>
      <c r="G2" t="s">
        <v>161</v>
      </c>
      <c r="H2" t="s">
        <v>240</v>
      </c>
      <c r="I2" t="s">
        <v>241</v>
      </c>
      <c r="J2" s="18" t="s">
        <v>164</v>
      </c>
      <c r="L2" s="17" t="s">
        <v>109</v>
      </c>
      <c r="M2" t="s">
        <v>110</v>
      </c>
      <c r="N2" t="s">
        <v>79</v>
      </c>
      <c r="O2" s="3" t="s">
        <v>117</v>
      </c>
      <c r="P2" s="3" t="s">
        <v>118</v>
      </c>
      <c r="R2" t="s">
        <v>161</v>
      </c>
      <c r="S2" t="s">
        <v>240</v>
      </c>
      <c r="T2" t="s">
        <v>241</v>
      </c>
      <c r="U2" s="18" t="s">
        <v>164</v>
      </c>
      <c r="W2" t="s">
        <v>242</v>
      </c>
      <c r="X2" s="3">
        <f>H4/SUM(AvengerEquip313[kopis])</f>
        <v>0.33278145695364236</v>
      </c>
    </row>
    <row r="3" spans="1:24" x14ac:dyDescent="0.25">
      <c r="A3" t="s">
        <v>228</v>
      </c>
      <c r="B3">
        <f>M3+M24+M45+M66+M87+M108</f>
        <v>446</v>
      </c>
      <c r="C3">
        <f>N3+N24+N45+N66+N87+N108</f>
        <v>182</v>
      </c>
      <c r="D3" s="3">
        <f>IF(SUM(AvengerAbilities1309[[#This Row],[takes]]) &gt; 0,AvengerAbilities1309[[#This Row],[takes]]/SUM(AvengerAbilities1309[takes]),0)</f>
        <v>0.73841059602649006</v>
      </c>
      <c r="E3" s="3">
        <f>IF(AvengerAbilities1309[[#This Row],[takes]]&gt;0,AvengerAbilities1309[[#This Row],[wins]]/AvengerAbilities1309[[#This Row],[takes]],0)</f>
        <v>0.40807174887892378</v>
      </c>
      <c r="G3">
        <v>1</v>
      </c>
      <c r="H3">
        <f>S3+S24+S45+S66+S87+S108</f>
        <v>265</v>
      </c>
      <c r="I3">
        <f>T3+T24+T45+T66+T87+T108</f>
        <v>466</v>
      </c>
      <c r="J3" s="18">
        <f>U3+U24+U45+U66+U87+U108</f>
        <v>313</v>
      </c>
      <c r="L3" s="17" t="s">
        <v>228</v>
      </c>
      <c r="M3">
        <f>COUNTIF(Scenario0[winner1-ability1],AvengerAbilities1Scenario0314[[#This Row],[ability]])+COUNTIF(Scenario0[winner2-ability1],AvengerAbilities1Scenario0314[[#This Row],[ability]])+COUNTIF(Scenario0[loser1-ability1],AvengerAbilities1Scenario0314[[#This Row],[ability]])+COUNTIF(Scenario0[loser2-ability1],AvengerAbilities1Scenario0314[[#This Row],[ability]])</f>
        <v>168</v>
      </c>
      <c r="N3">
        <f>COUNTIF(Scenario0[winner1-ability1],AvengerAbilities1Scenario0314[[#This Row],[ability]])+COUNTIF(Scenario0[winner2-ability1],AvengerAbilities1Scenario0314[[#This Row],[ability]])</f>
        <v>66</v>
      </c>
      <c r="O3" s="3">
        <f>IF(SUM(AvengerAbilities1Scenario0314[[#This Row],[takes]]) &gt; 0,AvengerAbilities1Scenario0314[[#This Row],[takes]]/SUM(AvengerAbilities1Scenario0314[takes]),0)</f>
        <v>1</v>
      </c>
      <c r="P3" s="3">
        <f>IF(AvengerAbilities1Scenario0314[[#This Row],[takes]]&gt;0,AvengerAbilities1Scenario0314[[#This Row],[wins]]/AvengerAbilities1Scenario0314[[#This Row],[takes]],0)</f>
        <v>0.39285714285714285</v>
      </c>
      <c r="R3">
        <v>1</v>
      </c>
      <c r="S3">
        <f>COUNTIFS(Scenario0[winner1],"navarch",Scenario0[winner1-pw],AvengerEquipScenario0318[[#This Row],[level]])+COUNTIFS(Scenario0[winner2],"navarch",Scenario0[winner2-pw],AvengerEquipScenario0318[[#This Row],[level]])+COUNTIFS(Scenario0[loser1],"navarch",Scenario0[loser1-pw],AvengerEquipScenario0318[[#This Row],[level]])+COUNTIFS(Scenario0[loser2],"navarch",Scenario0[loser2-pw],AvengerEquipScenario0318[[#This Row],[level]])</f>
        <v>110</v>
      </c>
      <c r="T3">
        <f>COUNTIFS(Scenario0[winner1],"navarch",Scenario0[winner1-sw],AvengerEquipScenario0318[[#This Row],[level]])+COUNTIFS(Scenario0[winner2],"navarch",Scenario0[winner2-sw],AvengerEquipScenario0318[[#This Row],[level]])+COUNTIFS(Scenario0[loser1],"navarch",Scenario0[loser1-sw],AvengerEquipScenario0318[[#This Row],[level]])+COUNTIFS(Scenario0[loser2],"navarch",Scenario0[loser2-sw],AvengerEquipScenario0318[[#This Row],[level]])</f>
        <v>166</v>
      </c>
      <c r="U3" s="18">
        <f>COUNTIFS(Scenario0[winner1],"navarch",Scenario0[winner1-cp],AvengerEquipScenario0318[[#This Row],[level]])+COUNTIFS(Scenario0[winner2],"navarch",Scenario0[winner2-cp],AvengerEquipScenario0318[[#This Row],[level]])+COUNTIFS(Scenario0[loser1],"navarch",Scenario0[loser1-cp],AvengerEquipScenario0318[[#This Row],[level]])+COUNTIFS(Scenario0[loser2],"navarch",Scenario0[loser2-cp],AvengerEquipScenario0318[[#This Row],[level]])</f>
        <v>138</v>
      </c>
      <c r="W3" t="s">
        <v>243</v>
      </c>
      <c r="X3" s="16">
        <f>H5/SUM(AvengerEquip313[kopis])</f>
        <v>0.22847682119205298</v>
      </c>
    </row>
    <row r="4" spans="1:24" x14ac:dyDescent="0.25">
      <c r="A4" t="s">
        <v>229</v>
      </c>
      <c r="B4">
        <f t="shared" ref="B4:C5" si="0">M4+M25+M46+M67+M88+M109</f>
        <v>158</v>
      </c>
      <c r="C4">
        <f t="shared" si="0"/>
        <v>54</v>
      </c>
      <c r="D4" s="3">
        <f>IF(SUM(AvengerAbilities1309[[#This Row],[takes]]) &gt; 0,AvengerAbilities1309[[#This Row],[takes]]/SUM(AvengerAbilities1309[takes]),0)</f>
        <v>0.26158940397350994</v>
      </c>
      <c r="E4" s="3">
        <f>IF(AvengerAbilities1309[[#This Row],[takes]]&gt;0,AvengerAbilities1309[[#This Row],[wins]]/AvengerAbilities1309[[#This Row],[takes]],0)</f>
        <v>0.34177215189873417</v>
      </c>
      <c r="G4">
        <v>2</v>
      </c>
      <c r="H4">
        <f t="shared" ref="H4:J5" si="1">S4+S25+S46+S67+S88+S109</f>
        <v>201</v>
      </c>
      <c r="I4">
        <f t="shared" si="1"/>
        <v>23</v>
      </c>
      <c r="J4" s="18">
        <f t="shared" si="1"/>
        <v>94</v>
      </c>
      <c r="L4" s="17" t="s">
        <v>229</v>
      </c>
      <c r="M4">
        <f>COUNTIF(Scenario0[winner1-ability1],AvengerAbilities1Scenario0314[[#This Row],[ability]])+COUNTIF(Scenario0[winner2-ability1],AvengerAbilities1Scenario0314[[#This Row],[ability]])+COUNTIF(Scenario0[loser1-ability1],AvengerAbilities1Scenario0314[[#This Row],[ability]])+COUNTIF(Scenario0[loser2-ability1],AvengerAbilities1Scenario0314[[#This Row],[ability]])</f>
        <v>0</v>
      </c>
      <c r="N4">
        <f>COUNTIF(Scenario0[winner1-ability1],AvengerAbilities1Scenario0314[[#This Row],[ability]])+COUNTIF(Scenario0[winner2-ability1],AvengerAbilities1Scenario0314[[#This Row],[ability]])</f>
        <v>0</v>
      </c>
      <c r="O4" s="3">
        <f>IF(SUM(AvengerAbilities1Scenario0314[[#This Row],[takes]]) &gt; 0,AvengerAbilities1Scenario0314[[#This Row],[takes]]/SUM(AvengerAbilities1Scenario0314[takes]),0)</f>
        <v>0</v>
      </c>
      <c r="P4" s="3">
        <f>IF(AvengerAbilities1Scenario0314[[#This Row],[takes]]&gt;0,AvengerAbilities1Scenario0314[[#This Row],[wins]]/AvengerAbilities1Scenario0314[[#This Row],[takes]],0)</f>
        <v>0</v>
      </c>
      <c r="R4">
        <v>2</v>
      </c>
      <c r="S4">
        <f>COUNTIFS(Scenario0[winner1],"navarch",Scenario0[winner1-pw],AvengerEquipScenario0318[[#This Row],[level]])+COUNTIFS(Scenario0[winner2],"navarch",Scenario0[winner2-pw],AvengerEquipScenario0318[[#This Row],[level]])+COUNTIFS(Scenario0[loser1],"navarch",Scenario0[loser1-pw],AvengerEquipScenario0318[[#This Row],[level]])+COUNTIFS(Scenario0[loser2],"navarch",Scenario0[loser2-pw],AvengerEquipScenario0318[[#This Row],[level]])</f>
        <v>51</v>
      </c>
      <c r="T4">
        <f>COUNTIFS(Scenario0[winner1],"navarch",Scenario0[winner1-sw],AvengerEquipScenario0318[[#This Row],[level]])+COUNTIFS(Scenario0[winner2],"navarch",Scenario0[winner2-sw],AvengerEquipScenario0318[[#This Row],[level]])+COUNTIFS(Scenario0[loser1],"navarch",Scenario0[loser1-sw],AvengerEquipScenario0318[[#This Row],[level]])+COUNTIFS(Scenario0[loser2],"navarch",Scenario0[loser2-sw],AvengerEquipScenario0318[[#This Row],[level]])</f>
        <v>2</v>
      </c>
      <c r="U4" s="18">
        <f>COUNTIFS(Scenario0[winner1],"navarch",Scenario0[winner1-cp],AvengerEquipScenario0318[[#This Row],[level]])+COUNTIFS(Scenario0[winner2],"navarch",Scenario0[winner2-cp],AvengerEquipScenario0318[[#This Row],[level]])+COUNTIFS(Scenario0[loser1],"navarch",Scenario0[loser1-cp],AvengerEquipScenario0318[[#This Row],[level]])+COUNTIFS(Scenario0[loser2],"navarch",Scenario0[loser2-cp],AvengerEquipScenario0318[[#This Row],[level]])</f>
        <v>18</v>
      </c>
      <c r="W4" t="s">
        <v>244</v>
      </c>
      <c r="X4" s="3">
        <f>AvengerEquip313[[#This Row],[gun]]/SUM(AvengerEquip313[gun])</f>
        <v>3.8079470198675497E-2</v>
      </c>
    </row>
    <row r="5" spans="1:24" x14ac:dyDescent="0.25">
      <c r="A5" t="s">
        <v>230</v>
      </c>
      <c r="B5">
        <f t="shared" si="0"/>
        <v>0</v>
      </c>
      <c r="C5">
        <f t="shared" si="0"/>
        <v>0</v>
      </c>
      <c r="D5" s="3">
        <f>IF(SUM(AvengerAbilities1309[[#This Row],[takes]]) &gt; 0,AvengerAbilities1309[[#This Row],[takes]]/SUM(AvengerAbilities1309[takes]),0)</f>
        <v>0</v>
      </c>
      <c r="E5" s="3">
        <f>IF(AvengerAbilities1309[[#This Row],[takes]]&gt;0,AvengerAbilities1309[[#This Row],[wins]]/AvengerAbilities1309[[#This Row],[takes]],0)</f>
        <v>0</v>
      </c>
      <c r="G5">
        <v>3</v>
      </c>
      <c r="H5">
        <f t="shared" si="1"/>
        <v>138</v>
      </c>
      <c r="I5">
        <f t="shared" si="1"/>
        <v>115</v>
      </c>
      <c r="J5" s="18">
        <f t="shared" si="1"/>
        <v>197</v>
      </c>
      <c r="L5" s="17" t="s">
        <v>230</v>
      </c>
      <c r="M5">
        <f>COUNTIF(Scenario0[winner1-ability1],AvengerAbilities1Scenario0314[[#This Row],[ability]])+COUNTIF(Scenario0[winner2-ability1],AvengerAbilities1Scenario0314[[#This Row],[ability]])+COUNTIF(Scenario0[loser1-ability1],AvengerAbilities1Scenario0314[[#This Row],[ability]])+COUNTIF(Scenario0[loser2-ability1],AvengerAbilities1Scenario0314[[#This Row],[ability]])</f>
        <v>0</v>
      </c>
      <c r="N5">
        <f>COUNTIF(Scenario0[winner1-ability1],AvengerAbilities1Scenario0314[[#This Row],[ability]])+COUNTIF(Scenario0[winner2-ability1],AvengerAbilities1Scenario0314[[#This Row],[ability]])</f>
        <v>0</v>
      </c>
      <c r="O5" s="3">
        <f>IF(SUM(AvengerAbilities1Scenario0314[[#This Row],[takes]]) &gt; 0,AvengerAbilities1Scenario0314[[#This Row],[takes]]/SUM(AvengerAbilities1Scenario0314[takes]),0)</f>
        <v>0</v>
      </c>
      <c r="P5" s="3">
        <f>IF(AvengerAbilities1Scenario0314[[#This Row],[takes]]&gt;0,AvengerAbilities1Scenario0314[[#This Row],[wins]]/AvengerAbilities1Scenario0314[[#This Row],[takes]],0)</f>
        <v>0</v>
      </c>
      <c r="R5">
        <v>3</v>
      </c>
      <c r="S5">
        <f>COUNTIFS(Scenario0[winner1],"navarch",Scenario0[winner1-pw],AvengerEquipScenario0318[[#This Row],[level]])+COUNTIFS(Scenario0[winner2],"navarch",Scenario0[winner2-pw],AvengerEquipScenario0318[[#This Row],[level]])+COUNTIFS(Scenario0[loser1],"navarch",Scenario0[loser1-pw],AvengerEquipScenario0318[[#This Row],[level]])+COUNTIFS(Scenario0[loser2],"navarch",Scenario0[loser2-pw],AvengerEquipScenario0318[[#This Row],[level]])</f>
        <v>7</v>
      </c>
      <c r="T5">
        <f>COUNTIFS(Scenario0[winner1],"navarch",Scenario0[winner1-sw],AvengerEquipScenario0318[[#This Row],[level]])+COUNTIFS(Scenario0[winner2],"navarch",Scenario0[winner2-sw],AvengerEquipScenario0318[[#This Row],[level]])+COUNTIFS(Scenario0[loser1],"navarch",Scenario0[loser1-sw],AvengerEquipScenario0318[[#This Row],[level]])+COUNTIFS(Scenario0[loser2],"navarch",Scenario0[loser2-sw],AvengerEquipScenario0318[[#This Row],[level]])</f>
        <v>0</v>
      </c>
      <c r="U5" s="18">
        <f>COUNTIFS(Scenario0[winner1],"navarch",Scenario0[winner1-cp],AvengerEquipScenario0318[[#This Row],[level]])+COUNTIFS(Scenario0[winner2],"navarch",Scenario0[winner2-cp],AvengerEquipScenario0318[[#This Row],[level]])+COUNTIFS(Scenario0[loser1],"navarch",Scenario0[loser1-cp],AvengerEquipScenario0318[[#This Row],[level]])+COUNTIFS(Scenario0[loser2],"navarch",Scenario0[loser2-cp],AvengerEquipScenario0318[[#This Row],[level]])</f>
        <v>12</v>
      </c>
      <c r="W5" t="s">
        <v>245</v>
      </c>
      <c r="X5" s="16">
        <f>AvengerEquip313[[#This Row],[gun]]/SUM(AvengerEquip313[gun])</f>
        <v>0.19039735099337748</v>
      </c>
    </row>
    <row r="6" spans="1:24" x14ac:dyDescent="0.25">
      <c r="A6" s="17"/>
      <c r="J6" s="18"/>
      <c r="L6" s="17"/>
      <c r="O6" s="3"/>
      <c r="P6" s="3"/>
      <c r="U6" s="18"/>
      <c r="W6" t="s">
        <v>179</v>
      </c>
      <c r="X6" s="3">
        <f>J4/SUM(AvengerEquip313[chestpiece])</f>
        <v>0.15562913907284767</v>
      </c>
    </row>
    <row r="7" spans="1:24" x14ac:dyDescent="0.25">
      <c r="A7" s="19" t="s">
        <v>109</v>
      </c>
      <c r="B7" s="8" t="s">
        <v>110</v>
      </c>
      <c r="C7" s="8" t="s">
        <v>79</v>
      </c>
      <c r="D7" s="9" t="s">
        <v>117</v>
      </c>
      <c r="E7" s="9" t="s">
        <v>118</v>
      </c>
      <c r="J7" s="18"/>
      <c r="L7" s="19" t="s">
        <v>109</v>
      </c>
      <c r="M7" s="8" t="s">
        <v>110</v>
      </c>
      <c r="N7" s="8" t="s">
        <v>79</v>
      </c>
      <c r="O7" s="9" t="s">
        <v>117</v>
      </c>
      <c r="P7" s="9" t="s">
        <v>118</v>
      </c>
      <c r="U7" s="18"/>
      <c r="W7" t="s">
        <v>180</v>
      </c>
      <c r="X7" s="16">
        <f>J5/SUM(AvengerEquip313[chestpiece])</f>
        <v>0.32615894039735099</v>
      </c>
    </row>
    <row r="8" spans="1:24" x14ac:dyDescent="0.25">
      <c r="A8" s="2" t="s">
        <v>231</v>
      </c>
      <c r="B8" s="2">
        <f>M8+M29+M50+M71+M92+M113</f>
        <v>284</v>
      </c>
      <c r="C8" s="2">
        <f>N8+N29+N50+N71+N92+N113</f>
        <v>134</v>
      </c>
      <c r="D8" s="12">
        <f>IF(SUM(AvengerAbilities2310[[#This Row],[takes]]) &gt; 0,AvengerAbilities2310[[#This Row],[takes]]/SUM(AvengerAbilities2310[takes]),0)</f>
        <v>0.79551820728291311</v>
      </c>
      <c r="E8" s="12">
        <f>IF(AvengerAbilities2310[[#This Row],[takes]]&gt;0,AvengerAbilities2310[[#This Row],[wins]]/AvengerAbilities2310[[#This Row],[takes]],0)</f>
        <v>0.47183098591549294</v>
      </c>
      <c r="J8" s="18"/>
      <c r="L8" s="20" t="s">
        <v>231</v>
      </c>
      <c r="M8" s="2">
        <f>COUNTIF(Scenario0[winner1-ability2],AvengerAbilities2Scenario0315[[#This Row],[ability]])+COUNTIF(Scenario0[winner2-ability2],AvengerAbilities2Scenario0315[[#This Row],[ability]])+COUNTIF(Scenario0[loser1-ability2],AvengerAbilities2Scenario0315[[#This Row],[ability]])+COUNTIF(Scenario0[loser2-ability2],AvengerAbilities2Scenario0315[[#This Row],[ability]])</f>
        <v>53</v>
      </c>
      <c r="N8" s="2">
        <f>COUNTIF(Scenario0[winner1-ability2],AvengerAbilities2Scenario0315[[#This Row],[ability]])+COUNTIF(Scenario0[winner2-ability2],AvengerAbilities2Scenario0315[[#This Row],[ability]])</f>
        <v>27</v>
      </c>
      <c r="O8" s="12">
        <f>IF(SUM(AvengerAbilities2Scenario0315[[#This Row],[takes]]) &gt; 0,AvengerAbilities2Scenario0315[[#This Row],[takes]]/SUM(AvengerAbilities2Scenario0315[takes]),0)</f>
        <v>0.8833333333333333</v>
      </c>
      <c r="P8" s="12">
        <f>IF(AvengerAbilities2Scenario0315[[#This Row],[takes]]&gt;0,AvengerAbilities2Scenario0315[[#This Row],[wins]]/AvengerAbilities2Scenario0315[[#This Row],[takes]],0)</f>
        <v>0.50943396226415094</v>
      </c>
      <c r="U8" s="18"/>
      <c r="W8" t="s">
        <v>176</v>
      </c>
      <c r="X8" s="3">
        <f>SUM(AvengerAbilities2310[takes])/SUM(AvengerAbilities1309[takes])</f>
        <v>0.59105960264900659</v>
      </c>
    </row>
    <row r="9" spans="1:24" x14ac:dyDescent="0.25">
      <c r="A9" t="s">
        <v>232</v>
      </c>
      <c r="B9" s="2">
        <f t="shared" ref="B9:C10" si="2">M9+M30+M51+M72+M93+M114</f>
        <v>29</v>
      </c>
      <c r="C9" s="2">
        <f t="shared" si="2"/>
        <v>8</v>
      </c>
      <c r="D9" s="3">
        <f>IF(SUM(AvengerAbilities2310[[#This Row],[takes]]) &gt; 0,AvengerAbilities2310[[#This Row],[takes]]/SUM(AvengerAbilities2310[takes]),0)</f>
        <v>8.1232492997198882E-2</v>
      </c>
      <c r="E9" s="3">
        <f>IF(AvengerAbilities2310[[#This Row],[takes]]&gt;0,AvengerAbilities2310[[#This Row],[wins]]/AvengerAbilities2310[[#This Row],[takes]],0)</f>
        <v>0.27586206896551724</v>
      </c>
      <c r="J9" s="18"/>
      <c r="L9" s="17" t="s">
        <v>232</v>
      </c>
      <c r="M9" s="2">
        <f>COUNTIF(Scenario0[winner1-ability2],AvengerAbilities2Scenario0315[[#This Row],[ability]])+COUNTIF(Scenario0[winner2-ability2],AvengerAbilities2Scenario0315[[#This Row],[ability]])+COUNTIF(Scenario0[loser1-ability2],AvengerAbilities2Scenario0315[[#This Row],[ability]])+COUNTIF(Scenario0[loser2-ability2],AvengerAbilities2Scenario0315[[#This Row],[ability]])</f>
        <v>2</v>
      </c>
      <c r="N9" s="2">
        <f>COUNTIF(Scenario0[winner1-ability2],AvengerAbilities2Scenario0315[[#This Row],[ability]])+COUNTIF(Scenario0[winner2-ability2],AvengerAbilities2Scenario0315[[#This Row],[ability]])</f>
        <v>1</v>
      </c>
      <c r="O9" s="3">
        <f>IF(SUM(AvengerAbilities2Scenario0315[[#This Row],[takes]]) &gt; 0,AvengerAbilities2Scenario0315[[#This Row],[takes]]/SUM(AvengerAbilities2Scenario0315[takes]),0)</f>
        <v>3.3333333333333333E-2</v>
      </c>
      <c r="P9" s="3">
        <f>IF(AvengerAbilities2Scenario0315[[#This Row],[takes]]&gt;0,AvengerAbilities2Scenario0315[[#This Row],[wins]]/AvengerAbilities2Scenario0315[[#This Row],[takes]],0)</f>
        <v>0.5</v>
      </c>
      <c r="U9" s="18"/>
      <c r="W9" t="s">
        <v>177</v>
      </c>
      <c r="X9" s="3">
        <f>SUM(AvengerAbilities3311[takes])/SUM(AvengerAbilities1309[takes])</f>
        <v>0.4056291390728477</v>
      </c>
    </row>
    <row r="10" spans="1:24" x14ac:dyDescent="0.25">
      <c r="A10" s="10" t="s">
        <v>233</v>
      </c>
      <c r="B10" s="2">
        <f t="shared" si="2"/>
        <v>44</v>
      </c>
      <c r="C10" s="2">
        <f t="shared" si="2"/>
        <v>20</v>
      </c>
      <c r="D10" s="13">
        <f>IF(SUM(AvengerAbilities2310[[#This Row],[takes]]) &gt; 0,AvengerAbilities2310[[#This Row],[takes]]/SUM(AvengerAbilities2310[takes]),0)</f>
        <v>0.12324929971988796</v>
      </c>
      <c r="E10" s="13">
        <f>IF(AvengerAbilities2310[[#This Row],[takes]]&gt;0,AvengerAbilities2310[[#This Row],[wins]]/AvengerAbilities2310[[#This Row],[takes]],0)</f>
        <v>0.45454545454545453</v>
      </c>
      <c r="J10" s="18"/>
      <c r="L10" s="21" t="s">
        <v>233</v>
      </c>
      <c r="M10" s="2">
        <f>COUNTIF(Scenario0[winner1-ability2],AvengerAbilities2Scenario0315[[#This Row],[ability]])+COUNTIF(Scenario0[winner2-ability2],AvengerAbilities2Scenario0315[[#This Row],[ability]])+COUNTIF(Scenario0[loser1-ability2],AvengerAbilities2Scenario0315[[#This Row],[ability]])+COUNTIF(Scenario0[loser2-ability2],AvengerAbilities2Scenario0315[[#This Row],[ability]])</f>
        <v>5</v>
      </c>
      <c r="N10" s="2">
        <f>COUNTIF(Scenario0[winner1-ability2],AvengerAbilities2Scenario0315[[#This Row],[ability]])+COUNTIF(Scenario0[winner2-ability2],AvengerAbilities2Scenario0315[[#This Row],[ability]])</f>
        <v>2</v>
      </c>
      <c r="O10" s="13">
        <f>IF(SUM(AvengerAbilities2Scenario0315[[#This Row],[takes]]) &gt; 0,AvengerAbilities2Scenario0315[[#This Row],[takes]]/SUM(AvengerAbilities2Scenario0315[takes]),0)</f>
        <v>8.3333333333333329E-2</v>
      </c>
      <c r="P10" s="13">
        <f>IF(AvengerAbilities2Scenario0315[[#This Row],[takes]]&gt;0,AvengerAbilities2Scenario0315[[#This Row],[wins]]/AvengerAbilities2Scenario0315[[#This Row],[takes]],0)</f>
        <v>0.4</v>
      </c>
      <c r="U10" s="18"/>
      <c r="W10" t="s">
        <v>178</v>
      </c>
      <c r="X10" s="16">
        <f>SUM(AvengerAbilities4312[takes])/SUM(AvengerAbilities1309[takes])</f>
        <v>0.25165562913907286</v>
      </c>
    </row>
    <row r="11" spans="1:24" x14ac:dyDescent="0.25">
      <c r="A11" s="17"/>
      <c r="J11" s="18"/>
      <c r="L11" s="17"/>
      <c r="O11" s="3"/>
      <c r="P11" s="3"/>
      <c r="U11" s="18"/>
      <c r="W11" t="s">
        <v>194</v>
      </c>
      <c r="X11" s="33">
        <f>(SUM(AvengerAbilities2310[takes])+SUM(AvengerAbilities3311[takes])+SUM(AvengerAbilities4312[takes])+SUM(H4:H5)+SUM(I4:I5)+SUM(J4:J5))/SUM(AvengerAbilities1309[takes])</f>
        <v>2.5198675496688741</v>
      </c>
    </row>
    <row r="12" spans="1:24" x14ac:dyDescent="0.25">
      <c r="A12" s="19" t="s">
        <v>109</v>
      </c>
      <c r="B12" s="8" t="s">
        <v>110</v>
      </c>
      <c r="C12" s="8" t="s">
        <v>79</v>
      </c>
      <c r="D12" s="9" t="s">
        <v>117</v>
      </c>
      <c r="E12" s="9" t="s">
        <v>118</v>
      </c>
      <c r="J12" s="18"/>
      <c r="L12" s="19" t="s">
        <v>109</v>
      </c>
      <c r="M12" s="8" t="s">
        <v>110</v>
      </c>
      <c r="N12" s="8" t="s">
        <v>79</v>
      </c>
      <c r="O12" s="9" t="s">
        <v>117</v>
      </c>
      <c r="P12" s="9" t="s">
        <v>118</v>
      </c>
      <c r="U12" s="18"/>
    </row>
    <row r="13" spans="1:24" x14ac:dyDescent="0.25">
      <c r="A13" s="1" t="s">
        <v>234</v>
      </c>
      <c r="B13" s="1">
        <f>M13+M34+M55+M76+M97+M118</f>
        <v>45</v>
      </c>
      <c r="C13" s="1">
        <f>N13+N34+N55+N76+N97+N118</f>
        <v>31</v>
      </c>
      <c r="D13" s="14">
        <f>IF(SUM(AvengerAbilities3311[[#This Row],[takes]]) &gt; 0,AvengerAbilities3311[[#This Row],[takes]]/SUM(AvengerAbilities3311[takes]),0)</f>
        <v>0.18367346938775511</v>
      </c>
      <c r="E13" s="14">
        <f>IF(AvengerAbilities3311[[#This Row],[takes]]&gt;0,AvengerAbilities3311[[#This Row],[wins]]/AvengerAbilities3311[[#This Row],[takes]],0)</f>
        <v>0.68888888888888888</v>
      </c>
      <c r="J13" s="18"/>
      <c r="L13" s="22" t="s">
        <v>234</v>
      </c>
      <c r="M13" s="1">
        <f>COUNTIF(Scenario0[winner1-ability3],AvengerAbilities3Scenario0316[[#This Row],[ability]])+COUNTIF(Scenario0[winner2-ability3],AvengerAbilities3Scenario0316[[#This Row],[ability]])+COUNTIF(Scenario0[loser1-ability3],AvengerAbilities3Scenario0316[[#This Row],[ability]])+COUNTIF(Scenario0[loser2-ability3],AvengerAbilities3Scenario0316[[#This Row],[ability]])</f>
        <v>4</v>
      </c>
      <c r="N13" s="1">
        <f>COUNTIF(Scenario0[winner1-ability3],AvengerAbilities3Scenario0316[[#This Row],[ability]])+COUNTIF(Scenario0[winner2-ability3],AvengerAbilities3Scenario0316[[#This Row],[ability]])</f>
        <v>4</v>
      </c>
      <c r="O13" s="14">
        <f>IF(SUM(AvengerAbilities3Scenario0316[[#This Row],[takes]]) &gt; 0,AvengerAbilities3Scenario0316[[#This Row],[takes]]/SUM(AvengerAbilities3Scenario0316[takes]),0)</f>
        <v>0.17391304347826086</v>
      </c>
      <c r="P13" s="14">
        <f>IF(AvengerAbilities3Scenario0316[[#This Row],[takes]]&gt;0,AvengerAbilities3Scenario0316[[#This Row],[wins]]/AvengerAbilities3Scenario0316[[#This Row],[takes]],0)</f>
        <v>1</v>
      </c>
      <c r="U13" s="18"/>
    </row>
    <row r="14" spans="1:24" x14ac:dyDescent="0.25">
      <c r="A14" s="2" t="s">
        <v>235</v>
      </c>
      <c r="B14" s="2">
        <f t="shared" ref="B14:C15" si="3">M14+M35+M56+M77+M98+M119</f>
        <v>178</v>
      </c>
      <c r="C14" s="2">
        <f t="shared" si="3"/>
        <v>66</v>
      </c>
      <c r="D14" s="12">
        <f>IF(SUM(AvengerAbilities3311[[#This Row],[takes]]) &gt; 0,AvengerAbilities3311[[#This Row],[takes]]/SUM(AvengerAbilities3311[takes]),0)</f>
        <v>0.72653061224489801</v>
      </c>
      <c r="E14" s="12">
        <f>IF(AvengerAbilities3311[[#This Row],[takes]]&gt;0,AvengerAbilities3311[[#This Row],[wins]]/AvengerAbilities3311[[#This Row],[takes]],0)</f>
        <v>0.3707865168539326</v>
      </c>
      <c r="J14" s="18"/>
      <c r="L14" s="20" t="s">
        <v>235</v>
      </c>
      <c r="M14" s="2">
        <f>COUNTIF(Scenario0[winner1-ability3],AvengerAbilities3Scenario0316[[#This Row],[ability]])+COUNTIF(Scenario0[winner2-ability3],AvengerAbilities3Scenario0316[[#This Row],[ability]])+COUNTIF(Scenario0[loser1-ability3],AvengerAbilities3Scenario0316[[#This Row],[ability]])+COUNTIF(Scenario0[loser2-ability3],AvengerAbilities3Scenario0316[[#This Row],[ability]])</f>
        <v>15</v>
      </c>
      <c r="N14" s="2">
        <f>COUNTIF(Scenario0[winner1-ability3],AvengerAbilities3Scenario0316[[#This Row],[ability]])+COUNTIF(Scenario0[winner2-ability3],AvengerAbilities3Scenario0316[[#This Row],[ability]])</f>
        <v>7</v>
      </c>
      <c r="O14" s="12">
        <f>IF(SUM(AvengerAbilities3Scenario0316[[#This Row],[takes]]) &gt; 0,AvengerAbilities3Scenario0316[[#This Row],[takes]]/SUM(AvengerAbilities3Scenario0316[takes]),0)</f>
        <v>0.65217391304347827</v>
      </c>
      <c r="P14" s="12">
        <f>IF(AvengerAbilities3Scenario0316[[#This Row],[takes]]&gt;0,AvengerAbilities3Scenario0316[[#This Row],[wins]]/AvengerAbilities3Scenario0316[[#This Row],[takes]],0)</f>
        <v>0.46666666666666667</v>
      </c>
      <c r="U14" s="18"/>
    </row>
    <row r="15" spans="1:24" x14ac:dyDescent="0.25">
      <c r="A15" s="11" t="s">
        <v>236</v>
      </c>
      <c r="B15" s="1">
        <f t="shared" si="3"/>
        <v>22</v>
      </c>
      <c r="C15" s="1">
        <f t="shared" si="3"/>
        <v>16</v>
      </c>
      <c r="D15" s="15">
        <f>IF(SUM(AvengerAbilities3311[[#This Row],[takes]]) &gt; 0,AvengerAbilities3311[[#This Row],[takes]]/SUM(AvengerAbilities3311[takes]),0)</f>
        <v>8.9795918367346933E-2</v>
      </c>
      <c r="E15" s="15">
        <f>IF(AvengerAbilities3311[[#This Row],[takes]]&gt;0,AvengerAbilities3311[[#This Row],[wins]]/AvengerAbilities3311[[#This Row],[takes]],0)</f>
        <v>0.72727272727272729</v>
      </c>
      <c r="J15" s="18"/>
      <c r="L15" s="23" t="s">
        <v>236</v>
      </c>
      <c r="M15" s="1">
        <f>COUNTIF(Scenario0[winner1-ability3],AvengerAbilities3Scenario0316[[#This Row],[ability]])+COUNTIF(Scenario0[winner2-ability3],AvengerAbilities3Scenario0316[[#This Row],[ability]])+COUNTIF(Scenario0[loser1-ability3],AvengerAbilities3Scenario0316[[#This Row],[ability]])+COUNTIF(Scenario0[loser2-ability3],AvengerAbilities3Scenario0316[[#This Row],[ability]])</f>
        <v>4</v>
      </c>
      <c r="N15" s="1">
        <f>COUNTIF(Scenario0[winner1-ability3],AvengerAbilities3Scenario0316[[#This Row],[ability]])+COUNTIF(Scenario0[winner2-ability3],AvengerAbilities3Scenario0316[[#This Row],[ability]])</f>
        <v>2</v>
      </c>
      <c r="O15" s="15">
        <f>IF(SUM(AvengerAbilities3Scenario0316[[#This Row],[takes]]) &gt; 0,AvengerAbilities3Scenario0316[[#This Row],[takes]]/SUM(AvengerAbilities3Scenario0316[takes]),0)</f>
        <v>0.17391304347826086</v>
      </c>
      <c r="P15" s="15">
        <f>IF(AvengerAbilities3Scenario0316[[#This Row],[takes]]&gt;0,AvengerAbilities3Scenario0316[[#This Row],[wins]]/AvengerAbilities3Scenario0316[[#This Row],[takes]],0)</f>
        <v>0.5</v>
      </c>
      <c r="U15" s="18"/>
    </row>
    <row r="16" spans="1:24" x14ac:dyDescent="0.25">
      <c r="A16" s="17"/>
      <c r="J16" s="18"/>
      <c r="L16" s="17"/>
      <c r="O16" s="3"/>
      <c r="P16" s="3"/>
      <c r="U16" s="18"/>
    </row>
    <row r="17" spans="1:21" x14ac:dyDescent="0.25">
      <c r="A17" s="19" t="s">
        <v>109</v>
      </c>
      <c r="B17" s="8" t="s">
        <v>110</v>
      </c>
      <c r="C17" s="8" t="s">
        <v>79</v>
      </c>
      <c r="D17" s="9" t="s">
        <v>117</v>
      </c>
      <c r="E17" s="9" t="s">
        <v>118</v>
      </c>
      <c r="J17" s="18"/>
      <c r="L17" s="19" t="s">
        <v>109</v>
      </c>
      <c r="M17" s="8" t="s">
        <v>110</v>
      </c>
      <c r="N17" s="8" t="s">
        <v>79</v>
      </c>
      <c r="O17" s="9" t="s">
        <v>117</v>
      </c>
      <c r="P17" s="9" t="s">
        <v>118</v>
      </c>
      <c r="U17" s="18"/>
    </row>
    <row r="18" spans="1:21" x14ac:dyDescent="0.25">
      <c r="A18" s="2" t="s">
        <v>237</v>
      </c>
      <c r="B18" s="2">
        <f>M18+M39+M60+M81+M102+M123</f>
        <v>24</v>
      </c>
      <c r="C18" s="2">
        <f>N18+N39+N60+N81+N102+N123</f>
        <v>10</v>
      </c>
      <c r="D18" s="12">
        <f>IF(SUM(AvengerAbilities4312[[#This Row],[takes]]) &gt; 0,AvengerAbilities4312[[#This Row],[takes]]/SUM(AvengerAbilities4312[takes]),0)</f>
        <v>0.15789473684210525</v>
      </c>
      <c r="E18" s="12">
        <f>IF(AvengerAbilities4312[[#This Row],[takes]]&gt;0,AvengerAbilities4312[[#This Row],[wins]]/AvengerAbilities4312[[#This Row],[takes]],0)</f>
        <v>0.41666666666666669</v>
      </c>
      <c r="J18" s="18"/>
      <c r="L18" s="20" t="s">
        <v>237</v>
      </c>
      <c r="M18" s="2">
        <f>COUNTIF(Scenario0[winner1-ability4],AvengerAbilities4Scenario0317[[#This Row],[ability]])+COUNTIF(Scenario0[winner2-ability4],AvengerAbilities4Scenario0317[[#This Row],[ability]])+COUNTIF(Scenario0[loser1-ability4],AvengerAbilities4Scenario0317[[#This Row],[ability]])+COUNTIF(Scenario0[loser2-ability4],AvengerAbilities4Scenario0317[[#This Row],[ability]])</f>
        <v>2</v>
      </c>
      <c r="N18" s="2">
        <f>COUNTIF(Scenario0[winner1-ability4],AvengerAbilities4Scenario0317[[#This Row],[ability]])+COUNTIF(Scenario0[winner2-ability4],AvengerAbilities4Scenario0317[[#This Row],[ability]])</f>
        <v>2</v>
      </c>
      <c r="O18" s="12">
        <f>IF(SUM(AvengerAbilities4Scenario0317[[#This Row],[takes]]) &gt; 0,AvengerAbilities4Scenario0317[[#This Row],[takes]]/SUM(AvengerAbilities4Scenario0317[takes]),0)</f>
        <v>0.66666666666666663</v>
      </c>
      <c r="P18" s="12">
        <f>IF(AvengerAbilities4Scenario0317[[#This Row],[takes]]&gt;0,AvengerAbilities4Scenario0317[[#This Row],[wins]]/AvengerAbilities4Scenario0317[[#This Row],[takes]],0)</f>
        <v>1</v>
      </c>
      <c r="U18" s="18"/>
    </row>
    <row r="19" spans="1:21" x14ac:dyDescent="0.25">
      <c r="A19" s="2" t="s">
        <v>238</v>
      </c>
      <c r="B19" s="2">
        <f t="shared" ref="B19:C20" si="4">M19+M40+M61+M82+M103+M124</f>
        <v>110</v>
      </c>
      <c r="C19" s="2">
        <f t="shared" si="4"/>
        <v>46</v>
      </c>
      <c r="D19" s="12">
        <f>IF(SUM(AvengerAbilities4312[[#This Row],[takes]]) &gt; 0,AvengerAbilities4312[[#This Row],[takes]]/SUM(AvengerAbilities4312[takes]),0)</f>
        <v>0.72368421052631582</v>
      </c>
      <c r="E19" s="12">
        <f>IF(AvengerAbilities4312[[#This Row],[takes]]&gt;0,AvengerAbilities4312[[#This Row],[wins]]/AvengerAbilities4312[[#This Row],[takes]],0)</f>
        <v>0.41818181818181815</v>
      </c>
      <c r="J19" s="18"/>
      <c r="L19" s="20" t="s">
        <v>238</v>
      </c>
      <c r="M19" s="2">
        <f>COUNTIF(Scenario0[winner1-ability4],AvengerAbilities4Scenario0317[[#This Row],[ability]])+COUNTIF(Scenario0[winner2-ability4],AvengerAbilities4Scenario0317[[#This Row],[ability]])+COUNTIF(Scenario0[loser1-ability4],AvengerAbilities4Scenario0317[[#This Row],[ability]])+COUNTIF(Scenario0[loser2-ability4],AvengerAbilities4Scenario0317[[#This Row],[ability]])</f>
        <v>0</v>
      </c>
      <c r="N19" s="2">
        <f>COUNTIF(Scenario0[winner1-ability4],AvengerAbilities4Scenario0317[[#This Row],[ability]])+COUNTIF(Scenario0[winner2-ability4],AvengerAbilities4Scenario0317[[#This Row],[ability]])</f>
        <v>0</v>
      </c>
      <c r="O19" s="12">
        <f>IF(SUM(AvengerAbilities4Scenario0317[[#This Row],[takes]]) &gt; 0,AvengerAbilities4Scenario0317[[#This Row],[takes]]/SUM(AvengerAbilities4Scenario0317[takes]),0)</f>
        <v>0</v>
      </c>
      <c r="P19" s="12">
        <f>IF(AvengerAbilities4Scenario0317[[#This Row],[takes]]&gt;0,AvengerAbilities4Scenario0317[[#This Row],[wins]]/AvengerAbilities4Scenario0317[[#This Row],[takes]],0)</f>
        <v>0</v>
      </c>
      <c r="U19" s="18"/>
    </row>
    <row r="20" spans="1:21" ht="15.75" thickBot="1" x14ac:dyDescent="0.3">
      <c r="A20" s="10" t="s">
        <v>239</v>
      </c>
      <c r="B20" s="2">
        <f t="shared" si="4"/>
        <v>18</v>
      </c>
      <c r="C20" s="2">
        <f t="shared" si="4"/>
        <v>9</v>
      </c>
      <c r="D20" s="26">
        <f>IF(SUM(AvengerAbilities4312[[#This Row],[takes]]) &gt; 0,AvengerAbilities4312[[#This Row],[takes]]/SUM(AvengerAbilities4312[takes]),0)</f>
        <v>0.11842105263157894</v>
      </c>
      <c r="E20" s="26">
        <f>IF(AvengerAbilities4312[[#This Row],[takes]]&gt;0,AvengerAbilities4312[[#This Row],[wins]]/AvengerAbilities4312[[#This Row],[takes]],0)</f>
        <v>0.5</v>
      </c>
      <c r="F20" s="27"/>
      <c r="G20" s="27"/>
      <c r="H20" s="27"/>
      <c r="I20" s="27"/>
      <c r="J20" s="28"/>
      <c r="L20" s="24" t="s">
        <v>239</v>
      </c>
      <c r="M20" s="25">
        <f>COUNTIF(Scenario0[winner1-ability4],AvengerAbilities4Scenario0317[[#This Row],[ability]])+COUNTIF(Scenario0[winner2-ability4],AvengerAbilities4Scenario0317[[#This Row],[ability]])+COUNTIF(Scenario0[loser1-ability4],AvengerAbilities4Scenario0317[[#This Row],[ability]])+COUNTIF(Scenario0[loser2-ability4],AvengerAbilities4Scenario0317[[#This Row],[ability]])</f>
        <v>1</v>
      </c>
      <c r="N20" s="25">
        <f>COUNTIF(Scenario0[winner1-ability4],AvengerAbilities4Scenario0317[[#This Row],[ability]])+COUNTIF(Scenario0[winner2-ability4],AvengerAbilities4Scenario0317[[#This Row],[ability]])</f>
        <v>0</v>
      </c>
      <c r="O20" s="26">
        <f>IF(SUM(AvengerAbilities4Scenario0317[[#This Row],[takes]]) &gt; 0,AvengerAbilities4Scenario0317[[#This Row],[takes]]/SUM(AvengerAbilities4Scenario0317[takes]),0)</f>
        <v>0.33333333333333331</v>
      </c>
      <c r="P20" s="26">
        <f>IF(AvengerAbilities4Scenario0317[[#This Row],[takes]]&gt;0,AvengerAbilities4Scenario0317[[#This Row],[wins]]/AvengerAbilities4Scenario0317[[#This Row],[takes]],0)</f>
        <v>0</v>
      </c>
      <c r="Q20" s="27"/>
      <c r="R20" s="27"/>
      <c r="S20" s="27"/>
      <c r="T20" s="27"/>
      <c r="U20" s="28"/>
    </row>
    <row r="21" spans="1:21" ht="15.75" thickBot="1" x14ac:dyDescent="0.3"/>
    <row r="22" spans="1:21" ht="15.75" thickBot="1" x14ac:dyDescent="0.3">
      <c r="L22" s="36" t="s">
        <v>183</v>
      </c>
      <c r="M22" s="37"/>
      <c r="N22" s="37"/>
      <c r="O22" s="37"/>
      <c r="P22" s="37"/>
      <c r="Q22" s="37"/>
      <c r="R22" s="37"/>
      <c r="S22" s="37"/>
      <c r="T22" s="37"/>
      <c r="U22" s="38"/>
    </row>
    <row r="23" spans="1:21" x14ac:dyDescent="0.25">
      <c r="L23" s="17" t="s">
        <v>109</v>
      </c>
      <c r="M23" t="s">
        <v>110</v>
      </c>
      <c r="N23" t="s">
        <v>79</v>
      </c>
      <c r="O23" s="3" t="s">
        <v>117</v>
      </c>
      <c r="P23" s="3" t="s">
        <v>118</v>
      </c>
      <c r="R23" t="s">
        <v>161</v>
      </c>
      <c r="S23" t="s">
        <v>240</v>
      </c>
      <c r="T23" t="s">
        <v>241</v>
      </c>
      <c r="U23" s="18" t="s">
        <v>164</v>
      </c>
    </row>
    <row r="24" spans="1:21" x14ac:dyDescent="0.25">
      <c r="L24" s="17" t="s">
        <v>228</v>
      </c>
      <c r="M24">
        <f>COUNTIF(Scenario1[winner1-ability1],AvengerAbilities1Scenario1319[[#This Row],[ability]])+COUNTIF(Scenario1[winner2-ability1],AvengerAbilities1Scenario1319[[#This Row],[ability]])+COUNTIF(Scenario1[loser1-ability1],AvengerAbilities1Scenario1319[[#This Row],[ability]])+COUNTIF(Scenario1[loser2-ability1],AvengerAbilities1Scenario1319[[#This Row],[ability]])</f>
        <v>156</v>
      </c>
      <c r="N24">
        <f>COUNTIF(Scenario1[winner1-ability1],AvengerAbilities1Scenario1319[[#This Row],[ability]])+COUNTIF(Scenario1[winner2-ability1],AvengerAbilities1Scenario1319[[#This Row],[ability]])</f>
        <v>55</v>
      </c>
      <c r="O24" s="3">
        <f>IF(SUM(AvengerAbilities1Scenario1319[[#This Row],[takes]]) &gt; 0,AvengerAbilities1Scenario1319[[#This Row],[takes]]/SUM(AvengerAbilities1Scenario1319[takes]),0)</f>
        <v>0.9285714285714286</v>
      </c>
      <c r="P24" s="3">
        <f>IF(AvengerAbilities1Scenario1319[[#This Row],[takes]]&gt;0,AvengerAbilities1Scenario1319[[#This Row],[wins]]/AvengerAbilities1Scenario1319[[#This Row],[takes]],0)</f>
        <v>0.35256410256410259</v>
      </c>
      <c r="R24">
        <v>1</v>
      </c>
      <c r="S24">
        <f>COUNTIFS(Scenario1[winner1],"navarch",Scenario1[winner1-pw],AvengerEquipScenario1323[[#This Row],[level]])+COUNTIFS(Scenario1[winner2],"navarch",Scenario1[winner2-pw],AvengerEquipScenario1323[[#This Row],[level]])+COUNTIFS(Scenario1[loser1],"navarch",Scenario1[loser1-pw],AvengerEquipScenario1323[[#This Row],[level]])+COUNTIFS(Scenario1[loser2],"navarch",Scenario1[loser2-pw],AvengerEquipScenario1323[[#This Row],[level]])</f>
        <v>86</v>
      </c>
      <c r="T24">
        <f>COUNTIFS(Scenario1[winner1],"navarch",Scenario1[winner1-sw],AvengerEquipScenario1323[[#This Row],[level]])+COUNTIFS(Scenario1[winner2],"navarch",Scenario1[winner2-sw],AvengerEquipScenario1323[[#This Row],[level]])+COUNTIFS(Scenario1[loser1],"navarch",Scenario1[loser1-sw],AvengerEquipScenario1323[[#This Row],[level]])+COUNTIFS(Scenario1[loser2],"navarch",Scenario1[loser2-sw],AvengerEquipScenario1323[[#This Row],[level]])</f>
        <v>162</v>
      </c>
      <c r="U24" s="18">
        <f>COUNTIFS(Scenario1[winner1],"navarch",Scenario1[winner1-cp],AvengerEquipScenario1323[[#This Row],[level]])+COUNTIFS(Scenario1[winner2],"navarch",Scenario1[winner2-cp],AvengerEquipScenario1323[[#This Row],[level]])+COUNTIFS(Scenario1[loser1],"navarch",Scenario1[loser1-cp],AvengerEquipScenario1323[[#This Row],[level]])+COUNTIFS(Scenario1[loser2],"navarch",Scenario1[loser2-cp],AvengerEquipScenario1323[[#This Row],[level]])</f>
        <v>122</v>
      </c>
    </row>
    <row r="25" spans="1:21" x14ac:dyDescent="0.25">
      <c r="L25" s="17" t="s">
        <v>229</v>
      </c>
      <c r="M25">
        <f>COUNTIF(Scenario1[winner1-ability1],AvengerAbilities1Scenario1319[[#This Row],[ability]])+COUNTIF(Scenario1[winner2-ability1],AvengerAbilities1Scenario1319[[#This Row],[ability]])+COUNTIF(Scenario1[loser1-ability1],AvengerAbilities1Scenario1319[[#This Row],[ability]])+COUNTIF(Scenario1[loser2-ability1],AvengerAbilities1Scenario1319[[#This Row],[ability]])</f>
        <v>12</v>
      </c>
      <c r="N25">
        <f>COUNTIF(Scenario1[winner1-ability1],AvengerAbilities1Scenario1319[[#This Row],[ability]])+COUNTIF(Scenario1[winner2-ability1],AvengerAbilities1Scenario1319[[#This Row],[ability]])</f>
        <v>4</v>
      </c>
      <c r="O25" s="3">
        <f>IF(SUM(AvengerAbilities1Scenario1319[[#This Row],[takes]]) &gt; 0,AvengerAbilities1Scenario1319[[#This Row],[takes]]/SUM(AvengerAbilities1Scenario1319[takes]),0)</f>
        <v>7.1428571428571425E-2</v>
      </c>
      <c r="P25" s="3">
        <f>IF(AvengerAbilities1Scenario1319[[#This Row],[takes]]&gt;0,AvengerAbilities1Scenario1319[[#This Row],[wins]]/AvengerAbilities1Scenario1319[[#This Row],[takes]],0)</f>
        <v>0.33333333333333331</v>
      </c>
      <c r="R25">
        <v>2</v>
      </c>
      <c r="S25">
        <f>COUNTIFS(Scenario1[winner1],"navarch",Scenario1[winner1-pw],AvengerEquipScenario1323[[#This Row],[level]])+COUNTIFS(Scenario1[winner2],"navarch",Scenario1[winner2-pw],AvengerEquipScenario1323[[#This Row],[level]])+COUNTIFS(Scenario1[loser1],"navarch",Scenario1[loser1-pw],AvengerEquipScenario1323[[#This Row],[level]])+COUNTIFS(Scenario1[loser2],"navarch",Scenario1[loser2-pw],AvengerEquipScenario1323[[#This Row],[level]])</f>
        <v>68</v>
      </c>
      <c r="T25">
        <f>COUNTIFS(Scenario1[winner1],"navarch",Scenario1[winner1-sw],AvengerEquipScenario1323[[#This Row],[level]])+COUNTIFS(Scenario1[winner2],"navarch",Scenario1[winner2-sw],AvengerEquipScenario1323[[#This Row],[level]])+COUNTIFS(Scenario1[loser1],"navarch",Scenario1[loser1-sw],AvengerEquipScenario1323[[#This Row],[level]])+COUNTIFS(Scenario1[loser2],"navarch",Scenario1[loser2-sw],AvengerEquipScenario1323[[#This Row],[level]])</f>
        <v>3</v>
      </c>
      <c r="U25" s="18">
        <f>COUNTIFS(Scenario1[winner1],"navarch",Scenario1[winner1-cp],AvengerEquipScenario1323[[#This Row],[level]])+COUNTIFS(Scenario1[winner2],"navarch",Scenario1[winner2-cp],AvengerEquipScenario1323[[#This Row],[level]])+COUNTIFS(Scenario1[loser1],"navarch",Scenario1[loser1-cp],AvengerEquipScenario1323[[#This Row],[level]])+COUNTIFS(Scenario1[loser2],"navarch",Scenario1[loser2-cp],AvengerEquipScenario1323[[#This Row],[level]])</f>
        <v>22</v>
      </c>
    </row>
    <row r="26" spans="1:21" x14ac:dyDescent="0.25">
      <c r="L26" s="17" t="s">
        <v>230</v>
      </c>
      <c r="M26">
        <f>COUNTIF(Scenario1[winner1-ability1],AvengerAbilities1Scenario1319[[#This Row],[ability]])+COUNTIF(Scenario1[winner2-ability1],AvengerAbilities1Scenario1319[[#This Row],[ability]])+COUNTIF(Scenario1[loser1-ability1],AvengerAbilities1Scenario1319[[#This Row],[ability]])+COUNTIF(Scenario1[loser2-ability1],AvengerAbilities1Scenario1319[[#This Row],[ability]])</f>
        <v>0</v>
      </c>
      <c r="N26">
        <f>COUNTIF(Scenario1[winner1-ability1],AvengerAbilities1Scenario1319[[#This Row],[ability]])+COUNTIF(Scenario1[winner2-ability1],AvengerAbilities1Scenario1319[[#This Row],[ability]])</f>
        <v>0</v>
      </c>
      <c r="O26" s="3">
        <f>IF(SUM(AvengerAbilities1Scenario1319[[#This Row],[takes]]) &gt; 0,AvengerAbilities1Scenario1319[[#This Row],[takes]]/SUM(AvengerAbilities1Scenario1319[takes]),0)</f>
        <v>0</v>
      </c>
      <c r="P26" s="3">
        <f>IF(AvengerAbilities1Scenario1319[[#This Row],[takes]]&gt;0,AvengerAbilities1Scenario1319[[#This Row],[wins]]/AvengerAbilities1Scenario1319[[#This Row],[takes]],0)</f>
        <v>0</v>
      </c>
      <c r="R26">
        <v>3</v>
      </c>
      <c r="S26">
        <f>COUNTIFS(Scenario1[winner1],"navarch",Scenario1[winner1-pw],AvengerEquipScenario1323[[#This Row],[level]])+COUNTIFS(Scenario1[winner2],"navarch",Scenario1[winner2-pw],AvengerEquipScenario1323[[#This Row],[level]])+COUNTIFS(Scenario1[loser1],"navarch",Scenario1[loser1-pw],AvengerEquipScenario1323[[#This Row],[level]])+COUNTIFS(Scenario1[loser2],"navarch",Scenario1[loser2-pw],AvengerEquipScenario1323[[#This Row],[level]])</f>
        <v>14</v>
      </c>
      <c r="T26">
        <f>COUNTIFS(Scenario1[winner1],"navarch",Scenario1[winner1-sw],AvengerEquipScenario1323[[#This Row],[level]])+COUNTIFS(Scenario1[winner2],"navarch",Scenario1[winner2-sw],AvengerEquipScenario1323[[#This Row],[level]])+COUNTIFS(Scenario1[loser1],"navarch",Scenario1[loser1-sw],AvengerEquipScenario1323[[#This Row],[level]])+COUNTIFS(Scenario1[loser2],"navarch",Scenario1[loser2-sw],AvengerEquipScenario1323[[#This Row],[level]])</f>
        <v>3</v>
      </c>
      <c r="U26" s="18">
        <f>COUNTIFS(Scenario1[winner1],"navarch",Scenario1[winner1-cp],AvengerEquipScenario1323[[#This Row],[level]])+COUNTIFS(Scenario1[winner2],"navarch",Scenario1[winner2-cp],AvengerEquipScenario1323[[#This Row],[level]])+COUNTIFS(Scenario1[loser1],"navarch",Scenario1[loser1-cp],AvengerEquipScenario1323[[#This Row],[level]])+COUNTIFS(Scenario1[loser2],"navarch",Scenario1[loser2-cp],AvengerEquipScenario1323[[#This Row],[level]])</f>
        <v>24</v>
      </c>
    </row>
    <row r="27" spans="1:21" x14ac:dyDescent="0.25">
      <c r="L27" s="17"/>
      <c r="O27" s="3"/>
      <c r="P27" s="3"/>
      <c r="U27" s="18"/>
    </row>
    <row r="28" spans="1:21" x14ac:dyDescent="0.25">
      <c r="L28" s="19" t="s">
        <v>109</v>
      </c>
      <c r="M28" s="8" t="s">
        <v>110</v>
      </c>
      <c r="N28" s="8" t="s">
        <v>79</v>
      </c>
      <c r="O28" s="9" t="s">
        <v>117</v>
      </c>
      <c r="P28" s="9" t="s">
        <v>118</v>
      </c>
      <c r="U28" s="18"/>
    </row>
    <row r="29" spans="1:21" x14ac:dyDescent="0.25">
      <c r="L29" s="20" t="s">
        <v>231</v>
      </c>
      <c r="M29" s="2">
        <f>COUNTIF(Scenario1[winner1-ability2],AvengerAbilities2Scenario1320[[#This Row],[ability]])+COUNTIF(Scenario1[winner2-ability2],AvengerAbilities2Scenario1320[[#This Row],[ability]])+COUNTIF(Scenario1[loser1-ability2],AvengerAbilities2Scenario1320[[#This Row],[ability]])+COUNTIF(Scenario1[loser2-ability2],AvengerAbilities2Scenario1320[[#This Row],[ability]])</f>
        <v>48</v>
      </c>
      <c r="N29" s="2">
        <f>COUNTIF(Scenario1[winner1-ability2],AvengerAbilities2Scenario1320[[#This Row],[ability]])+COUNTIF(Scenario1[winner2-ability2],AvengerAbilities2Scenario1320[[#This Row],[ability]])</f>
        <v>20</v>
      </c>
      <c r="O29" s="12">
        <f>IF(SUM(AvengerAbilities2Scenario1320[[#This Row],[takes]]) &gt; 0,AvengerAbilities2Scenario1320[[#This Row],[takes]]/SUM(AvengerAbilities2Scenario1320[takes]),0)</f>
        <v>0.76190476190476186</v>
      </c>
      <c r="P29" s="12">
        <f>IF(AvengerAbilities2Scenario1320[[#This Row],[takes]]&gt;0,AvengerAbilities2Scenario1320[[#This Row],[wins]]/AvengerAbilities2Scenario1320[[#This Row],[takes]],0)</f>
        <v>0.41666666666666669</v>
      </c>
      <c r="U29" s="18"/>
    </row>
    <row r="30" spans="1:21" x14ac:dyDescent="0.25">
      <c r="L30" s="17" t="s">
        <v>232</v>
      </c>
      <c r="M30" s="2">
        <f>COUNTIF(Scenario1[winner1-ability2],AvengerAbilities2Scenario1320[[#This Row],[ability]])+COUNTIF(Scenario1[winner2-ability2],AvengerAbilities2Scenario1320[[#This Row],[ability]])+COUNTIF(Scenario1[loser1-ability2],AvengerAbilities2Scenario1320[[#This Row],[ability]])+COUNTIF(Scenario1[loser2-ability2],AvengerAbilities2Scenario1320[[#This Row],[ability]])</f>
        <v>3</v>
      </c>
      <c r="N30" s="2">
        <f>COUNTIF(Scenario1[winner1-ability2],AvengerAbilities2Scenario1320[[#This Row],[ability]])+COUNTIF(Scenario1[winner2-ability2],AvengerAbilities2Scenario1320[[#This Row],[ability]])</f>
        <v>1</v>
      </c>
      <c r="O30" s="3">
        <f>IF(SUM(AvengerAbilities2Scenario1320[[#This Row],[takes]]) &gt; 0,AvengerAbilities2Scenario1320[[#This Row],[takes]]/SUM(AvengerAbilities2Scenario1320[takes]),0)</f>
        <v>4.7619047619047616E-2</v>
      </c>
      <c r="P30" s="3">
        <f>IF(AvengerAbilities2Scenario1320[[#This Row],[takes]]&gt;0,AvengerAbilities2Scenario1320[[#This Row],[wins]]/AvengerAbilities2Scenario1320[[#This Row],[takes]],0)</f>
        <v>0.33333333333333331</v>
      </c>
      <c r="U30" s="18"/>
    </row>
    <row r="31" spans="1:21" x14ac:dyDescent="0.25">
      <c r="L31" s="21" t="s">
        <v>233</v>
      </c>
      <c r="M31" s="2">
        <f>COUNTIF(Scenario1[winner1-ability2],AvengerAbilities2Scenario1320[[#This Row],[ability]])+COUNTIF(Scenario1[winner2-ability2],AvengerAbilities2Scenario1320[[#This Row],[ability]])+COUNTIF(Scenario1[loser1-ability2],AvengerAbilities2Scenario1320[[#This Row],[ability]])+COUNTIF(Scenario1[loser2-ability2],AvengerAbilities2Scenario1320[[#This Row],[ability]])</f>
        <v>12</v>
      </c>
      <c r="N31" s="2">
        <f>COUNTIF(Scenario1[winner1-ability2],AvengerAbilities2Scenario1320[[#This Row],[ability]])+COUNTIF(Scenario1[winner2-ability2],AvengerAbilities2Scenario1320[[#This Row],[ability]])</f>
        <v>6</v>
      </c>
      <c r="O31" s="13">
        <f>IF(SUM(AvengerAbilities2Scenario1320[[#This Row],[takes]]) &gt; 0,AvengerAbilities2Scenario1320[[#This Row],[takes]]/SUM(AvengerAbilities2Scenario1320[takes]),0)</f>
        <v>0.19047619047619047</v>
      </c>
      <c r="P31" s="13">
        <f>IF(AvengerAbilities2Scenario1320[[#This Row],[takes]]&gt;0,AvengerAbilities2Scenario1320[[#This Row],[wins]]/AvengerAbilities2Scenario1320[[#This Row],[takes]],0)</f>
        <v>0.5</v>
      </c>
      <c r="U31" s="18"/>
    </row>
    <row r="32" spans="1:21" x14ac:dyDescent="0.25">
      <c r="L32" s="17"/>
      <c r="O32" s="3"/>
      <c r="P32" s="3"/>
      <c r="U32" s="18"/>
    </row>
    <row r="33" spans="12:21" x14ac:dyDescent="0.25">
      <c r="L33" s="19" t="s">
        <v>109</v>
      </c>
      <c r="M33" s="8" t="s">
        <v>110</v>
      </c>
      <c r="N33" s="8" t="s">
        <v>79</v>
      </c>
      <c r="O33" s="9" t="s">
        <v>117</v>
      </c>
      <c r="P33" s="9" t="s">
        <v>118</v>
      </c>
      <c r="U33" s="18"/>
    </row>
    <row r="34" spans="12:21" x14ac:dyDescent="0.25">
      <c r="L34" s="22" t="s">
        <v>234</v>
      </c>
      <c r="M34" s="1">
        <f>COUNTIF(Scenario1[winner1-ability3],AvengerAbilities3Scenario1321[[#This Row],[ability]])+COUNTIF(Scenario1[winner2-ability3],AvengerAbilities3Scenario1321[[#This Row],[ability]])+COUNTIF(Scenario1[loser1-ability3],AvengerAbilities3Scenario1321[[#This Row],[ability]])+COUNTIF(Scenario1[loser2-ability3],AvengerAbilities3Scenario1321[[#This Row],[ability]])</f>
        <v>7</v>
      </c>
      <c r="N34" s="1">
        <f>COUNTIF(Scenario1[winner1-ability3],AvengerAbilities3Scenario1321[[#This Row],[ability]])+COUNTIF(Scenario1[winner2-ability3],AvengerAbilities3Scenario1321[[#This Row],[ability]])</f>
        <v>4</v>
      </c>
      <c r="O34" s="14">
        <f>IF(SUM(AvengerAbilities3Scenario1321[[#This Row],[takes]]) &gt; 0,AvengerAbilities3Scenario1321[[#This Row],[takes]]/SUM(AvengerAbilities3Scenario1321[takes]),0)</f>
        <v>0.2413793103448276</v>
      </c>
      <c r="P34" s="14">
        <f>IF(AvengerAbilities3Scenario1321[[#This Row],[takes]]&gt;0,AvengerAbilities3Scenario1321[[#This Row],[wins]]/AvengerAbilities3Scenario1321[[#This Row],[takes]],0)</f>
        <v>0.5714285714285714</v>
      </c>
      <c r="U34" s="18"/>
    </row>
    <row r="35" spans="12:21" x14ac:dyDescent="0.25">
      <c r="L35" s="20" t="s">
        <v>235</v>
      </c>
      <c r="M35" s="2">
        <f>COUNTIF(Scenario1[winner1-ability3],AvengerAbilities3Scenario1321[[#This Row],[ability]])+COUNTIF(Scenario1[winner2-ability3],AvengerAbilities3Scenario1321[[#This Row],[ability]])+COUNTIF(Scenario1[loser1-ability3],AvengerAbilities3Scenario1321[[#This Row],[ability]])+COUNTIF(Scenario1[loser2-ability3],AvengerAbilities3Scenario1321[[#This Row],[ability]])</f>
        <v>18</v>
      </c>
      <c r="N35" s="2">
        <f>COUNTIF(Scenario1[winner1-ability3],AvengerAbilities3Scenario1321[[#This Row],[ability]])+COUNTIF(Scenario1[winner2-ability3],AvengerAbilities3Scenario1321[[#This Row],[ability]])</f>
        <v>4</v>
      </c>
      <c r="O35" s="12">
        <f>IF(SUM(AvengerAbilities3Scenario1321[[#This Row],[takes]]) &gt; 0,AvengerAbilities3Scenario1321[[#This Row],[takes]]/SUM(AvengerAbilities3Scenario1321[takes]),0)</f>
        <v>0.62068965517241381</v>
      </c>
      <c r="P35" s="12">
        <f>IF(AvengerAbilities3Scenario1321[[#This Row],[takes]]&gt;0,AvengerAbilities3Scenario1321[[#This Row],[wins]]/AvengerAbilities3Scenario1321[[#This Row],[takes]],0)</f>
        <v>0.22222222222222221</v>
      </c>
      <c r="U35" s="18"/>
    </row>
    <row r="36" spans="12:21" x14ac:dyDescent="0.25">
      <c r="L36" s="23" t="s">
        <v>236</v>
      </c>
      <c r="M36" s="1">
        <f>COUNTIF(Scenario1[winner1-ability3],AvengerAbilities3Scenario1321[[#This Row],[ability]])+COUNTIF(Scenario1[winner2-ability3],AvengerAbilities3Scenario1321[[#This Row],[ability]])+COUNTIF(Scenario1[loser1-ability3],AvengerAbilities3Scenario1321[[#This Row],[ability]])+COUNTIF(Scenario1[loser2-ability3],AvengerAbilities3Scenario1321[[#This Row],[ability]])</f>
        <v>4</v>
      </c>
      <c r="N36" s="1">
        <f>COUNTIF(Scenario1[winner1-ability3],AvengerAbilities3Scenario1321[[#This Row],[ability]])+COUNTIF(Scenario1[winner2-ability3],AvengerAbilities3Scenario1321[[#This Row],[ability]])</f>
        <v>2</v>
      </c>
      <c r="O36" s="15">
        <f>IF(SUM(AvengerAbilities3Scenario1321[[#This Row],[takes]]) &gt; 0,AvengerAbilities3Scenario1321[[#This Row],[takes]]/SUM(AvengerAbilities3Scenario1321[takes]),0)</f>
        <v>0.13793103448275862</v>
      </c>
      <c r="P36" s="15">
        <f>IF(AvengerAbilities3Scenario1321[[#This Row],[takes]]&gt;0,AvengerAbilities3Scenario1321[[#This Row],[wins]]/AvengerAbilities3Scenario1321[[#This Row],[takes]],0)</f>
        <v>0.5</v>
      </c>
      <c r="U36" s="18"/>
    </row>
    <row r="37" spans="12:21" x14ac:dyDescent="0.25">
      <c r="L37" s="17"/>
      <c r="O37" s="3"/>
      <c r="P37" s="3"/>
      <c r="U37" s="18"/>
    </row>
    <row r="38" spans="12:21" x14ac:dyDescent="0.25">
      <c r="L38" s="19" t="s">
        <v>109</v>
      </c>
      <c r="M38" s="8" t="s">
        <v>110</v>
      </c>
      <c r="N38" s="8" t="s">
        <v>79</v>
      </c>
      <c r="O38" s="9" t="s">
        <v>117</v>
      </c>
      <c r="P38" s="9" t="s">
        <v>118</v>
      </c>
      <c r="U38" s="18"/>
    </row>
    <row r="39" spans="12:21" x14ac:dyDescent="0.25">
      <c r="L39" s="20" t="s">
        <v>237</v>
      </c>
      <c r="M39" s="2">
        <f>COUNTIF(Scenario1[winner1-ability4],AvengerAbilities4Scenario1322[[#This Row],[ability]])+COUNTIF(Scenario1[winner2-ability4],AvengerAbilities4Scenario1322[[#This Row],[ability]])+COUNTIF(Scenario1[loser1-ability4],AvengerAbilities4Scenario1322[[#This Row],[ability]])+COUNTIF(Scenario1[loser2-ability4],AvengerAbilities4Scenario1322[[#This Row],[ability]])</f>
        <v>4</v>
      </c>
      <c r="N39" s="2">
        <f>COUNTIF(Scenario1[winner1-ability4],AvengerAbilities4Scenario1322[[#This Row],[ability]])+COUNTIF(Scenario1[winner2-ability4],AvengerAbilities4Scenario1322[[#This Row],[ability]])</f>
        <v>2</v>
      </c>
      <c r="O39" s="12">
        <f>IF(SUM(AvengerAbilities4Scenario1322[[#This Row],[takes]]) &gt; 0,AvengerAbilities4Scenario1322[[#This Row],[takes]]/SUM(AvengerAbilities4Scenario1322[takes]),0)</f>
        <v>0.5</v>
      </c>
      <c r="P39" s="12">
        <f>IF(AvengerAbilities4Scenario1322[[#This Row],[takes]]&gt;0,AvengerAbilities4Scenario1322[[#This Row],[wins]]/AvengerAbilities4Scenario1322[[#This Row],[takes]],0)</f>
        <v>0.5</v>
      </c>
      <c r="U39" s="18"/>
    </row>
    <row r="40" spans="12:21" x14ac:dyDescent="0.25">
      <c r="L40" s="20" t="s">
        <v>238</v>
      </c>
      <c r="M40" s="2">
        <f>COUNTIF(Scenario1[winner1-ability4],AvengerAbilities4Scenario1322[[#This Row],[ability]])+COUNTIF(Scenario1[winner2-ability4],AvengerAbilities4Scenario1322[[#This Row],[ability]])+COUNTIF(Scenario1[loser1-ability4],AvengerAbilities4Scenario1322[[#This Row],[ability]])+COUNTIF(Scenario1[loser2-ability4],AvengerAbilities4Scenario1322[[#This Row],[ability]])</f>
        <v>3</v>
      </c>
      <c r="N40" s="2">
        <f>COUNTIF(Scenario1[winner1-ability4],AvengerAbilities4Scenario1322[[#This Row],[ability]])+COUNTIF(Scenario1[winner2-ability4],AvengerAbilities4Scenario1322[[#This Row],[ability]])</f>
        <v>1</v>
      </c>
      <c r="O40" s="12">
        <f>IF(SUM(AvengerAbilities4Scenario1322[[#This Row],[takes]]) &gt; 0,AvengerAbilities4Scenario1322[[#This Row],[takes]]/SUM(AvengerAbilities4Scenario1322[takes]),0)</f>
        <v>0.375</v>
      </c>
      <c r="P40" s="12">
        <f>IF(AvengerAbilities4Scenario1322[[#This Row],[takes]]&gt;0,AvengerAbilities4Scenario1322[[#This Row],[wins]]/AvengerAbilities4Scenario1322[[#This Row],[takes]],0)</f>
        <v>0.33333333333333331</v>
      </c>
      <c r="U40" s="18"/>
    </row>
    <row r="41" spans="12:21" ht="15.75" thickBot="1" x14ac:dyDescent="0.3">
      <c r="L41" s="24" t="s">
        <v>239</v>
      </c>
      <c r="M41" s="25">
        <f>COUNTIF(Scenario1[winner1-ability4],AvengerAbilities4Scenario1322[[#This Row],[ability]])+COUNTIF(Scenario1[winner2-ability4],AvengerAbilities4Scenario1322[[#This Row],[ability]])+COUNTIF(Scenario1[loser1-ability4],AvengerAbilities4Scenario1322[[#This Row],[ability]])+COUNTIF(Scenario1[loser2-ability4],AvengerAbilities4Scenario1322[[#This Row],[ability]])</f>
        <v>1</v>
      </c>
      <c r="N41" s="25">
        <f>COUNTIF(Scenario1[winner1-ability4],AvengerAbilities4Scenario1322[[#This Row],[ability]])+COUNTIF(Scenario1[winner2-ability4],AvengerAbilities4Scenario1322[[#This Row],[ability]])</f>
        <v>1</v>
      </c>
      <c r="O41" s="26">
        <f>IF(SUM(AvengerAbilities4Scenario1322[[#This Row],[takes]]) &gt; 0,AvengerAbilities4Scenario1322[[#This Row],[takes]]/SUM(AvengerAbilities4Scenario1322[takes]),0)</f>
        <v>0.125</v>
      </c>
      <c r="P41" s="26">
        <f>IF(AvengerAbilities4Scenario1322[[#This Row],[takes]]&gt;0,AvengerAbilities4Scenario1322[[#This Row],[wins]]/AvengerAbilities4Scenario1322[[#This Row],[takes]],0)</f>
        <v>1</v>
      </c>
      <c r="Q41" s="27"/>
      <c r="R41" s="27"/>
      <c r="S41" s="27"/>
      <c r="T41" s="27"/>
      <c r="U41" s="28"/>
    </row>
    <row r="42" spans="12:21" ht="15.75" thickBot="1" x14ac:dyDescent="0.3"/>
    <row r="43" spans="12:21" ht="15.75" thickBot="1" x14ac:dyDescent="0.3">
      <c r="L43" s="36" t="s">
        <v>184</v>
      </c>
      <c r="M43" s="37"/>
      <c r="N43" s="37"/>
      <c r="O43" s="37"/>
      <c r="P43" s="37"/>
      <c r="Q43" s="37"/>
      <c r="R43" s="37"/>
      <c r="S43" s="37"/>
      <c r="T43" s="37"/>
      <c r="U43" s="38"/>
    </row>
    <row r="44" spans="12:21" x14ac:dyDescent="0.25">
      <c r="L44" s="17" t="s">
        <v>109</v>
      </c>
      <c r="M44" t="s">
        <v>110</v>
      </c>
      <c r="N44" t="s">
        <v>79</v>
      </c>
      <c r="O44" s="3" t="s">
        <v>117</v>
      </c>
      <c r="P44" s="3" t="s">
        <v>118</v>
      </c>
      <c r="R44" t="s">
        <v>161</v>
      </c>
      <c r="S44" t="s">
        <v>240</v>
      </c>
      <c r="T44" t="s">
        <v>241</v>
      </c>
      <c r="U44" s="18" t="s">
        <v>164</v>
      </c>
    </row>
    <row r="45" spans="12:21" x14ac:dyDescent="0.25">
      <c r="L45" s="17" t="s">
        <v>228</v>
      </c>
      <c r="M45">
        <f>COUNTIF(Scenario2[winner1-ability1],AvengerAbilities1Scenario2324[[#This Row],[ability]])+COUNTIF(Scenario2[loser1-ability1],AvengerAbilities1Scenario2324[[#This Row],[ability]])</f>
        <v>6</v>
      </c>
      <c r="N45">
        <f>COUNTIF(Scenario2[winner1-ability1],AvengerAbilities1Scenario2324[[#This Row],[ability]])</f>
        <v>4</v>
      </c>
      <c r="O45" s="3">
        <f>IF(SUM(AvengerAbilities1Scenario2324[[#This Row],[takes]]) &gt; 0,AvengerAbilities1Scenario2324[[#This Row],[takes]]/SUM(AvengerAbilities1Scenario2324[takes]),0)</f>
        <v>0.375</v>
      </c>
      <c r="P45" s="3">
        <f>IF(AvengerAbilities1Scenario2324[[#This Row],[takes]]&gt;0,AvengerAbilities1Scenario2324[[#This Row],[wins]]/AvengerAbilities1Scenario2324[[#This Row],[takes]],0)</f>
        <v>0.66666666666666663</v>
      </c>
      <c r="R45">
        <v>1</v>
      </c>
      <c r="S45">
        <f>COUNTIFS(Scenario2[winner1],"navarch",Scenario2[winner1-pw],AvengerEquipScenario2328[[#This Row],[level]])+COUNTIFS(Scenario2[loser1],"navarch",Scenario2[loser1-pw],AvengerEquipScenario2328[[#This Row],[level]])</f>
        <v>7</v>
      </c>
      <c r="T45">
        <f>COUNTIFS(Scenario2[winner1],"navarch",Scenario2[winner1-sw],AvengerEquipScenario2328[[#This Row],[level]])+COUNTIFS(Scenario2[loser1],"navarch",Scenario2[loser1-sw],AvengerEquipScenario2328[[#This Row],[level]])</f>
        <v>9</v>
      </c>
      <c r="U45" s="18">
        <f>COUNTIFS(Scenario2[winner1],"navarch",Scenario2[winner1-cp],AvengerEquipScenario2328[[#This Row],[level]])+COUNTIFS(Scenario2[loser1],"navarch",Scenario2[loser1-cp],AvengerEquipScenario2328[[#This Row],[level]])</f>
        <v>2</v>
      </c>
    </row>
    <row r="46" spans="12:21" x14ac:dyDescent="0.25">
      <c r="L46" s="17" t="s">
        <v>229</v>
      </c>
      <c r="M46">
        <f>COUNTIF(Scenario2[winner1-ability1],AvengerAbilities1Scenario2324[[#This Row],[ability]])+COUNTIF(Scenario2[loser1-ability1],AvengerAbilities1Scenario2324[[#This Row],[ability]])</f>
        <v>10</v>
      </c>
      <c r="N46">
        <f>COUNTIF(Scenario2[winner1-ability1],AvengerAbilities1Scenario2324[[#This Row],[ability]])</f>
        <v>2</v>
      </c>
      <c r="O46" s="3">
        <f>IF(SUM(AvengerAbilities1Scenario2324[[#This Row],[takes]]) &gt; 0,AvengerAbilities1Scenario2324[[#This Row],[takes]]/SUM(AvengerAbilities1Scenario2324[takes]),0)</f>
        <v>0.625</v>
      </c>
      <c r="P46" s="3">
        <f>IF(AvengerAbilities1Scenario2324[[#This Row],[takes]]&gt;0,AvengerAbilities1Scenario2324[[#This Row],[wins]]/AvengerAbilities1Scenario2324[[#This Row],[takes]],0)</f>
        <v>0.2</v>
      </c>
      <c r="R46">
        <v>2</v>
      </c>
      <c r="S46">
        <f>COUNTIFS(Scenario2[winner1],"navarch",Scenario2[winner1-pw],AvengerEquipScenario2328[[#This Row],[level]])+COUNTIFS(Scenario2[loser1],"navarch",Scenario2[loser1-pw],AvengerEquipScenario2328[[#This Row],[level]])</f>
        <v>4</v>
      </c>
      <c r="T46">
        <f>COUNTIFS(Scenario2[winner1],"navarch",Scenario2[winner1-sw],AvengerEquipScenario2328[[#This Row],[level]])+COUNTIFS(Scenario2[loser1],"navarch",Scenario2[loser1-sw],AvengerEquipScenario2328[[#This Row],[level]])</f>
        <v>3</v>
      </c>
      <c r="U46" s="18">
        <f>COUNTIFS(Scenario2[winner1],"navarch",Scenario2[winner1-cp],AvengerEquipScenario2328[[#This Row],[level]])+COUNTIFS(Scenario2[loser1],"navarch",Scenario2[loser1-cp],AvengerEquipScenario2328[[#This Row],[level]])</f>
        <v>1</v>
      </c>
    </row>
    <row r="47" spans="12:21" x14ac:dyDescent="0.25">
      <c r="L47" s="17" t="s">
        <v>230</v>
      </c>
      <c r="M47">
        <f>COUNTIF(Scenario2[winner1-ability1],AvengerAbilities1Scenario2324[[#This Row],[ability]])+COUNTIF(Scenario2[loser1-ability1],AvengerAbilities1Scenario2324[[#This Row],[ability]])</f>
        <v>0</v>
      </c>
      <c r="N47">
        <f>COUNTIF(Scenario2[winner1-ability1],AvengerAbilities1Scenario2324[[#This Row],[ability]])</f>
        <v>0</v>
      </c>
      <c r="O47" s="3">
        <f>IF(SUM(AvengerAbilities1Scenario2324[[#This Row],[takes]]) &gt; 0,AvengerAbilities1Scenario2324[[#This Row],[takes]]/SUM(AvengerAbilities1Scenario2324[takes]),0)</f>
        <v>0</v>
      </c>
      <c r="P47" s="3">
        <f>IF(AvengerAbilities1Scenario2324[[#This Row],[takes]]&gt;0,AvengerAbilities1Scenario2324[[#This Row],[wins]]/AvengerAbilities1Scenario2324[[#This Row],[takes]],0)</f>
        <v>0</v>
      </c>
      <c r="R47">
        <v>3</v>
      </c>
      <c r="S47">
        <f>COUNTIFS(Scenario2[winner1],"navarch",Scenario2[winner1-pw],AvengerEquipScenario2328[[#This Row],[level]])+COUNTIFS(Scenario2[loser1],"navarch",Scenario2[loser1-pw],AvengerEquipScenario2328[[#This Row],[level]])</f>
        <v>5</v>
      </c>
      <c r="T47">
        <f>COUNTIFS(Scenario2[winner1],"navarch",Scenario2[winner1-sw],AvengerEquipScenario2328[[#This Row],[level]])+COUNTIFS(Scenario2[loser1],"navarch",Scenario2[loser1-sw],AvengerEquipScenario2328[[#This Row],[level]])</f>
        <v>4</v>
      </c>
      <c r="U47" s="18">
        <f>COUNTIFS(Scenario2[winner1],"navarch",Scenario2[winner1-cp],AvengerEquipScenario2328[[#This Row],[level]])+COUNTIFS(Scenario2[loser1],"navarch",Scenario2[loser1-cp],AvengerEquipScenario2328[[#This Row],[level]])</f>
        <v>13</v>
      </c>
    </row>
    <row r="48" spans="12:21" x14ac:dyDescent="0.25">
      <c r="L48" s="17"/>
      <c r="O48" s="3"/>
      <c r="P48" s="3"/>
      <c r="U48" s="18"/>
    </row>
    <row r="49" spans="12:21" x14ac:dyDescent="0.25">
      <c r="L49" s="19" t="s">
        <v>109</v>
      </c>
      <c r="M49" s="8" t="s">
        <v>110</v>
      </c>
      <c r="N49" s="8" t="s">
        <v>79</v>
      </c>
      <c r="O49" s="9" t="s">
        <v>117</v>
      </c>
      <c r="P49" s="9" t="s">
        <v>118</v>
      </c>
      <c r="U49" s="18"/>
    </row>
    <row r="50" spans="12:21" x14ac:dyDescent="0.25">
      <c r="L50" s="20" t="s">
        <v>231</v>
      </c>
      <c r="M50" s="2">
        <f>COUNTIF(Scenario2[winner1-ability2],AvengerAbilities2Scenario2325[[#This Row],[ability]])+COUNTIF(Scenario2[loser1-ability2],AvengerAbilities2Scenario2325[[#This Row],[ability]])</f>
        <v>9</v>
      </c>
      <c r="N50" s="2">
        <f>COUNTIF(Scenario2[winner1-ability2],AvengerAbilities2Scenario2325[[#This Row],[ability]])</f>
        <v>4</v>
      </c>
      <c r="O50" s="12">
        <f>IF(SUM(AvengerAbilities2Scenario2325[[#This Row],[takes]]) &gt; 0,AvengerAbilities2Scenario2325[[#This Row],[takes]]/SUM(AvengerAbilities2Scenario2325[takes]),0)</f>
        <v>0.6428571428571429</v>
      </c>
      <c r="P50" s="12">
        <f>IF(AvengerAbilities2Scenario2325[[#This Row],[takes]]&gt;0,AvengerAbilities2Scenario2325[[#This Row],[wins]]/AvengerAbilities2Scenario2325[[#This Row],[takes]],0)</f>
        <v>0.44444444444444442</v>
      </c>
      <c r="U50" s="18"/>
    </row>
    <row r="51" spans="12:21" x14ac:dyDescent="0.25">
      <c r="L51" s="17" t="s">
        <v>232</v>
      </c>
      <c r="M51" s="2">
        <f>COUNTIF(Scenario2[winner1-ability2],AvengerAbilities2Scenario2325[[#This Row],[ability]])+COUNTIF(Scenario2[loser1-ability2],AvengerAbilities2Scenario2325[[#This Row],[ability]])</f>
        <v>0</v>
      </c>
      <c r="N51" s="2">
        <f>COUNTIF(Scenario2[winner1-ability2],AvengerAbilities2Scenario2325[[#This Row],[ability]])</f>
        <v>0</v>
      </c>
      <c r="O51" s="3">
        <f>IF(SUM(AvengerAbilities2Scenario2325[[#This Row],[takes]]) &gt; 0,AvengerAbilities2Scenario2325[[#This Row],[takes]]/SUM(AvengerAbilities2Scenario2325[takes]),0)</f>
        <v>0</v>
      </c>
      <c r="P51" s="3">
        <f>IF(AvengerAbilities2Scenario2325[[#This Row],[takes]]&gt;0,AvengerAbilities2Scenario2325[[#This Row],[wins]]/AvengerAbilities2Scenario2325[[#This Row],[takes]],0)</f>
        <v>0</v>
      </c>
      <c r="U51" s="18"/>
    </row>
    <row r="52" spans="12:21" x14ac:dyDescent="0.25">
      <c r="L52" s="21" t="s">
        <v>233</v>
      </c>
      <c r="M52" s="2">
        <f>COUNTIF(Scenario2[winner1-ability2],AvengerAbilities2Scenario2325[[#This Row],[ability]])+COUNTIF(Scenario2[loser1-ability2],AvengerAbilities2Scenario2325[[#This Row],[ability]])</f>
        <v>5</v>
      </c>
      <c r="N52" s="2">
        <f>COUNTIF(Scenario2[winner1-ability2],AvengerAbilities2Scenario2325[[#This Row],[ability]])</f>
        <v>2</v>
      </c>
      <c r="O52" s="13">
        <f>IF(SUM(AvengerAbilities2Scenario2325[[#This Row],[takes]]) &gt; 0,AvengerAbilities2Scenario2325[[#This Row],[takes]]/SUM(AvengerAbilities2Scenario2325[takes]),0)</f>
        <v>0.35714285714285715</v>
      </c>
      <c r="P52" s="13">
        <f>IF(AvengerAbilities2Scenario2325[[#This Row],[takes]]&gt;0,AvengerAbilities2Scenario2325[[#This Row],[wins]]/AvengerAbilities2Scenario2325[[#This Row],[takes]],0)</f>
        <v>0.4</v>
      </c>
      <c r="U52" s="18"/>
    </row>
    <row r="53" spans="12:21" x14ac:dyDescent="0.25">
      <c r="L53" s="17"/>
      <c r="O53" s="3"/>
      <c r="P53" s="3"/>
      <c r="U53" s="18"/>
    </row>
    <row r="54" spans="12:21" x14ac:dyDescent="0.25">
      <c r="L54" s="19" t="s">
        <v>109</v>
      </c>
      <c r="M54" s="8" t="s">
        <v>110</v>
      </c>
      <c r="N54" s="8" t="s">
        <v>79</v>
      </c>
      <c r="O54" s="9" t="s">
        <v>117</v>
      </c>
      <c r="P54" s="9" t="s">
        <v>118</v>
      </c>
      <c r="U54" s="18"/>
    </row>
    <row r="55" spans="12:21" x14ac:dyDescent="0.25">
      <c r="L55" s="22" t="s">
        <v>234</v>
      </c>
      <c r="M55" s="1">
        <f>COUNTIF(Scenario2[winner1-ability3],AvengerAbilities3Scenario2326[[#This Row],[ability]])+COUNTIF(Scenario2[loser1-ability3],AvengerAbilities3Scenario2326[[#This Row],[ability]])</f>
        <v>2</v>
      </c>
      <c r="N55" s="1">
        <f>COUNTIF(Scenario2[winner1-ability3],AvengerAbilities3Scenario2326[[#This Row],[ability]])</f>
        <v>2</v>
      </c>
      <c r="O55" s="14">
        <f>IF(SUM(AvengerAbilities3Scenario2326[[#This Row],[takes]]) &gt; 0,AvengerAbilities3Scenario2326[[#This Row],[takes]]/SUM(AvengerAbilities3Scenario2326[takes]),0)</f>
        <v>0.22222222222222221</v>
      </c>
      <c r="P55" s="14">
        <f>IF(AvengerAbilities3Scenario2326[[#This Row],[takes]]&gt;0,AvengerAbilities3Scenario2326[[#This Row],[wins]]/AvengerAbilities3Scenario2326[[#This Row],[takes]],0)</f>
        <v>1</v>
      </c>
      <c r="U55" s="18"/>
    </row>
    <row r="56" spans="12:21" x14ac:dyDescent="0.25">
      <c r="L56" s="20" t="s">
        <v>235</v>
      </c>
      <c r="M56" s="2">
        <f>COUNTIF(Scenario2[winner1-ability3],AvengerAbilities3Scenario2326[[#This Row],[ability]])+COUNTIF(Scenario2[loser1-ability3],AvengerAbilities3Scenario2326[[#This Row],[ability]])</f>
        <v>5</v>
      </c>
      <c r="N56" s="2">
        <f>COUNTIF(Scenario2[winner1-ability3],AvengerAbilities3Scenario2326[[#This Row],[ability]])</f>
        <v>0</v>
      </c>
      <c r="O56" s="12">
        <f>IF(SUM(AvengerAbilities3Scenario2326[[#This Row],[takes]]) &gt; 0,AvengerAbilities3Scenario2326[[#This Row],[takes]]/SUM(AvengerAbilities3Scenario2326[takes]),0)</f>
        <v>0.55555555555555558</v>
      </c>
      <c r="P56" s="12">
        <f>IF(AvengerAbilities3Scenario2326[[#This Row],[takes]]&gt;0,AvengerAbilities3Scenario2326[[#This Row],[wins]]/AvengerAbilities3Scenario2326[[#This Row],[takes]],0)</f>
        <v>0</v>
      </c>
      <c r="U56" s="18"/>
    </row>
    <row r="57" spans="12:21" x14ac:dyDescent="0.25">
      <c r="L57" s="23" t="s">
        <v>236</v>
      </c>
      <c r="M57" s="1">
        <f>COUNTIF(Scenario2[winner1-ability3],AvengerAbilities3Scenario2326[[#This Row],[ability]])+COUNTIF(Scenario2[loser1-ability3],AvengerAbilities3Scenario2326[[#This Row],[ability]])</f>
        <v>2</v>
      </c>
      <c r="N57" s="1">
        <f>COUNTIF(Scenario2[winner1-ability3],AvengerAbilities3Scenario2326[[#This Row],[ability]])</f>
        <v>2</v>
      </c>
      <c r="O57" s="15">
        <f>IF(SUM(AvengerAbilities3Scenario2326[[#This Row],[takes]]) &gt; 0,AvengerAbilities3Scenario2326[[#This Row],[takes]]/SUM(AvengerAbilities3Scenario2326[takes]),0)</f>
        <v>0.22222222222222221</v>
      </c>
      <c r="P57" s="15">
        <f>IF(AvengerAbilities3Scenario2326[[#This Row],[takes]]&gt;0,AvengerAbilities3Scenario2326[[#This Row],[wins]]/AvengerAbilities3Scenario2326[[#This Row],[takes]],0)</f>
        <v>1</v>
      </c>
      <c r="U57" s="18"/>
    </row>
    <row r="58" spans="12:21" x14ac:dyDescent="0.25">
      <c r="L58" s="17"/>
      <c r="O58" s="3"/>
      <c r="P58" s="3"/>
      <c r="U58" s="18"/>
    </row>
    <row r="59" spans="12:21" x14ac:dyDescent="0.25">
      <c r="L59" s="19" t="s">
        <v>109</v>
      </c>
      <c r="M59" s="8" t="s">
        <v>110</v>
      </c>
      <c r="N59" s="8" t="s">
        <v>79</v>
      </c>
      <c r="O59" s="9" t="s">
        <v>117</v>
      </c>
      <c r="P59" s="9" t="s">
        <v>118</v>
      </c>
      <c r="U59" s="18"/>
    </row>
    <row r="60" spans="12:21" x14ac:dyDescent="0.25">
      <c r="L60" s="20" t="s">
        <v>237</v>
      </c>
      <c r="M60" s="2">
        <f>COUNTIF(Scenario2[winner1-ability4],AvengerAbilities4Scenario2327[[#This Row],[ability]])+COUNTIF(Scenario2[loser1-ability4],AvengerAbilities4Scenario2327[[#This Row],[ability]])</f>
        <v>0</v>
      </c>
      <c r="N60" s="2">
        <f>COUNTIF(Scenario2[winner1-ability4],AvengerAbilities4Scenario2327[[#This Row],[ability]])</f>
        <v>0</v>
      </c>
      <c r="O60" s="12">
        <f>IF(SUM(AvengerAbilities4Scenario2327[[#This Row],[takes]]) &gt; 0,AvengerAbilities4Scenario2327[[#This Row],[takes]]/SUM(AvengerAbilities4Scenario2327[takes]),0)</f>
        <v>0</v>
      </c>
      <c r="P60" s="12">
        <f>IF(AvengerAbilities4Scenario2327[[#This Row],[takes]]&gt;0,AvengerAbilities4Scenario2327[[#This Row],[wins]]/AvengerAbilities4Scenario2327[[#This Row],[takes]],0)</f>
        <v>0</v>
      </c>
      <c r="U60" s="18"/>
    </row>
    <row r="61" spans="12:21" x14ac:dyDescent="0.25">
      <c r="L61" s="20" t="s">
        <v>238</v>
      </c>
      <c r="M61" s="2">
        <f>COUNTIF(Scenario2[winner1-ability4],AvengerAbilities4Scenario2327[[#This Row],[ability]])+COUNTIF(Scenario2[loser1-ability4],AvengerAbilities4Scenario2327[[#This Row],[ability]])</f>
        <v>3</v>
      </c>
      <c r="N61" s="2">
        <f>COUNTIF(Scenario2[winner1-ability4],AvengerAbilities4Scenario2327[[#This Row],[ability]])</f>
        <v>0</v>
      </c>
      <c r="O61" s="12">
        <f>IF(SUM(AvengerAbilities4Scenario2327[[#This Row],[takes]]) &gt; 0,AvengerAbilities4Scenario2327[[#This Row],[takes]]/SUM(AvengerAbilities4Scenario2327[takes]),0)</f>
        <v>0.6</v>
      </c>
      <c r="P61" s="12">
        <f>IF(AvengerAbilities4Scenario2327[[#This Row],[takes]]&gt;0,AvengerAbilities4Scenario2327[[#This Row],[wins]]/AvengerAbilities4Scenario2327[[#This Row],[takes]],0)</f>
        <v>0</v>
      </c>
      <c r="U61" s="18"/>
    </row>
    <row r="62" spans="12:21" ht="15.75" thickBot="1" x14ac:dyDescent="0.3">
      <c r="L62" s="24" t="s">
        <v>239</v>
      </c>
      <c r="M62" s="25">
        <f>COUNTIF(Scenario2[winner1-ability4],AvengerAbilities4Scenario2327[[#This Row],[ability]])+COUNTIF(Scenario2[loser1-ability4],AvengerAbilities4Scenario2327[[#This Row],[ability]])</f>
        <v>2</v>
      </c>
      <c r="N62" s="25">
        <f>COUNTIF(Scenario2[winner1-ability4],AvengerAbilities4Scenario2327[[#This Row],[ability]])</f>
        <v>2</v>
      </c>
      <c r="O62" s="26">
        <f>IF(SUM(AvengerAbilities4Scenario2327[[#This Row],[takes]]) &gt; 0,AvengerAbilities4Scenario2327[[#This Row],[takes]]/SUM(AvengerAbilities4Scenario2327[takes]),0)</f>
        <v>0.4</v>
      </c>
      <c r="P62" s="26">
        <f>IF(AvengerAbilities4Scenario2327[[#This Row],[takes]]&gt;0,AvengerAbilities4Scenario2327[[#This Row],[wins]]/AvengerAbilities4Scenario2327[[#This Row],[takes]],0)</f>
        <v>1</v>
      </c>
      <c r="Q62" s="27"/>
      <c r="R62" s="27"/>
      <c r="S62" s="27"/>
      <c r="T62" s="27"/>
      <c r="U62" s="28"/>
    </row>
    <row r="63" spans="12:21" ht="15.75" thickBot="1" x14ac:dyDescent="0.3"/>
    <row r="64" spans="12:21" ht="15.75" thickBot="1" x14ac:dyDescent="0.3">
      <c r="L64" s="36" t="s">
        <v>209</v>
      </c>
      <c r="M64" s="37"/>
      <c r="N64" s="37"/>
      <c r="O64" s="37"/>
      <c r="P64" s="37"/>
      <c r="Q64" s="37"/>
      <c r="R64" s="37"/>
      <c r="S64" s="37"/>
      <c r="T64" s="37"/>
      <c r="U64" s="38"/>
    </row>
    <row r="65" spans="12:21" x14ac:dyDescent="0.25">
      <c r="L65" s="17" t="s">
        <v>109</v>
      </c>
      <c r="M65" t="s">
        <v>110</v>
      </c>
      <c r="N65" t="s">
        <v>79</v>
      </c>
      <c r="O65" s="3" t="s">
        <v>117</v>
      </c>
      <c r="P65" s="3" t="s">
        <v>118</v>
      </c>
      <c r="R65" t="s">
        <v>161</v>
      </c>
      <c r="S65" t="s">
        <v>240</v>
      </c>
      <c r="T65" t="s">
        <v>241</v>
      </c>
      <c r="U65" s="18" t="s">
        <v>164</v>
      </c>
    </row>
    <row r="66" spans="12:21" x14ac:dyDescent="0.25">
      <c r="L66" s="17" t="s">
        <v>228</v>
      </c>
      <c r="M66">
        <f>COUNTIF(Scenario3[winner1-ability1],AvengerAbilities1Scenario3330[[#This Row],[ability]])+COUNTIF(Scenario3[loser1-ability1],AvengerAbilities1Scenario3330[[#This Row],[ability]])+COUNTIF(Scenario3[loser2-ability1],AvengerAbilities1Scenario3330[[#This Row],[ability]])</f>
        <v>12</v>
      </c>
      <c r="N66">
        <f>COUNTIF(Scenario3[winner1-ability1],AvengerAbilities1Scenario3330[[#This Row],[ability]])</f>
        <v>6</v>
      </c>
      <c r="O66" s="3">
        <f>IF(SUM(AvengerAbilities1Scenario3330[[#This Row],[takes]]) &gt; 0,AvengerAbilities1Scenario3330[[#This Row],[takes]]/SUM(AvengerAbilities1Scenario3330[takes]),0)</f>
        <v>0.42857142857142855</v>
      </c>
      <c r="P66" s="3">
        <f>IF(AvengerAbilities1Scenario3330[[#This Row],[takes]]&gt;0,AvengerAbilities1Scenario3330[[#This Row],[wins]]/AvengerAbilities1Scenario3330[[#This Row],[takes]],0)</f>
        <v>0.5</v>
      </c>
      <c r="R66">
        <v>1</v>
      </c>
      <c r="S66">
        <f>COUNTIFS(Scenario3[winner1],"navarch",Scenario3[winner1-pw],AvengerEquipScenario3334[[#This Row],[level]])+COUNTIFS(Scenario3[loser1],"navarch",Scenario3[loser1-pw],AvengerEquipScenario3334[[#This Row],[level]])+COUNTIFS(Scenario3[loser2],"navarch",Scenario3[loser2-pw],AvengerEquipScenario3334[[#This Row],[level]])</f>
        <v>7</v>
      </c>
      <c r="T66">
        <f>COUNTIFS(Scenario3[winner1],"navarch",Scenario3[winner1-sw],AvengerEquipScenario3334[[#This Row],[level]])+COUNTIFS(Scenario3[loser1],"navarch",Scenario3[loser1-sw],AvengerEquipScenario3334[[#This Row],[level]])+COUNTIFS(Scenario3[loser2],"navarch",Scenario3[loser2-sw],AvengerEquipScenario3334[[#This Row],[level]])</f>
        <v>6</v>
      </c>
      <c r="U66" s="18">
        <f>COUNTIFS(Scenario3[winner1],"navarch",Scenario3[winner1-cp],AvengerEquipScenario3334[[#This Row],[level]])+COUNTIFS(Scenario3[loser1],"navarch",Scenario3[loser1-cp],AvengerEquipScenario3334[[#This Row],[level]])+COUNTIFS(Scenario3[loser2],"navarch",Scenario3[loser2-cp],AvengerEquipScenario3334[[#This Row],[level]])</f>
        <v>0</v>
      </c>
    </row>
    <row r="67" spans="12:21" x14ac:dyDescent="0.25">
      <c r="L67" s="17" t="s">
        <v>229</v>
      </c>
      <c r="M67">
        <f>COUNTIF(Scenario3[winner1-ability1],AvengerAbilities1Scenario3330[[#This Row],[ability]])+COUNTIF(Scenario3[loser1-ability1],AvengerAbilities1Scenario3330[[#This Row],[ability]])+COUNTIF(Scenario3[loser2-ability1],AvengerAbilities1Scenario3330[[#This Row],[ability]])</f>
        <v>16</v>
      </c>
      <c r="N67">
        <f>COUNTIF(Scenario3[winner1-ability1],AvengerAbilities1Scenario3330[[#This Row],[ability]])</f>
        <v>3</v>
      </c>
      <c r="O67" s="3">
        <f>IF(SUM(AvengerAbilities1Scenario3330[[#This Row],[takes]]) &gt; 0,AvengerAbilities1Scenario3330[[#This Row],[takes]]/SUM(AvengerAbilities1Scenario3330[takes]),0)</f>
        <v>0.5714285714285714</v>
      </c>
      <c r="P67" s="3">
        <f>IF(AvengerAbilities1Scenario3330[[#This Row],[takes]]&gt;0,AvengerAbilities1Scenario3330[[#This Row],[wins]]/AvengerAbilities1Scenario3330[[#This Row],[takes]],0)</f>
        <v>0.1875</v>
      </c>
      <c r="R67">
        <v>2</v>
      </c>
      <c r="S67">
        <f>COUNTIFS(Scenario3[winner1],"navarch",Scenario3[winner1-pw],AvengerEquipScenario3334[[#This Row],[level]])+COUNTIFS(Scenario3[loser1],"navarch",Scenario3[loser1-pw],AvengerEquipScenario3334[[#This Row],[level]])+COUNTIFS(Scenario3[loser2],"navarch",Scenario3[loser2-pw],AvengerEquipScenario3334[[#This Row],[level]])</f>
        <v>7</v>
      </c>
      <c r="T67">
        <f>COUNTIFS(Scenario3[winner1],"navarch",Scenario3[winner1-sw],AvengerEquipScenario3334[[#This Row],[level]])+COUNTIFS(Scenario3[loser1],"navarch",Scenario3[loser1-sw],AvengerEquipScenario3334[[#This Row],[level]])+COUNTIFS(Scenario3[loser2],"navarch",Scenario3[loser2-sw],AvengerEquipScenario3334[[#This Row],[level]])</f>
        <v>0</v>
      </c>
      <c r="U67" s="18">
        <f>COUNTIFS(Scenario3[winner1],"navarch",Scenario3[winner1-cp],AvengerEquipScenario3334[[#This Row],[level]])+COUNTIFS(Scenario3[loser1],"navarch",Scenario3[loser1-cp],AvengerEquipScenario3334[[#This Row],[level]])+COUNTIFS(Scenario3[loser2],"navarch",Scenario3[loser2-cp],AvengerEquipScenario3334[[#This Row],[level]])</f>
        <v>3</v>
      </c>
    </row>
    <row r="68" spans="12:21" x14ac:dyDescent="0.25">
      <c r="L68" s="17" t="s">
        <v>230</v>
      </c>
      <c r="M68">
        <f>COUNTIF(Scenario3[winner1-ability1],AvengerAbilities1Scenario3330[[#This Row],[ability]])+COUNTIF(Scenario3[loser1-ability1],AvengerAbilities1Scenario3330[[#This Row],[ability]])+COUNTIF(Scenario3[loser2-ability1],AvengerAbilities1Scenario3330[[#This Row],[ability]])</f>
        <v>0</v>
      </c>
      <c r="N68">
        <f>COUNTIF(Scenario3[winner1-ability1],AvengerAbilities1Scenario3330[[#This Row],[ability]])</f>
        <v>0</v>
      </c>
      <c r="O68" s="3">
        <f>IF(SUM(AvengerAbilities1Scenario3330[[#This Row],[takes]]) &gt; 0,AvengerAbilities1Scenario3330[[#This Row],[takes]]/SUM(AvengerAbilities1Scenario3330[takes]),0)</f>
        <v>0</v>
      </c>
      <c r="P68" s="3">
        <f>IF(AvengerAbilities1Scenario3330[[#This Row],[takes]]&gt;0,AvengerAbilities1Scenario3330[[#This Row],[wins]]/AvengerAbilities1Scenario3330[[#This Row],[takes]],0)</f>
        <v>0</v>
      </c>
      <c r="R68">
        <v>3</v>
      </c>
      <c r="S68">
        <f>COUNTIFS(Scenario3[winner1],"navarch",Scenario3[winner1-pw],AvengerEquipScenario3334[[#This Row],[level]])+COUNTIFS(Scenario3[loser1],"navarch",Scenario3[loser1-pw],AvengerEquipScenario3334[[#This Row],[level]])+COUNTIFS(Scenario3[loser2],"navarch",Scenario3[loser2-pw],AvengerEquipScenario3334[[#This Row],[level]])</f>
        <v>14</v>
      </c>
      <c r="T68">
        <f>COUNTIFS(Scenario3[winner1],"navarch",Scenario3[winner1-sw],AvengerEquipScenario3334[[#This Row],[level]])+COUNTIFS(Scenario3[loser1],"navarch",Scenario3[loser1-sw],AvengerEquipScenario3334[[#This Row],[level]])+COUNTIFS(Scenario3[loser2],"navarch",Scenario3[loser2-sw],AvengerEquipScenario3334[[#This Row],[level]])</f>
        <v>22</v>
      </c>
      <c r="U68" s="18">
        <f>COUNTIFS(Scenario3[winner1],"navarch",Scenario3[winner1-cp],AvengerEquipScenario3334[[#This Row],[level]])+COUNTIFS(Scenario3[loser1],"navarch",Scenario3[loser1-cp],AvengerEquipScenario3334[[#This Row],[level]])+COUNTIFS(Scenario3[loser2],"navarch",Scenario3[loser2-cp],AvengerEquipScenario3334[[#This Row],[level]])</f>
        <v>25</v>
      </c>
    </row>
    <row r="69" spans="12:21" x14ac:dyDescent="0.25">
      <c r="L69" s="17"/>
      <c r="O69" s="3"/>
      <c r="P69" s="3"/>
      <c r="U69" s="18"/>
    </row>
    <row r="70" spans="12:21" x14ac:dyDescent="0.25">
      <c r="L70" s="19" t="s">
        <v>109</v>
      </c>
      <c r="M70" s="8" t="s">
        <v>110</v>
      </c>
      <c r="N70" s="8" t="s">
        <v>79</v>
      </c>
      <c r="O70" s="9" t="s">
        <v>117</v>
      </c>
      <c r="P70" s="9" t="s">
        <v>118</v>
      </c>
      <c r="U70" s="18"/>
    </row>
    <row r="71" spans="12:21" x14ac:dyDescent="0.25">
      <c r="L71" s="20" t="s">
        <v>231</v>
      </c>
      <c r="M71" s="2">
        <f>COUNTIF(Scenario3[winner1-ability2],AvengerAbilities2Scenario3331[[#This Row],[ability]])+COUNTIF(Scenario3[loser1-ability2],AvengerAbilities2Scenario3331[[#This Row],[ability]])+COUNTIF(Scenario3[loser2-ability2],AvengerAbilities2Scenario3331[[#This Row],[ability]])</f>
        <v>17</v>
      </c>
      <c r="N71" s="2">
        <f>COUNTIF(Scenario3[winner1-ability2],AvengerAbilities2Scenario3331[[#This Row],[ability]])</f>
        <v>6</v>
      </c>
      <c r="O71" s="12">
        <f>IF(SUM(AvengerAbilities2Scenario3331[[#This Row],[takes]]) &gt; 0,AvengerAbilities2Scenario3331[[#This Row],[takes]]/SUM(AvengerAbilities2Scenario3331[takes]),0)</f>
        <v>0.68</v>
      </c>
      <c r="P71" s="12">
        <f>IF(AvengerAbilities2Scenario3331[[#This Row],[takes]]&gt;0,AvengerAbilities2Scenario3331[[#This Row],[wins]]/AvengerAbilities2Scenario3331[[#This Row],[takes]],0)</f>
        <v>0.35294117647058826</v>
      </c>
      <c r="U71" s="18"/>
    </row>
    <row r="72" spans="12:21" x14ac:dyDescent="0.25">
      <c r="L72" s="17" t="s">
        <v>232</v>
      </c>
      <c r="M72" s="2">
        <f>COUNTIF(Scenario3[winner1-ability2],AvengerAbilities2Scenario3331[[#This Row],[ability]])+COUNTIF(Scenario3[loser1-ability2],AvengerAbilities2Scenario3331[[#This Row],[ability]])+COUNTIF(Scenario3[loser2-ability2],AvengerAbilities2Scenario3331[[#This Row],[ability]])</f>
        <v>3</v>
      </c>
      <c r="N72" s="2">
        <f>COUNTIF(Scenario3[winner1-ability2],AvengerAbilities2Scenario3331[[#This Row],[ability]])</f>
        <v>0</v>
      </c>
      <c r="O72" s="3">
        <f>IF(SUM(AvengerAbilities2Scenario3331[[#This Row],[takes]]) &gt; 0,AvengerAbilities2Scenario3331[[#This Row],[takes]]/SUM(AvengerAbilities2Scenario3331[takes]),0)</f>
        <v>0.12</v>
      </c>
      <c r="P72" s="3">
        <f>IF(AvengerAbilities2Scenario3331[[#This Row],[takes]]&gt;0,AvengerAbilities2Scenario3331[[#This Row],[wins]]/AvengerAbilities2Scenario3331[[#This Row],[takes]],0)</f>
        <v>0</v>
      </c>
      <c r="U72" s="18"/>
    </row>
    <row r="73" spans="12:21" x14ac:dyDescent="0.25">
      <c r="L73" s="21" t="s">
        <v>233</v>
      </c>
      <c r="M73" s="2">
        <f>COUNTIF(Scenario3[winner1-ability2],AvengerAbilities2Scenario3331[[#This Row],[ability]])+COUNTIF(Scenario3[loser1-ability2],AvengerAbilities2Scenario3331[[#This Row],[ability]])+COUNTIF(Scenario3[loser2-ability2],AvengerAbilities2Scenario3331[[#This Row],[ability]])</f>
        <v>5</v>
      </c>
      <c r="N73" s="2">
        <f>COUNTIF(Scenario3[winner1-ability2],AvengerAbilities2Scenario3331[[#This Row],[ability]])</f>
        <v>3</v>
      </c>
      <c r="O73" s="13">
        <f>IF(SUM(AvengerAbilities2Scenario3331[[#This Row],[takes]]) &gt; 0,AvengerAbilities2Scenario3331[[#This Row],[takes]]/SUM(AvengerAbilities2Scenario3331[takes]),0)</f>
        <v>0.2</v>
      </c>
      <c r="P73" s="13">
        <f>IF(AvengerAbilities2Scenario3331[[#This Row],[takes]]&gt;0,AvengerAbilities2Scenario3331[[#This Row],[wins]]/AvengerAbilities2Scenario3331[[#This Row],[takes]],0)</f>
        <v>0.6</v>
      </c>
      <c r="U73" s="18"/>
    </row>
    <row r="74" spans="12:21" x14ac:dyDescent="0.25">
      <c r="L74" s="17"/>
      <c r="O74" s="3"/>
      <c r="P74" s="3"/>
      <c r="U74" s="18"/>
    </row>
    <row r="75" spans="12:21" x14ac:dyDescent="0.25">
      <c r="L75" s="19" t="s">
        <v>109</v>
      </c>
      <c r="M75" s="8" t="s">
        <v>110</v>
      </c>
      <c r="N75" s="8" t="s">
        <v>79</v>
      </c>
      <c r="O75" s="9" t="s">
        <v>117</v>
      </c>
      <c r="P75" s="9" t="s">
        <v>118</v>
      </c>
      <c r="U75" s="18"/>
    </row>
    <row r="76" spans="12:21" x14ac:dyDescent="0.25">
      <c r="L76" s="22" t="s">
        <v>234</v>
      </c>
      <c r="M76" s="1">
        <f>COUNTIF(Scenario3[winner1-ability3],AvengerAbilities3Scenario3332[[#This Row],[ability]])+COUNTIF(Scenario3[loser1-ability3],AvengerAbilities3Scenario3332[[#This Row],[ability]])+COUNTIF(Scenario3[loser2-ability3],AvengerAbilities3Scenario3332[[#This Row],[ability]])</f>
        <v>0</v>
      </c>
      <c r="N76" s="1">
        <f>COUNTIF(Scenario3[winner1-ability3],AvengerAbilities3Scenario3332[[#This Row],[ability]])</f>
        <v>0</v>
      </c>
      <c r="O76" s="14">
        <f>IF(SUM(AvengerAbilities3Scenario3332[[#This Row],[takes]]) &gt; 0,AvengerAbilities3Scenario3332[[#This Row],[takes]]/SUM(AvengerAbilities3Scenario3332[takes]),0)</f>
        <v>0</v>
      </c>
      <c r="P76" s="14">
        <f>IF(AvengerAbilities3Scenario3332[[#This Row],[takes]]&gt;0,AvengerAbilities3Scenario3332[[#This Row],[wins]]/AvengerAbilities3Scenario3332[[#This Row],[takes]],0)</f>
        <v>0</v>
      </c>
      <c r="U76" s="18"/>
    </row>
    <row r="77" spans="12:21" x14ac:dyDescent="0.25">
      <c r="L77" s="20" t="s">
        <v>235</v>
      </c>
      <c r="M77" s="2">
        <f>COUNTIF(Scenario3[winner1-ability3],AvengerAbilities3Scenario3332[[#This Row],[ability]])+COUNTIF(Scenario3[loser1-ability3],AvengerAbilities3Scenario3332[[#This Row],[ability]])+COUNTIF(Scenario3[loser2-ability3],AvengerAbilities3Scenario3332[[#This Row],[ability]])</f>
        <v>21</v>
      </c>
      <c r="N77" s="2">
        <f>COUNTIF(Scenario3[winner1-ability3],AvengerAbilities3Scenario3332[[#This Row],[ability]])</f>
        <v>6</v>
      </c>
      <c r="O77" s="12">
        <f>IF(SUM(AvengerAbilities3Scenario3332[[#This Row],[takes]]) &gt; 0,AvengerAbilities3Scenario3332[[#This Row],[takes]]/SUM(AvengerAbilities3Scenario3332[takes]),0)</f>
        <v>0.95454545454545459</v>
      </c>
      <c r="P77" s="12">
        <f>IF(AvengerAbilities3Scenario3332[[#This Row],[takes]]&gt;0,AvengerAbilities3Scenario3332[[#This Row],[wins]]/AvengerAbilities3Scenario3332[[#This Row],[takes]],0)</f>
        <v>0.2857142857142857</v>
      </c>
      <c r="U77" s="18"/>
    </row>
    <row r="78" spans="12:21" x14ac:dyDescent="0.25">
      <c r="L78" s="23" t="s">
        <v>236</v>
      </c>
      <c r="M78" s="1">
        <f>COUNTIF(Scenario3[winner1-ability3],AvengerAbilities3Scenario3332[[#This Row],[ability]])+COUNTIF(Scenario3[loser1-ability3],AvengerAbilities3Scenario3332[[#This Row],[ability]])+COUNTIF(Scenario3[loser2-ability3],AvengerAbilities3Scenario3332[[#This Row],[ability]])</f>
        <v>1</v>
      </c>
      <c r="N78" s="1">
        <f>COUNTIF(Scenario3[winner1-ability3],AvengerAbilities3Scenario3332[[#This Row],[ability]])</f>
        <v>1</v>
      </c>
      <c r="O78" s="15">
        <f>IF(SUM(AvengerAbilities3Scenario3332[[#This Row],[takes]]) &gt; 0,AvengerAbilities3Scenario3332[[#This Row],[takes]]/SUM(AvengerAbilities3Scenario3332[takes]),0)</f>
        <v>4.5454545454545456E-2</v>
      </c>
      <c r="P78" s="15">
        <f>IF(AvengerAbilities3Scenario3332[[#This Row],[takes]]&gt;0,AvengerAbilities3Scenario3332[[#This Row],[wins]]/AvengerAbilities3Scenario3332[[#This Row],[takes]],0)</f>
        <v>1</v>
      </c>
      <c r="U78" s="18"/>
    </row>
    <row r="79" spans="12:21" x14ac:dyDescent="0.25">
      <c r="L79" s="17"/>
      <c r="O79" s="3"/>
      <c r="P79" s="3"/>
      <c r="U79" s="18"/>
    </row>
    <row r="80" spans="12:21" x14ac:dyDescent="0.25">
      <c r="L80" s="19" t="s">
        <v>109</v>
      </c>
      <c r="M80" s="8" t="s">
        <v>110</v>
      </c>
      <c r="N80" s="8" t="s">
        <v>79</v>
      </c>
      <c r="O80" s="9" t="s">
        <v>117</v>
      </c>
      <c r="P80" s="9" t="s">
        <v>118</v>
      </c>
      <c r="U80" s="18"/>
    </row>
    <row r="81" spans="12:21" x14ac:dyDescent="0.25">
      <c r="L81" s="20" t="s">
        <v>237</v>
      </c>
      <c r="M81" s="2">
        <f>COUNTIF(Scenario3[winner1-ability4],AvengerAbilities4Scenario3333[[#This Row],[ability]])+COUNTIF(Scenario3[loser1-ability4],AvengerAbilities4Scenario3333[[#This Row],[ability]])+COUNTIF(Scenario3[loser2-ability4],AvengerAbilities4Scenario3333[[#This Row],[ability]])</f>
        <v>3</v>
      </c>
      <c r="N81" s="2">
        <f>COUNTIF(Scenario3[winner1-ability4],AvengerAbilities4Scenario3333[[#This Row],[ability]])</f>
        <v>2</v>
      </c>
      <c r="O81" s="12">
        <f>IF(SUM(AvengerAbilities4Scenario3333[[#This Row],[takes]]) &gt; 0,AvengerAbilities4Scenario3333[[#This Row],[takes]]/SUM(AvengerAbilities4Scenario3333[takes]),0)</f>
        <v>0.15789473684210525</v>
      </c>
      <c r="P81" s="12">
        <f>IF(AvengerAbilities4Scenario3333[[#This Row],[takes]]&gt;0,AvengerAbilities4Scenario3333[[#This Row],[wins]]/AvengerAbilities4Scenario3333[[#This Row],[takes]],0)</f>
        <v>0.66666666666666663</v>
      </c>
      <c r="U81" s="18"/>
    </row>
    <row r="82" spans="12:21" x14ac:dyDescent="0.25">
      <c r="L82" s="20" t="s">
        <v>238</v>
      </c>
      <c r="M82" s="2">
        <f>COUNTIF(Scenario3[winner1-ability4],AvengerAbilities4Scenario3333[[#This Row],[ability]])+COUNTIF(Scenario3[loser1-ability4],AvengerAbilities4Scenario3333[[#This Row],[ability]])+COUNTIF(Scenario3[loser2-ability4],AvengerAbilities4Scenario3333[[#This Row],[ability]])</f>
        <v>15</v>
      </c>
      <c r="N82" s="2">
        <f>COUNTIF(Scenario3[winner1-ability4],AvengerAbilities4Scenario3333[[#This Row],[ability]])</f>
        <v>2</v>
      </c>
      <c r="O82" s="12">
        <f>IF(SUM(AvengerAbilities4Scenario3333[[#This Row],[takes]]) &gt; 0,AvengerAbilities4Scenario3333[[#This Row],[takes]]/SUM(AvengerAbilities4Scenario3333[takes]),0)</f>
        <v>0.78947368421052633</v>
      </c>
      <c r="P82" s="12">
        <f>IF(AvengerAbilities4Scenario3333[[#This Row],[takes]]&gt;0,AvengerAbilities4Scenario3333[[#This Row],[wins]]/AvengerAbilities4Scenario3333[[#This Row],[takes]],0)</f>
        <v>0.13333333333333333</v>
      </c>
      <c r="U82" s="18"/>
    </row>
    <row r="83" spans="12:21" ht="15.75" thickBot="1" x14ac:dyDescent="0.3">
      <c r="L83" s="24" t="s">
        <v>239</v>
      </c>
      <c r="M83" s="25">
        <f>COUNTIF(Scenario3[winner1-ability4],AvengerAbilities4Scenario3333[[#This Row],[ability]])+COUNTIF(Scenario3[loser1-ability4],AvengerAbilities4Scenario3333[[#This Row],[ability]])+COUNTIF(Scenario3[loser2-ability4],AvengerAbilities4Scenario3333[[#This Row],[ability]])</f>
        <v>1</v>
      </c>
      <c r="N83" s="25">
        <f>COUNTIF(Scenario3[winner1-ability4],AvengerAbilities4Scenario3333[[#This Row],[ability]])</f>
        <v>1</v>
      </c>
      <c r="O83" s="26">
        <f>IF(SUM(AvengerAbilities4Scenario3333[[#This Row],[takes]]) &gt; 0,AvengerAbilities4Scenario3333[[#This Row],[takes]]/SUM(AvengerAbilities4Scenario3333[takes]),0)</f>
        <v>5.2631578947368418E-2</v>
      </c>
      <c r="P83" s="26">
        <f>IF(AvengerAbilities4Scenario3333[[#This Row],[takes]]&gt;0,AvengerAbilities4Scenario3333[[#This Row],[wins]]/AvengerAbilities4Scenario3333[[#This Row],[takes]],0)</f>
        <v>1</v>
      </c>
      <c r="Q83" s="27"/>
      <c r="R83" s="27"/>
      <c r="S83" s="27"/>
      <c r="T83" s="27"/>
      <c r="U83" s="28"/>
    </row>
    <row r="84" spans="12:21" ht="15.75" thickBot="1" x14ac:dyDescent="0.3"/>
    <row r="85" spans="12:21" ht="15.75" thickBot="1" x14ac:dyDescent="0.3">
      <c r="L85" s="36" t="s">
        <v>219</v>
      </c>
      <c r="M85" s="37"/>
      <c r="N85" s="37"/>
      <c r="O85" s="37"/>
      <c r="P85" s="37"/>
      <c r="Q85" s="37"/>
      <c r="R85" s="37"/>
      <c r="S85" s="37"/>
      <c r="T85" s="37"/>
      <c r="U85" s="38"/>
    </row>
    <row r="86" spans="12:21" x14ac:dyDescent="0.25">
      <c r="L86" s="17" t="s">
        <v>109</v>
      </c>
      <c r="M86" t="s">
        <v>110</v>
      </c>
      <c r="N86" t="s">
        <v>79</v>
      </c>
      <c r="O86" s="3" t="s">
        <v>117</v>
      </c>
      <c r="P86" s="3" t="s">
        <v>118</v>
      </c>
      <c r="R86" t="s">
        <v>161</v>
      </c>
      <c r="S86" t="s">
        <v>240</v>
      </c>
      <c r="T86" t="s">
        <v>241</v>
      </c>
      <c r="U86" s="18" t="s">
        <v>164</v>
      </c>
    </row>
    <row r="87" spans="12:21" x14ac:dyDescent="0.25">
      <c r="L87" s="17" t="s">
        <v>228</v>
      </c>
      <c r="M87">
        <f>COUNTIF(Scenario4[winner1-ability1],AvengerAbilities1Scenario4335[[#This Row],[ability]])+COUNTIF(Scenario4[loser1-ability1],AvengerAbilities1Scenario4335[[#This Row],[ability]])+COUNTIF(Scenario4[loser2-ability1],AvengerAbilities1Scenario4335[[#This Row],[ability]])+COUNTIF(Scenario4[loser3-ability1],AvengerAbilities1Scenario4335[[#This Row],[ability]])</f>
        <v>22</v>
      </c>
      <c r="N87">
        <f>COUNTIF(Scenario4[winner1-ability1],AvengerAbilities1Scenario4335[[#This Row],[ability]])</f>
        <v>10</v>
      </c>
      <c r="O87" s="3">
        <f>IF(SUM(AvengerAbilities1Scenario4335[[#This Row],[takes]]) &gt; 0,AvengerAbilities1Scenario4335[[#This Row],[takes]]/SUM(AvengerAbilities1Scenario4335[takes]),0)</f>
        <v>0.39285714285714285</v>
      </c>
      <c r="P87" s="3">
        <f>IF(AvengerAbilities1Scenario4335[[#This Row],[takes]]&gt;0,AvengerAbilities1Scenario4335[[#This Row],[wins]]/AvengerAbilities1Scenario4335[[#This Row],[takes]],0)</f>
        <v>0.45454545454545453</v>
      </c>
      <c r="R87">
        <v>1</v>
      </c>
      <c r="S87">
        <f>COUNTIFS(Scenario4[winner1],"navarch",Scenario4[winner1-pw],AvengerEquipScenario4339[[#This Row],[level]])+COUNTIFS(Scenario4[loser1],"navarch",Scenario4[loser1-pw],AvengerEquipScenario4339[[#This Row],[level]])+COUNTIFS(Scenario4[loser2],"navarch",Scenario4[loser2-pw],AvengerEquipScenario4339[[#This Row],[level]])+COUNTIFS(Scenario4[loser3],"navarch",Scenario4[loser3-pw],AvengerEquipScenario4339[[#This Row],[level]])</f>
        <v>8</v>
      </c>
      <c r="T87">
        <f>COUNTIFS(Scenario4[winner1],"avenger",Scenario4[winner1-sw],AvengerEquipScenario4339[[#This Row],[level]])+COUNTIFS(Scenario4[loser1],"avenger",Scenario4[loser1-sw],AvengerEquipScenario4339[[#This Row],[level]])+COUNTIFS(Scenario4[loser2],"avenger",Scenario4[loser2-sw],AvengerEquipScenario4339[[#This Row],[level]])+COUNTIFS(Scenario4[loser3],"avenger",Scenario4[loser3-sw],AvengerEquipScenario4339[[#This Row],[level]])</f>
        <v>11</v>
      </c>
      <c r="U87" s="18">
        <f>COUNTIFS(Scenario4[winner1],"avenger",Scenario4[winner1-cp],AvengerEquipScenario4339[[#This Row],[level]])+COUNTIFS(Scenario4[loser1],"avenger",Scenario4[loser1-cp],AvengerEquipScenario4339[[#This Row],[level]])+COUNTIFS(Scenario4[loser2],"avenger",Scenario4[loser2-cp],AvengerEquipScenario4339[[#This Row],[level]])+COUNTIFS(Scenario4[loser3],"avenger",Scenario4[loser3-cp],AvengerEquipScenario4339[[#This Row],[level]])</f>
        <v>2</v>
      </c>
    </row>
    <row r="88" spans="12:21" x14ac:dyDescent="0.25">
      <c r="L88" s="17" t="s">
        <v>229</v>
      </c>
      <c r="M88">
        <f>COUNTIF(Scenario4[winner1-ability1],AvengerAbilities1Scenario4335[[#This Row],[ability]])+COUNTIF(Scenario4[loser1-ability1],AvengerAbilities1Scenario4335[[#This Row],[ability]])+COUNTIF(Scenario4[loser2-ability1],AvengerAbilities1Scenario4335[[#This Row],[ability]])+COUNTIF(Scenario4[loser3-ability1],AvengerAbilities1Scenario4335[[#This Row],[ability]])</f>
        <v>34</v>
      </c>
      <c r="N88">
        <f>COUNTIF(Scenario4[winner1-ability1],AvengerAbilities1Scenario4335[[#This Row],[ability]])</f>
        <v>7</v>
      </c>
      <c r="O88" s="3">
        <f>IF(SUM(AvengerAbilities1Scenario4335[[#This Row],[takes]]) &gt; 0,AvengerAbilities1Scenario4335[[#This Row],[takes]]/SUM(AvengerAbilities1Scenario4335[takes]),0)</f>
        <v>0.6071428571428571</v>
      </c>
      <c r="P88" s="3">
        <f>IF(AvengerAbilities1Scenario4335[[#This Row],[takes]]&gt;0,AvengerAbilities1Scenario4335[[#This Row],[wins]]/AvengerAbilities1Scenario4335[[#This Row],[takes]],0)</f>
        <v>0.20588235294117646</v>
      </c>
      <c r="R88">
        <v>2</v>
      </c>
      <c r="S88">
        <f>COUNTIFS(Scenario4[winner1],"navarch",Scenario4[winner1-pw],AvengerEquipScenario4339[[#This Row],[level]])+COUNTIFS(Scenario4[loser1],"navarch",Scenario4[loser1-pw],AvengerEquipScenario4339[[#This Row],[level]])+COUNTIFS(Scenario4[loser2],"navarch",Scenario4[loser2-pw],AvengerEquipScenario4339[[#This Row],[level]])+COUNTIFS(Scenario4[loser3],"navarch",Scenario4[loser3-pw],AvengerEquipScenario4339[[#This Row],[level]])</f>
        <v>7</v>
      </c>
      <c r="T88">
        <f>COUNTIFS(Scenario4[winner1],"avenger",Scenario4[winner1-sw],AvengerEquipScenario4339[[#This Row],[level]])+COUNTIFS(Scenario4[loser1],"avenger",Scenario4[loser1-sw],AvengerEquipScenario4339[[#This Row],[level]])+COUNTIFS(Scenario4[loser2],"avenger",Scenario4[loser2-sw],AvengerEquipScenario4339[[#This Row],[level]])+COUNTIFS(Scenario4[loser3],"avenger",Scenario4[loser3-sw],AvengerEquipScenario4339[[#This Row],[level]])</f>
        <v>5</v>
      </c>
      <c r="U88" s="18">
        <f>COUNTIFS(Scenario4[winner1],"avenger",Scenario4[winner1-cp],AvengerEquipScenario4339[[#This Row],[level]])+COUNTIFS(Scenario4[loser1],"avenger",Scenario4[loser1-cp],AvengerEquipScenario4339[[#This Row],[level]])+COUNTIFS(Scenario4[loser2],"avenger",Scenario4[loser2-cp],AvengerEquipScenario4339[[#This Row],[level]])+COUNTIFS(Scenario4[loser3],"avenger",Scenario4[loser3-cp],AvengerEquipScenario4339[[#This Row],[level]])</f>
        <v>8</v>
      </c>
    </row>
    <row r="89" spans="12:21" x14ac:dyDescent="0.25">
      <c r="L89" s="17" t="s">
        <v>230</v>
      </c>
      <c r="M89">
        <f>COUNTIF(Scenario4[winner1-ability1],AvengerAbilities1Scenario4335[[#This Row],[ability]])+COUNTIF(Scenario4[loser1-ability1],AvengerAbilities1Scenario4335[[#This Row],[ability]])+COUNTIF(Scenario4[loser2-ability1],AvengerAbilities1Scenario4335[[#This Row],[ability]])+COUNTIF(Scenario4[loser3-ability1],AvengerAbilities1Scenario4335[[#This Row],[ability]])</f>
        <v>0</v>
      </c>
      <c r="N89">
        <f>COUNTIF(Scenario4[winner1-ability1],AvengerAbilities1Scenario4335[[#This Row],[ability]])</f>
        <v>0</v>
      </c>
      <c r="O89" s="3">
        <f>IF(SUM(AvengerAbilities1Scenario4335[[#This Row],[takes]]) &gt; 0,AvengerAbilities1Scenario4335[[#This Row],[takes]]/SUM(AvengerAbilities1Scenario4335[takes]),0)</f>
        <v>0</v>
      </c>
      <c r="P89" s="3">
        <f>IF(AvengerAbilities1Scenario4335[[#This Row],[takes]]&gt;0,AvengerAbilities1Scenario4335[[#This Row],[wins]]/AvengerAbilities1Scenario4335[[#This Row],[takes]],0)</f>
        <v>0</v>
      </c>
      <c r="R89">
        <v>3</v>
      </c>
      <c r="S89">
        <f>COUNTIFS(Scenario4[winner1],"navarch",Scenario4[winner1-pw],AvengerEquipScenario4339[[#This Row],[level]])+COUNTIFS(Scenario4[loser1],"navarch",Scenario4[loser1-pw],AvengerEquipScenario4339[[#This Row],[level]])+COUNTIFS(Scenario4[loser2],"navarch",Scenario4[loser2-pw],AvengerEquipScenario4339[[#This Row],[level]])+COUNTIFS(Scenario4[loser3],"navarch",Scenario4[loser3-pw],AvengerEquipScenario4339[[#This Row],[level]])</f>
        <v>41</v>
      </c>
      <c r="T89">
        <f>COUNTIFS(Scenario4[winner1],"avenger",Scenario4[winner1-sw],AvengerEquipScenario4339[[#This Row],[level]])+COUNTIFS(Scenario4[loser1],"avenger",Scenario4[loser1-sw],AvengerEquipScenario4339[[#This Row],[level]])+COUNTIFS(Scenario4[loser2],"avenger",Scenario4[loser2-sw],AvengerEquipScenario4339[[#This Row],[level]])+COUNTIFS(Scenario4[loser3],"avenger",Scenario4[loser3-sw],AvengerEquipScenario4339[[#This Row],[level]])</f>
        <v>40</v>
      </c>
      <c r="U89" s="18">
        <f>COUNTIFS(Scenario4[winner1],"avenger",Scenario4[winner1-cp],AvengerEquipScenario4339[[#This Row],[level]])+COUNTIFS(Scenario4[loser1],"avenger",Scenario4[loser1-cp],AvengerEquipScenario4339[[#This Row],[level]])+COUNTIFS(Scenario4[loser2],"avenger",Scenario4[loser2-cp],AvengerEquipScenario4339[[#This Row],[level]])+COUNTIFS(Scenario4[loser3],"avenger",Scenario4[loser3-cp],AvengerEquipScenario4339[[#This Row],[level]])</f>
        <v>46</v>
      </c>
    </row>
    <row r="90" spans="12:21" x14ac:dyDescent="0.25">
      <c r="L90" s="17"/>
      <c r="O90" s="3"/>
      <c r="P90" s="3"/>
      <c r="U90" s="18"/>
    </row>
    <row r="91" spans="12:21" x14ac:dyDescent="0.25">
      <c r="L91" s="19" t="s">
        <v>109</v>
      </c>
      <c r="M91" s="8" t="s">
        <v>110</v>
      </c>
      <c r="N91" s="8" t="s">
        <v>79</v>
      </c>
      <c r="O91" s="9" t="s">
        <v>117</v>
      </c>
      <c r="P91" s="9" t="s">
        <v>118</v>
      </c>
      <c r="U91" s="18"/>
    </row>
    <row r="92" spans="12:21" x14ac:dyDescent="0.25">
      <c r="L92" s="20" t="s">
        <v>231</v>
      </c>
      <c r="M92" s="2">
        <f>COUNTIF(Scenario4[winner1-ability2],AvengerAbilities2Scenario4336[[#This Row],[ability]])+COUNTIF(Scenario4[loser1-ability2],AvengerAbilities2Scenario4336[[#This Row],[ability]])+COUNTIF(Scenario4[loser2-ability2],AvengerAbilities2Scenario4336[[#This Row],[ability]])+COUNTIF(Scenario4[loser3-ability2],AvengerAbilities2Scenario4336[[#This Row],[ability]])</f>
        <v>31</v>
      </c>
      <c r="N92" s="2">
        <f>COUNTIF(Scenario4[winner1-ability2],AvengerAbilities2Scenario4336[[#This Row],[ability]])</f>
        <v>9</v>
      </c>
      <c r="O92" s="12">
        <f>IF(SUM(AvengerAbilities2Scenario4336[[#This Row],[takes]]) &gt; 0,AvengerAbilities2Scenario4336[[#This Row],[takes]]/SUM(AvengerAbilities2Scenario4336[takes]),0)</f>
        <v>0.57407407407407407</v>
      </c>
      <c r="P92" s="12">
        <f>IF(AvengerAbilities2Scenario4336[[#This Row],[takes]]&gt;0,AvengerAbilities2Scenario4336[[#This Row],[wins]]/AvengerAbilities2Scenario4336[[#This Row],[takes]],0)</f>
        <v>0.29032258064516131</v>
      </c>
      <c r="U92" s="18"/>
    </row>
    <row r="93" spans="12:21" x14ac:dyDescent="0.25">
      <c r="L93" s="17" t="s">
        <v>232</v>
      </c>
      <c r="M93" s="2">
        <f>COUNTIF(Scenario4[winner1-ability2],AvengerAbilities2Scenario4336[[#This Row],[ability]])+COUNTIF(Scenario4[loser1-ability2],AvengerAbilities2Scenario4336[[#This Row],[ability]])+COUNTIF(Scenario4[loser2-ability2],AvengerAbilities2Scenario4336[[#This Row],[ability]])+COUNTIF(Scenario4[loser3-ability2],AvengerAbilities2Scenario4336[[#This Row],[ability]])</f>
        <v>17</v>
      </c>
      <c r="N93" s="2">
        <f>COUNTIF(Scenario4[winner1-ability2],AvengerAbilities2Scenario4336[[#This Row],[ability]])</f>
        <v>6</v>
      </c>
      <c r="O93" s="3">
        <f>IF(SUM(AvengerAbilities2Scenario4336[[#This Row],[takes]]) &gt; 0,AvengerAbilities2Scenario4336[[#This Row],[takes]]/SUM(AvengerAbilities2Scenario4336[takes]),0)</f>
        <v>0.31481481481481483</v>
      </c>
      <c r="P93" s="3">
        <f>IF(AvengerAbilities2Scenario4336[[#This Row],[takes]]&gt;0,AvengerAbilities2Scenario4336[[#This Row],[wins]]/AvengerAbilities2Scenario4336[[#This Row],[takes]],0)</f>
        <v>0.35294117647058826</v>
      </c>
      <c r="U93" s="18"/>
    </row>
    <row r="94" spans="12:21" x14ac:dyDescent="0.25">
      <c r="L94" s="21" t="s">
        <v>233</v>
      </c>
      <c r="M94" s="2">
        <f>COUNTIF(Scenario4[winner1-ability2],AvengerAbilities2Scenario4336[[#This Row],[ability]])+COUNTIF(Scenario4[loser1-ability2],AvengerAbilities2Scenario4336[[#This Row],[ability]])+COUNTIF(Scenario4[loser2-ability2],AvengerAbilities2Scenario4336[[#This Row],[ability]])+COUNTIF(Scenario4[loser3-ability2],AvengerAbilities2Scenario4336[[#This Row],[ability]])</f>
        <v>6</v>
      </c>
      <c r="N94" s="2">
        <f>COUNTIF(Scenario4[winner1-ability2],AvengerAbilities2Scenario4336[[#This Row],[ability]])</f>
        <v>2</v>
      </c>
      <c r="O94" s="13">
        <f>IF(SUM(AvengerAbilities2Scenario4336[[#This Row],[takes]]) &gt; 0,AvengerAbilities2Scenario4336[[#This Row],[takes]]/SUM(AvengerAbilities2Scenario4336[takes]),0)</f>
        <v>0.1111111111111111</v>
      </c>
      <c r="P94" s="13">
        <f>IF(AvengerAbilities2Scenario4336[[#This Row],[takes]]&gt;0,AvengerAbilities2Scenario4336[[#This Row],[wins]]/AvengerAbilities2Scenario4336[[#This Row],[takes]],0)</f>
        <v>0.33333333333333331</v>
      </c>
      <c r="U94" s="18"/>
    </row>
    <row r="95" spans="12:21" x14ac:dyDescent="0.25">
      <c r="L95" s="17"/>
      <c r="O95" s="3"/>
      <c r="P95" s="3"/>
      <c r="U95" s="18"/>
    </row>
    <row r="96" spans="12:21" x14ac:dyDescent="0.25">
      <c r="L96" s="19" t="s">
        <v>109</v>
      </c>
      <c r="M96" s="8" t="s">
        <v>110</v>
      </c>
      <c r="N96" s="8" t="s">
        <v>79</v>
      </c>
      <c r="O96" s="9" t="s">
        <v>117</v>
      </c>
      <c r="P96" s="9" t="s">
        <v>118</v>
      </c>
      <c r="U96" s="18"/>
    </row>
    <row r="97" spans="12:21" x14ac:dyDescent="0.25">
      <c r="L97" s="22" t="s">
        <v>234</v>
      </c>
      <c r="M97" s="1">
        <f>COUNTIF(Scenario4[winner1-ability3],AvengerAbilities3Scenario4337[[#This Row],[ability]])+COUNTIF(Scenario4[loser1-ability3],AvengerAbilities3Scenario4337[[#This Row],[ability]])+COUNTIF(Scenario4[loser2-ability3],AvengerAbilities3Scenario4337[[#This Row],[ability]])+COUNTIF(Scenario4[loser3-ability3],AvengerAbilities3Scenario4337[[#This Row],[ability]])</f>
        <v>4</v>
      </c>
      <c r="N97" s="1">
        <f>COUNTIF(Scenario4[winner1-ability3],AvengerAbilities3Scenario4337[[#This Row],[ability]])</f>
        <v>1</v>
      </c>
      <c r="O97" s="14">
        <f>IF(SUM(AvengerAbilities3Scenario4337[[#This Row],[takes]]) &gt; 0,AvengerAbilities3Scenario4337[[#This Row],[takes]]/SUM(AvengerAbilities3Scenario4337[takes]),0)</f>
        <v>7.6923076923076927E-2</v>
      </c>
      <c r="P97" s="14">
        <f>IF(AvengerAbilities3Scenario4337[[#This Row],[takes]]&gt;0,AvengerAbilities3Scenario4337[[#This Row],[wins]]/AvengerAbilities3Scenario4337[[#This Row],[takes]],0)</f>
        <v>0.25</v>
      </c>
      <c r="U97" s="18"/>
    </row>
    <row r="98" spans="12:21" x14ac:dyDescent="0.25">
      <c r="L98" s="20" t="s">
        <v>235</v>
      </c>
      <c r="M98" s="2">
        <f>COUNTIF(Scenario4[winner1-ability3],AvengerAbilities3Scenario4337[[#This Row],[ability]])+COUNTIF(Scenario4[loser1-ability3],AvengerAbilities3Scenario4337[[#This Row],[ability]])+COUNTIF(Scenario4[loser2-ability3],AvengerAbilities3Scenario4337[[#This Row],[ability]])+COUNTIF(Scenario4[loser3-ability3],AvengerAbilities3Scenario4337[[#This Row],[ability]])</f>
        <v>47</v>
      </c>
      <c r="N98" s="2">
        <f>COUNTIF(Scenario4[winner1-ability3],AvengerAbilities3Scenario4337[[#This Row],[ability]])</f>
        <v>15</v>
      </c>
      <c r="O98" s="12">
        <f>IF(SUM(AvengerAbilities3Scenario4337[[#This Row],[takes]]) &gt; 0,AvengerAbilities3Scenario4337[[#This Row],[takes]]/SUM(AvengerAbilities3Scenario4337[takes]),0)</f>
        <v>0.90384615384615385</v>
      </c>
      <c r="P98" s="12">
        <f>IF(AvengerAbilities3Scenario4337[[#This Row],[takes]]&gt;0,AvengerAbilities3Scenario4337[[#This Row],[wins]]/AvengerAbilities3Scenario4337[[#This Row],[takes]],0)</f>
        <v>0.31914893617021278</v>
      </c>
      <c r="U98" s="18"/>
    </row>
    <row r="99" spans="12:21" x14ac:dyDescent="0.25">
      <c r="L99" s="23" t="s">
        <v>236</v>
      </c>
      <c r="M99" s="1">
        <f>COUNTIF(Scenario4[winner1-ability3],AvengerAbilities3Scenario4337[[#This Row],[ability]])+COUNTIF(Scenario4[loser1-ability3],AvengerAbilities3Scenario4337[[#This Row],[ability]])+COUNTIF(Scenario4[loser2-ability3],AvengerAbilities3Scenario4337[[#This Row],[ability]])+COUNTIF(Scenario4[loser3-ability3],AvengerAbilities3Scenario4337[[#This Row],[ability]])</f>
        <v>1</v>
      </c>
      <c r="N99" s="1">
        <f>COUNTIF(Scenario4[winner1-ability3],AvengerAbilities3Scenario4337[[#This Row],[ability]])</f>
        <v>1</v>
      </c>
      <c r="O99" s="15">
        <f>IF(SUM(AvengerAbilities3Scenario4337[[#This Row],[takes]]) &gt; 0,AvengerAbilities3Scenario4337[[#This Row],[takes]]/SUM(AvengerAbilities3Scenario4337[takes]),0)</f>
        <v>1.9230769230769232E-2</v>
      </c>
      <c r="P99" s="15">
        <f>IF(AvengerAbilities3Scenario4337[[#This Row],[takes]]&gt;0,AvengerAbilities3Scenario4337[[#This Row],[wins]]/AvengerAbilities3Scenario4337[[#This Row],[takes]],0)</f>
        <v>1</v>
      </c>
      <c r="U99" s="18"/>
    </row>
    <row r="100" spans="12:21" x14ac:dyDescent="0.25">
      <c r="L100" s="17"/>
      <c r="O100" s="3"/>
      <c r="P100" s="3"/>
      <c r="U100" s="18"/>
    </row>
    <row r="101" spans="12:21" x14ac:dyDescent="0.25">
      <c r="L101" s="19" t="s">
        <v>109</v>
      </c>
      <c r="M101" s="8" t="s">
        <v>110</v>
      </c>
      <c r="N101" s="8" t="s">
        <v>79</v>
      </c>
      <c r="O101" s="9" t="s">
        <v>117</v>
      </c>
      <c r="P101" s="9" t="s">
        <v>118</v>
      </c>
      <c r="U101" s="18"/>
    </row>
    <row r="102" spans="12:21" x14ac:dyDescent="0.25">
      <c r="L102" s="20" t="s">
        <v>237</v>
      </c>
      <c r="M102" s="2">
        <f>COUNTIF(Scenario4[winner1-ability4],AvengerAbilities4Scenario4338[[#This Row],[ability]])+COUNTIF(Scenario4[loser1-ability4],AvengerAbilities4Scenario4338[[#This Row],[ability]])+COUNTIF(Scenario4[loser2-ability4],AvengerAbilities4Scenario4338[[#This Row],[ability]])+COUNTIF(Scenario4[loser3-ability4],AvengerAbilities4Scenario4338[[#This Row],[ability]])</f>
        <v>3</v>
      </c>
      <c r="N102" s="2">
        <f>COUNTIF(Scenario4[winner1-ability4],AvengerAbilities4Scenario4338[[#This Row],[ability]])</f>
        <v>0</v>
      </c>
      <c r="O102" s="12">
        <f>IF(SUM(AvengerAbilities4Scenario4338[[#This Row],[takes]]) &gt; 0,AvengerAbilities4Scenario4338[[#This Row],[takes]]/SUM(AvengerAbilities4Scenario4338[takes]),0)</f>
        <v>6.5217391304347824E-2</v>
      </c>
      <c r="P102" s="12">
        <f>IF(AvengerAbilities4Scenario4338[[#This Row],[takes]]&gt;0,AvengerAbilities4Scenario4338[[#This Row],[wins]]/AvengerAbilities4Scenario4338[[#This Row],[takes]],0)</f>
        <v>0</v>
      </c>
      <c r="U102" s="18"/>
    </row>
    <row r="103" spans="12:21" x14ac:dyDescent="0.25">
      <c r="L103" s="20" t="s">
        <v>238</v>
      </c>
      <c r="M103" s="2">
        <f>COUNTIF(Scenario4[winner1-ability4],AvengerAbilities4Scenario4338[[#This Row],[ability]])+COUNTIF(Scenario4[loser1-ability4],AvengerAbilities4Scenario4338[[#This Row],[ability]])+COUNTIF(Scenario4[loser2-ability4],AvengerAbilities4Scenario4338[[#This Row],[ability]])+COUNTIF(Scenario4[loser3-ability4],AvengerAbilities4Scenario4338[[#This Row],[ability]])</f>
        <v>39</v>
      </c>
      <c r="N103" s="2">
        <f>COUNTIF(Scenario4[winner1-ability4],AvengerAbilities4Scenario4338[[#This Row],[ability]])</f>
        <v>13</v>
      </c>
      <c r="O103" s="12">
        <f>IF(SUM(AvengerAbilities4Scenario4338[[#This Row],[takes]]) &gt; 0,AvengerAbilities4Scenario4338[[#This Row],[takes]]/SUM(AvengerAbilities4Scenario4338[takes]),0)</f>
        <v>0.84782608695652173</v>
      </c>
      <c r="P103" s="12">
        <f>IF(AvengerAbilities4Scenario4338[[#This Row],[takes]]&gt;0,AvengerAbilities4Scenario4338[[#This Row],[wins]]/AvengerAbilities4Scenario4338[[#This Row],[takes]],0)</f>
        <v>0.33333333333333331</v>
      </c>
      <c r="U103" s="18"/>
    </row>
    <row r="104" spans="12:21" ht="15.75" thickBot="1" x14ac:dyDescent="0.3">
      <c r="L104" s="24" t="s">
        <v>239</v>
      </c>
      <c r="M104" s="25">
        <f>COUNTIF(Scenario4[winner1-ability4],AvengerAbilities4Scenario4338[[#This Row],[ability]])+COUNTIF(Scenario4[loser1-ability4],AvengerAbilities4Scenario4338[[#This Row],[ability]])+COUNTIF(Scenario4[loser2-ability4],AvengerAbilities4Scenario4338[[#This Row],[ability]])+COUNTIF(Scenario4[loser3-ability4],AvengerAbilities4Scenario4338[[#This Row],[ability]])</f>
        <v>4</v>
      </c>
      <c r="N104" s="25">
        <f>COUNTIF(Scenario4[winner1-ability4],AvengerAbilities4Scenario4338[[#This Row],[ability]])</f>
        <v>1</v>
      </c>
      <c r="O104" s="26">
        <f>IF(SUM(AvengerAbilities4Scenario4338[[#This Row],[takes]]) &gt; 0,AvengerAbilities4Scenario4338[[#This Row],[takes]]/SUM(AvengerAbilities4Scenario4338[takes]),0)</f>
        <v>8.6956521739130432E-2</v>
      </c>
      <c r="P104" s="26">
        <f>IF(AvengerAbilities4Scenario4338[[#This Row],[takes]]&gt;0,AvengerAbilities4Scenario4338[[#This Row],[wins]]/AvengerAbilities4Scenario4338[[#This Row],[takes]],0)</f>
        <v>0.25</v>
      </c>
      <c r="Q104" s="27"/>
      <c r="R104" s="27"/>
      <c r="S104" s="27"/>
      <c r="T104" s="27"/>
      <c r="U104" s="28"/>
    </row>
    <row r="105" spans="12:21" ht="15.75" thickBot="1" x14ac:dyDescent="0.3"/>
    <row r="106" spans="12:21" ht="15.75" thickBot="1" x14ac:dyDescent="0.3">
      <c r="L106" s="36" t="s">
        <v>220</v>
      </c>
      <c r="M106" s="37"/>
      <c r="N106" s="37"/>
      <c r="O106" s="37"/>
      <c r="P106" s="37"/>
      <c r="Q106" s="37"/>
      <c r="R106" s="37"/>
      <c r="S106" s="37"/>
      <c r="T106" s="37"/>
      <c r="U106" s="38"/>
    </row>
    <row r="107" spans="12:21" x14ac:dyDescent="0.25">
      <c r="L107" s="17" t="s">
        <v>109</v>
      </c>
      <c r="M107" t="s">
        <v>110</v>
      </c>
      <c r="N107" t="s">
        <v>79</v>
      </c>
      <c r="O107" s="3" t="s">
        <v>117</v>
      </c>
      <c r="P107" s="3" t="s">
        <v>118</v>
      </c>
      <c r="R107" t="s">
        <v>161</v>
      </c>
      <c r="S107" t="s">
        <v>240</v>
      </c>
      <c r="T107" t="s">
        <v>241</v>
      </c>
      <c r="U107" s="18" t="s">
        <v>164</v>
      </c>
    </row>
    <row r="108" spans="12:21" x14ac:dyDescent="0.25">
      <c r="L108" s="17" t="s">
        <v>228</v>
      </c>
      <c r="M108">
        <f>COUNTIF(Scenario5[winner1-ability1],AvengerAbilities1Scenario5340[[#This Row],[ability]])+COUNTIF(Scenario5[winner2-ability1],AvengerAbilities1Scenario5340[[#This Row],[ability]])+COUNTIF(Scenario5[loser1-ability1],AvengerAbilities1Scenario5340[[#This Row],[ability]])+COUNTIF(Scenario5[loser2-ability1],AvengerAbilities1Scenario5340[[#This Row],[ability]])</f>
        <v>82</v>
      </c>
      <c r="N108">
        <f>COUNTIF(Scenario5[winner1-ability1],AvengerAbilities1Scenario5340[[#This Row],[ability]])+COUNTIF(Scenario5[winner2-ability1],AvengerAbilities1Scenario5340[[#This Row],[ability]])</f>
        <v>41</v>
      </c>
      <c r="O108" s="3">
        <f>IF(SUM(AvengerAbilities1Scenario5340[[#This Row],[takes]]) &gt; 0,AvengerAbilities1Scenario5340[[#This Row],[takes]]/SUM(AvengerAbilities1Scenario5340[takes]),0)</f>
        <v>0.48809523809523808</v>
      </c>
      <c r="P108" s="3">
        <f>IF(AvengerAbilities1Scenario5340[[#This Row],[takes]]&gt;0,AvengerAbilities1Scenario5340[[#This Row],[wins]]/AvengerAbilities1Scenario5340[[#This Row],[takes]],0)</f>
        <v>0.5</v>
      </c>
      <c r="R108">
        <v>1</v>
      </c>
      <c r="S108">
        <f>COUNTIFS(Scenario5[winner1],"navarch",Scenario5[winner1-pw],AvengerEquipScenario5344[[#This Row],[level]])+COUNTIFS(Scenario5[winner2],"navarch",Scenario5[winner2-pw],AvengerEquipScenario5344[[#This Row],[level]])+COUNTIFS(Scenario5[loser1],"navarch",Scenario5[loser1-pw],AvengerEquipScenario5344[[#This Row],[level]])+COUNTIFS(Scenario5[loser2],"navarch",Scenario5[loser2-pw],AvengerEquipScenario5344[[#This Row],[level]])</f>
        <v>47</v>
      </c>
      <c r="T108">
        <f>COUNTIFS(Scenario5[winner1],"navarch",Scenario5[winner1-sw],AvengerEquipScenario5344[[#This Row],[level]])+COUNTIFS(Scenario5[winner2],"navarch",Scenario5[winner2-sw],AvengerEquipScenario5344[[#This Row],[level]])+COUNTIFS(Scenario5[loser1],"navarch",Scenario5[loser1-sw],AvengerEquipScenario5344[[#This Row],[level]])+COUNTIFS(Scenario5[loser2],"navarch",Scenario5[loser2-sw],AvengerEquipScenario5344[[#This Row],[level]])</f>
        <v>112</v>
      </c>
      <c r="U108" s="18">
        <f>COUNTIFS(Scenario5[winner1],"navarch",Scenario5[winner1-cp],AvengerEquipScenario5344[[#This Row],[level]])+COUNTIFS(Scenario5[winner2],"navarch",Scenario5[winner2-cp],AvengerEquipScenario5344[[#This Row],[level]])+COUNTIFS(Scenario5[loser1],"navarch",Scenario5[loser1-cp],AvengerEquipScenario5344[[#This Row],[level]])+COUNTIFS(Scenario5[loser2],"navarch",Scenario5[loser2-cp],AvengerEquipScenario5344[[#This Row],[level]])</f>
        <v>49</v>
      </c>
    </row>
    <row r="109" spans="12:21" x14ac:dyDescent="0.25">
      <c r="L109" s="17" t="s">
        <v>229</v>
      </c>
      <c r="M109">
        <f>COUNTIF(Scenario5[winner1-ability1],AvengerAbilities1Scenario5340[[#This Row],[ability]])+COUNTIF(Scenario5[winner2-ability1],AvengerAbilities1Scenario5340[[#This Row],[ability]])+COUNTIF(Scenario5[loser1-ability1],AvengerAbilities1Scenario5340[[#This Row],[ability]])+COUNTIF(Scenario5[loser2-ability1],AvengerAbilities1Scenario5340[[#This Row],[ability]])</f>
        <v>86</v>
      </c>
      <c r="N109">
        <f>COUNTIF(Scenario5[winner1-ability1],AvengerAbilities1Scenario5340[[#This Row],[ability]])+COUNTIF(Scenario5[winner2-ability1],AvengerAbilities1Scenario5340[[#This Row],[ability]])</f>
        <v>38</v>
      </c>
      <c r="O109" s="3">
        <f>IF(SUM(AvengerAbilities1Scenario5340[[#This Row],[takes]]) &gt; 0,AvengerAbilities1Scenario5340[[#This Row],[takes]]/SUM(AvengerAbilities1Scenario5340[takes]),0)</f>
        <v>0.51190476190476186</v>
      </c>
      <c r="P109" s="3">
        <f>IF(AvengerAbilities1Scenario5340[[#This Row],[takes]]&gt;0,AvengerAbilities1Scenario5340[[#This Row],[wins]]/AvengerAbilities1Scenario5340[[#This Row],[takes]],0)</f>
        <v>0.44186046511627908</v>
      </c>
      <c r="R109">
        <v>2</v>
      </c>
      <c r="S109">
        <f>COUNTIFS(Scenario5[winner1],"navarch",Scenario5[winner1-pw],AvengerEquipScenario5344[[#This Row],[level]])+COUNTIFS(Scenario5[winner2],"navarch",Scenario5[winner2-pw],AvengerEquipScenario5344[[#This Row],[level]])+COUNTIFS(Scenario5[loser1],"navarch",Scenario5[loser1-pw],AvengerEquipScenario5344[[#This Row],[level]])+COUNTIFS(Scenario5[loser2],"navarch",Scenario5[loser2-pw],AvengerEquipScenario5344[[#This Row],[level]])</f>
        <v>64</v>
      </c>
      <c r="T109">
        <f>COUNTIFS(Scenario5[winner1],"navarch",Scenario5[winner1-sw],AvengerEquipScenario5344[[#This Row],[level]])+COUNTIFS(Scenario5[winner2],"navarch",Scenario5[winner2-sw],AvengerEquipScenario5344[[#This Row],[level]])+COUNTIFS(Scenario5[loser1],"navarch",Scenario5[loser1-sw],AvengerEquipScenario5344[[#This Row],[level]])+COUNTIFS(Scenario5[loser2],"navarch",Scenario5[loser2-sw],AvengerEquipScenario5344[[#This Row],[level]])</f>
        <v>10</v>
      </c>
      <c r="U109" s="18">
        <f>COUNTIFS(Scenario5[winner1],"navarch",Scenario5[winner1-cp],AvengerEquipScenario5344[[#This Row],[level]])+COUNTIFS(Scenario5[winner2],"navarch",Scenario5[winner2-cp],AvengerEquipScenario5344[[#This Row],[level]])+COUNTIFS(Scenario5[loser1],"navarch",Scenario5[loser1-cp],AvengerEquipScenario5344[[#This Row],[level]])+COUNTIFS(Scenario5[loser2],"navarch",Scenario5[loser2-cp],AvengerEquipScenario5344[[#This Row],[level]])</f>
        <v>42</v>
      </c>
    </row>
    <row r="110" spans="12:21" x14ac:dyDescent="0.25">
      <c r="L110" s="17" t="s">
        <v>230</v>
      </c>
      <c r="M110">
        <f>COUNTIF(Scenario5[winner1-ability1],AvengerAbilities1Scenario5340[[#This Row],[ability]])+COUNTIF(Scenario5[winner2-ability1],AvengerAbilities1Scenario5340[[#This Row],[ability]])+COUNTIF(Scenario5[loser1-ability1],AvengerAbilities1Scenario5340[[#This Row],[ability]])+COUNTIF(Scenario5[loser2-ability1],AvengerAbilities1Scenario5340[[#This Row],[ability]])</f>
        <v>0</v>
      </c>
      <c r="N110">
        <f>COUNTIF(Scenario5[winner1-ability1],AvengerAbilities1Scenario5340[[#This Row],[ability]])+COUNTIF(Scenario5[winner2-ability1],AvengerAbilities1Scenario5340[[#This Row],[ability]])</f>
        <v>0</v>
      </c>
      <c r="O110" s="3">
        <f>IF(SUM(AvengerAbilities1Scenario5340[[#This Row],[takes]]) &gt; 0,AvengerAbilities1Scenario5340[[#This Row],[takes]]/SUM(AvengerAbilities1Scenario5340[takes]),0)</f>
        <v>0</v>
      </c>
      <c r="P110" s="3">
        <f>IF(AvengerAbilities1Scenario5340[[#This Row],[takes]]&gt;0,AvengerAbilities1Scenario5340[[#This Row],[wins]]/AvengerAbilities1Scenario5340[[#This Row],[takes]],0)</f>
        <v>0</v>
      </c>
      <c r="R110">
        <v>3</v>
      </c>
      <c r="S110">
        <f>COUNTIFS(Scenario5[winner1],"navarch",Scenario5[winner1-pw],AvengerEquipScenario5344[[#This Row],[level]])+COUNTIFS(Scenario5[winner2],"navarch",Scenario5[winner2-pw],AvengerEquipScenario5344[[#This Row],[level]])+COUNTIFS(Scenario5[loser1],"navarch",Scenario5[loser1-pw],AvengerEquipScenario5344[[#This Row],[level]])+COUNTIFS(Scenario5[loser2],"navarch",Scenario5[loser2-pw],AvengerEquipScenario5344[[#This Row],[level]])</f>
        <v>57</v>
      </c>
      <c r="T110">
        <f>COUNTIFS(Scenario5[winner1],"navarch",Scenario5[winner1-sw],AvengerEquipScenario5344[[#This Row],[level]])+COUNTIFS(Scenario5[winner2],"navarch",Scenario5[winner2-sw],AvengerEquipScenario5344[[#This Row],[level]])+COUNTIFS(Scenario5[loser1],"navarch",Scenario5[loser1-sw],AvengerEquipScenario5344[[#This Row],[level]])+COUNTIFS(Scenario5[loser2],"navarch",Scenario5[loser2-sw],AvengerEquipScenario5344[[#This Row],[level]])</f>
        <v>46</v>
      </c>
      <c r="U110" s="18">
        <f>COUNTIFS(Scenario5[winner1],"navarch",Scenario5[winner1-cp],AvengerEquipScenario5344[[#This Row],[level]])+COUNTIFS(Scenario5[winner2],"navarch",Scenario5[winner2-cp],AvengerEquipScenario5344[[#This Row],[level]])+COUNTIFS(Scenario5[loser1],"navarch",Scenario5[loser1-cp],AvengerEquipScenario5344[[#This Row],[level]])+COUNTIFS(Scenario5[loser2],"navarch",Scenario5[loser2-cp],AvengerEquipScenario5344[[#This Row],[level]])</f>
        <v>77</v>
      </c>
    </row>
    <row r="111" spans="12:21" x14ac:dyDescent="0.25">
      <c r="L111" s="17"/>
      <c r="O111" s="3"/>
      <c r="P111" s="3"/>
      <c r="U111" s="18"/>
    </row>
    <row r="112" spans="12:21" x14ac:dyDescent="0.25">
      <c r="L112" s="19" t="s">
        <v>109</v>
      </c>
      <c r="M112" s="8" t="s">
        <v>110</v>
      </c>
      <c r="N112" s="8" t="s">
        <v>79</v>
      </c>
      <c r="O112" s="9" t="s">
        <v>117</v>
      </c>
      <c r="P112" s="9" t="s">
        <v>118</v>
      </c>
      <c r="U112" s="18"/>
    </row>
    <row r="113" spans="12:21" x14ac:dyDescent="0.25">
      <c r="L113" s="20" t="s">
        <v>231</v>
      </c>
      <c r="M113" s="2">
        <f>COUNTIF(Scenario5[winner1-ability2],AvengerAbilities2Scenario5341[[#This Row],[ability]])+COUNTIF(Scenario5[winner2-ability2],AvengerAbilities2Scenario5341[[#This Row],[ability]])+COUNTIF(Scenario5[loser1-ability2],AvengerAbilities2Scenario5341[[#This Row],[ability]])+COUNTIF(Scenario5[loser2-ability2],AvengerAbilities2Scenario5341[[#This Row],[ability]])</f>
        <v>126</v>
      </c>
      <c r="N113" s="2">
        <f>COUNTIF(Scenario5[winner1-ability2],AvengerAbilities2Scenario5341[[#This Row],[ability]])+COUNTIF(Scenario5[winner2-ability2],AvengerAbilities2Scenario5341[[#This Row],[ability]])</f>
        <v>68</v>
      </c>
      <c r="O113" s="12">
        <f>IF(SUM(AvengerAbilities2Scenario5341[[#This Row],[takes]]) &gt; 0,AvengerAbilities2Scenario5341[[#This Row],[takes]]/SUM(AvengerAbilities2Scenario5341[takes]),0)</f>
        <v>0.8936170212765957</v>
      </c>
      <c r="P113" s="12">
        <f>IF(AvengerAbilities2Scenario5341[[#This Row],[takes]]&gt;0,AvengerAbilities2Scenario5341[[#This Row],[wins]]/AvengerAbilities2Scenario5341[[#This Row],[takes]],0)</f>
        <v>0.53968253968253965</v>
      </c>
      <c r="U113" s="18"/>
    </row>
    <row r="114" spans="12:21" x14ac:dyDescent="0.25">
      <c r="L114" s="17" t="s">
        <v>232</v>
      </c>
      <c r="M114" s="2">
        <f>COUNTIF(Scenario5[winner1-ability2],AvengerAbilities2Scenario5341[[#This Row],[ability]])+COUNTIF(Scenario5[winner2-ability2],AvengerAbilities2Scenario5341[[#This Row],[ability]])+COUNTIF(Scenario5[loser1-ability2],AvengerAbilities2Scenario5341[[#This Row],[ability]])+COUNTIF(Scenario5[loser2-ability2],AvengerAbilities2Scenario5341[[#This Row],[ability]])</f>
        <v>4</v>
      </c>
      <c r="N114" s="2">
        <f>COUNTIF(Scenario5[winner1-ability2],AvengerAbilities2Scenario5341[[#This Row],[ability]])+COUNTIF(Scenario5[winner2-ability2],AvengerAbilities2Scenario5341[[#This Row],[ability]])</f>
        <v>0</v>
      </c>
      <c r="O114" s="3">
        <f>IF(SUM(AvengerAbilities2Scenario5341[[#This Row],[takes]]) &gt; 0,AvengerAbilities2Scenario5341[[#This Row],[takes]]/SUM(AvengerAbilities2Scenario5341[takes]),0)</f>
        <v>2.8368794326241134E-2</v>
      </c>
      <c r="P114" s="3">
        <f>IF(AvengerAbilities2Scenario5341[[#This Row],[takes]]&gt;0,AvengerAbilities2Scenario5341[[#This Row],[wins]]/AvengerAbilities2Scenario5341[[#This Row],[takes]],0)</f>
        <v>0</v>
      </c>
      <c r="U114" s="18"/>
    </row>
    <row r="115" spans="12:21" x14ac:dyDescent="0.25">
      <c r="L115" s="21" t="s">
        <v>233</v>
      </c>
      <c r="M115" s="2">
        <f>COUNTIF(Scenario5[winner1-ability2],AvengerAbilities2Scenario5341[[#This Row],[ability]])+COUNTIF(Scenario5[winner2-ability2],AvengerAbilities2Scenario5341[[#This Row],[ability]])+COUNTIF(Scenario5[loser1-ability2],AvengerAbilities2Scenario5341[[#This Row],[ability]])+COUNTIF(Scenario5[loser2-ability2],AvengerAbilities2Scenario5341[[#This Row],[ability]])</f>
        <v>11</v>
      </c>
      <c r="N115" s="2">
        <f>COUNTIF(Scenario5[winner1-ability2],AvengerAbilities2Scenario5341[[#This Row],[ability]])+COUNTIF(Scenario5[winner2-ability2],AvengerAbilities2Scenario5341[[#This Row],[ability]])</f>
        <v>5</v>
      </c>
      <c r="O115" s="13">
        <f>IF(SUM(AvengerAbilities2Scenario5341[[#This Row],[takes]]) &gt; 0,AvengerAbilities2Scenario5341[[#This Row],[takes]]/SUM(AvengerAbilities2Scenario5341[takes]),0)</f>
        <v>7.8014184397163122E-2</v>
      </c>
      <c r="P115" s="13">
        <f>IF(AvengerAbilities2Scenario5341[[#This Row],[takes]]&gt;0,AvengerAbilities2Scenario5341[[#This Row],[wins]]/AvengerAbilities2Scenario5341[[#This Row],[takes]],0)</f>
        <v>0.45454545454545453</v>
      </c>
      <c r="U115" s="18"/>
    </row>
    <row r="116" spans="12:21" x14ac:dyDescent="0.25">
      <c r="L116" s="17"/>
      <c r="O116" s="3"/>
      <c r="P116" s="3"/>
      <c r="U116" s="18"/>
    </row>
    <row r="117" spans="12:21" x14ac:dyDescent="0.25">
      <c r="L117" s="19" t="s">
        <v>109</v>
      </c>
      <c r="M117" s="8" t="s">
        <v>110</v>
      </c>
      <c r="N117" s="8" t="s">
        <v>79</v>
      </c>
      <c r="O117" s="9" t="s">
        <v>117</v>
      </c>
      <c r="P117" s="9" t="s">
        <v>118</v>
      </c>
      <c r="U117" s="18"/>
    </row>
    <row r="118" spans="12:21" x14ac:dyDescent="0.25">
      <c r="L118" s="22" t="s">
        <v>234</v>
      </c>
      <c r="M118" s="1">
        <f>COUNTIF(Scenario5[winner1-ability3],AvengerAbilities3Scenario5342[[#This Row],[ability]])+COUNTIF(Scenario5[winner2-ability3],AvengerAbilities3Scenario5342[[#This Row],[ability]])+COUNTIF(Scenario5[loser1-ability3],AvengerAbilities3Scenario5342[[#This Row],[ability]])+COUNTIF(Scenario5[loser2-ability3],AvengerAbilities3Scenario5342[[#This Row],[ability]])</f>
        <v>28</v>
      </c>
      <c r="N118" s="1">
        <f>COUNTIF(Scenario5[winner1-ability3],AvengerAbilities3Scenario5342[[#This Row],[ability]])+COUNTIF(Scenario5[winner2-ability3],AvengerAbilities3Scenario5342[[#This Row],[ability]])</f>
        <v>20</v>
      </c>
      <c r="O118" s="14">
        <f>IF(SUM(AvengerAbilities3Scenario5342[[#This Row],[takes]]) &gt; 0,AvengerAbilities3Scenario5342[[#This Row],[takes]]/SUM(AvengerAbilities3Scenario5342[takes]),0)</f>
        <v>0.25454545454545452</v>
      </c>
      <c r="P118" s="14">
        <f>IF(AvengerAbilities3Scenario5342[[#This Row],[takes]]&gt;0,AvengerAbilities3Scenario5342[[#This Row],[wins]]/AvengerAbilities3Scenario5342[[#This Row],[takes]],0)</f>
        <v>0.7142857142857143</v>
      </c>
      <c r="U118" s="18"/>
    </row>
    <row r="119" spans="12:21" x14ac:dyDescent="0.25">
      <c r="L119" s="20" t="s">
        <v>235</v>
      </c>
      <c r="M119" s="2">
        <f>COUNTIF(Scenario5[winner1-ability3],AvengerAbilities3Scenario5342[[#This Row],[ability]])+COUNTIF(Scenario5[winner2-ability3],AvengerAbilities3Scenario5342[[#This Row],[ability]])+COUNTIF(Scenario5[loser1-ability3],AvengerAbilities3Scenario5342[[#This Row],[ability]])+COUNTIF(Scenario5[loser2-ability3],AvengerAbilities3Scenario5342[[#This Row],[ability]])</f>
        <v>72</v>
      </c>
      <c r="N119" s="2">
        <f>COUNTIF(Scenario5[winner1-ability3],AvengerAbilities3Scenario5342[[#This Row],[ability]])+COUNTIF(Scenario5[winner2-ability3],AvengerAbilities3Scenario5342[[#This Row],[ability]])</f>
        <v>34</v>
      </c>
      <c r="O119" s="12">
        <f>IF(SUM(AvengerAbilities3Scenario5342[[#This Row],[takes]]) &gt; 0,AvengerAbilities3Scenario5342[[#This Row],[takes]]/SUM(AvengerAbilities3Scenario5342[takes]),0)</f>
        <v>0.65454545454545454</v>
      </c>
      <c r="P119" s="12">
        <f>IF(AvengerAbilities3Scenario5342[[#This Row],[takes]]&gt;0,AvengerAbilities3Scenario5342[[#This Row],[wins]]/AvengerAbilities3Scenario5342[[#This Row],[takes]],0)</f>
        <v>0.47222222222222221</v>
      </c>
      <c r="U119" s="18"/>
    </row>
    <row r="120" spans="12:21" x14ac:dyDescent="0.25">
      <c r="L120" s="23" t="s">
        <v>236</v>
      </c>
      <c r="M120" s="1">
        <f>COUNTIF(Scenario5[winner1-ability3],AvengerAbilities3Scenario5342[[#This Row],[ability]])+COUNTIF(Scenario5[winner2-ability3],AvengerAbilities3Scenario5342[[#This Row],[ability]])+COUNTIF(Scenario5[loser1-ability3],AvengerAbilities3Scenario5342[[#This Row],[ability]])+COUNTIF(Scenario5[loser2-ability3],AvengerAbilities3Scenario5342[[#This Row],[ability]])</f>
        <v>10</v>
      </c>
      <c r="N120" s="1">
        <f>COUNTIF(Scenario5[winner1-ability3],AvengerAbilities3Scenario5342[[#This Row],[ability]])+COUNTIF(Scenario5[winner2-ability3],AvengerAbilities3Scenario5342[[#This Row],[ability]])</f>
        <v>8</v>
      </c>
      <c r="O120" s="15">
        <f>IF(SUM(AvengerAbilities3Scenario5342[[#This Row],[takes]]) &gt; 0,AvengerAbilities3Scenario5342[[#This Row],[takes]]/SUM(AvengerAbilities3Scenario5342[takes]),0)</f>
        <v>9.0909090909090912E-2</v>
      </c>
      <c r="P120" s="15">
        <f>IF(AvengerAbilities3Scenario5342[[#This Row],[takes]]&gt;0,AvengerAbilities3Scenario5342[[#This Row],[wins]]/AvengerAbilities3Scenario5342[[#This Row],[takes]],0)</f>
        <v>0.8</v>
      </c>
      <c r="U120" s="18"/>
    </row>
    <row r="121" spans="12:21" x14ac:dyDescent="0.25">
      <c r="L121" s="17"/>
      <c r="O121" s="3"/>
      <c r="P121" s="3"/>
      <c r="U121" s="18"/>
    </row>
    <row r="122" spans="12:21" x14ac:dyDescent="0.25">
      <c r="L122" s="19" t="s">
        <v>109</v>
      </c>
      <c r="M122" s="8" t="s">
        <v>110</v>
      </c>
      <c r="N122" s="8" t="s">
        <v>79</v>
      </c>
      <c r="O122" s="9" t="s">
        <v>117</v>
      </c>
      <c r="P122" s="9" t="s">
        <v>118</v>
      </c>
      <c r="U122" s="18"/>
    </row>
    <row r="123" spans="12:21" x14ac:dyDescent="0.25">
      <c r="L123" s="20" t="s">
        <v>237</v>
      </c>
      <c r="M123" s="2">
        <f>COUNTIF(Scenario5[winner1-ability4],AvengerAbilities4Scenario5343[[#This Row],[ability]])+COUNTIF(Scenario5[winner2-ability4],AvengerAbilities4Scenario5343[[#This Row],[ability]])+COUNTIF(Scenario5[loser1-ability4],AvengerAbilities4Scenario5343[[#This Row],[ability]])+COUNTIF(Scenario5[loser2-ability4],AvengerAbilities4Scenario5343[[#This Row],[ability]])</f>
        <v>12</v>
      </c>
      <c r="N123" s="2">
        <f>COUNTIF(Scenario5[winner1-ability4],AvengerAbilities4Scenario5343[[#This Row],[ability]])+COUNTIF(Scenario5[winner2-ability4],AvengerAbilities4Scenario5343[[#This Row],[ability]])</f>
        <v>4</v>
      </c>
      <c r="O123" s="12">
        <f>IF(SUM(AvengerAbilities4Scenario5343[[#This Row],[takes]]) &gt; 0,AvengerAbilities4Scenario5343[[#This Row],[takes]]/SUM(AvengerAbilities4Scenario5343[takes]),0)</f>
        <v>0.16901408450704225</v>
      </c>
      <c r="P123" s="12">
        <f>IF(AvengerAbilities4Scenario5343[[#This Row],[takes]]&gt;0,AvengerAbilities4Scenario5343[[#This Row],[wins]]/AvengerAbilities4Scenario5343[[#This Row],[takes]],0)</f>
        <v>0.33333333333333331</v>
      </c>
      <c r="U123" s="18"/>
    </row>
    <row r="124" spans="12:21" x14ac:dyDescent="0.25">
      <c r="L124" s="20" t="s">
        <v>238</v>
      </c>
      <c r="M124" s="2">
        <f>COUNTIF(Scenario5[winner1-ability4],AvengerAbilities4Scenario5343[[#This Row],[ability]])+COUNTIF(Scenario5[winner2-ability4],AvengerAbilities4Scenario5343[[#This Row],[ability]])+COUNTIF(Scenario5[loser1-ability4],AvengerAbilities4Scenario5343[[#This Row],[ability]])+COUNTIF(Scenario5[loser2-ability4],AvengerAbilities4Scenario5343[[#This Row],[ability]])</f>
        <v>50</v>
      </c>
      <c r="N124" s="2">
        <f>COUNTIF(Scenario5[winner1-ability4],AvengerAbilities4Scenario5343[[#This Row],[ability]])+COUNTIF(Scenario5[winner2-ability4],AvengerAbilities4Scenario5343[[#This Row],[ability]])</f>
        <v>30</v>
      </c>
      <c r="O124" s="12">
        <f>IF(SUM(AvengerAbilities4Scenario5343[[#This Row],[takes]]) &gt; 0,AvengerAbilities4Scenario5343[[#This Row],[takes]]/SUM(AvengerAbilities4Scenario5343[takes]),0)</f>
        <v>0.70422535211267601</v>
      </c>
      <c r="P124" s="12">
        <f>IF(AvengerAbilities4Scenario5343[[#This Row],[takes]]&gt;0,AvengerAbilities4Scenario5343[[#This Row],[wins]]/AvengerAbilities4Scenario5343[[#This Row],[takes]],0)</f>
        <v>0.6</v>
      </c>
      <c r="U124" s="18"/>
    </row>
    <row r="125" spans="12:21" ht="15.75" thickBot="1" x14ac:dyDescent="0.3">
      <c r="L125" s="24" t="s">
        <v>239</v>
      </c>
      <c r="M125" s="25">
        <f>COUNTIF(Scenario5[winner1-ability4],AvengerAbilities4Scenario5343[[#This Row],[ability]])+COUNTIF(Scenario5[winner2-ability4],AvengerAbilities4Scenario5343[[#This Row],[ability]])+COUNTIF(Scenario5[loser1-ability4],AvengerAbilities4Scenario5343[[#This Row],[ability]])+COUNTIF(Scenario5[loser2-ability4],AvengerAbilities4Scenario5343[[#This Row],[ability]])</f>
        <v>9</v>
      </c>
      <c r="N125" s="25">
        <f>COUNTIF(Scenario5[winner1-ability4],AvengerAbilities4Scenario5343[[#This Row],[ability]])+COUNTIF(Scenario5[winner2-ability4],AvengerAbilities4Scenario5343[[#This Row],[ability]])</f>
        <v>4</v>
      </c>
      <c r="O125" s="26">
        <f>IF(SUM(AvengerAbilities4Scenario5343[[#This Row],[takes]]) &gt; 0,AvengerAbilities4Scenario5343[[#This Row],[takes]]/SUM(AvengerAbilities4Scenario5343[takes]),0)</f>
        <v>0.12676056338028169</v>
      </c>
      <c r="P125" s="26">
        <f>IF(AvengerAbilities4Scenario5343[[#This Row],[takes]]&gt;0,AvengerAbilities4Scenario5343[[#This Row],[wins]]/AvengerAbilities4Scenario5343[[#This Row],[takes]],0)</f>
        <v>0.44444444444444442</v>
      </c>
      <c r="Q125" s="27"/>
      <c r="R125" s="27"/>
      <c r="S125" s="27"/>
      <c r="T125" s="27"/>
      <c r="U125" s="28"/>
    </row>
  </sheetData>
  <mergeCells count="7">
    <mergeCell ref="L106:U106"/>
    <mergeCell ref="A1:J1"/>
    <mergeCell ref="L1:U1"/>
    <mergeCell ref="L22:U22"/>
    <mergeCell ref="L43:U43"/>
    <mergeCell ref="L64:U64"/>
    <mergeCell ref="L85:U85"/>
  </mergeCells>
  <pageMargins left="0.7" right="0.7" top="0.75" bottom="0.75" header="0.3" footer="0.3"/>
  <pageSetup paperSize="9" orientation="portrait" r:id="rId1"/>
  <tableParts count="3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</vt:lpstr>
      <vt:lpstr>0-stat</vt:lpstr>
      <vt:lpstr>1</vt:lpstr>
      <vt:lpstr>1-stat</vt:lpstr>
      <vt:lpstr>2</vt:lpstr>
      <vt:lpstr>2-stat</vt:lpstr>
      <vt:lpstr>3</vt:lpstr>
      <vt:lpstr>3-stat</vt:lpstr>
      <vt:lpstr>4</vt:lpstr>
      <vt:lpstr>4-stat</vt:lpstr>
      <vt:lpstr>5</vt:lpstr>
      <vt:lpstr>5-stat</vt:lpstr>
      <vt:lpstr>statistics</vt:lpstr>
      <vt:lpstr>paragon</vt:lpstr>
      <vt:lpstr>highlander</vt:lpstr>
      <vt:lpstr>druid</vt:lpstr>
      <vt:lpstr>oracle</vt:lpstr>
      <vt:lpstr>avatar</vt:lpstr>
      <vt:lpstr>shadow</vt:lpstr>
      <vt:lpstr>lightbringer</vt:lpstr>
      <vt:lpstr>avenger</vt:lpstr>
      <vt:lpstr>navarch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2023-09-17T13:08:22Z</dcterms:modified>
</cp:coreProperties>
</file>