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DBA59343-789C-444A-AE3B-57BAC6CE43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0" sheetId="1" r:id="rId1"/>
    <sheet name="0-statistics" sheetId="2" r:id="rId2"/>
    <sheet name="statistics" sheetId="3" r:id="rId3"/>
    <sheet name="paragon" sheetId="4" r:id="rId4"/>
    <sheet name="highlander" sheetId="5" r:id="rId5"/>
    <sheet name="druid" sheetId="6" r:id="rId6"/>
    <sheet name="oracle" sheetId="7" r:id="rId7"/>
    <sheet name="avatar" sheetId="8" r:id="rId8"/>
    <sheet name="shadow" sheetId="9" r:id="rId9"/>
    <sheet name="lightbringer" sheetId="10" r:id="rId10"/>
    <sheet name="avenger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1" l="1"/>
  <c r="B19" i="11"/>
  <c r="E19" i="11" s="1"/>
  <c r="C18" i="11"/>
  <c r="B18" i="11"/>
  <c r="E18" i="11" s="1"/>
  <c r="C17" i="11"/>
  <c r="B17" i="11"/>
  <c r="E17" i="11" s="1"/>
  <c r="C14" i="11"/>
  <c r="B14" i="11"/>
  <c r="E14" i="11" s="1"/>
  <c r="C13" i="11"/>
  <c r="B13" i="11"/>
  <c r="E13" i="11" s="1"/>
  <c r="C12" i="11"/>
  <c r="B12" i="11"/>
  <c r="E12" i="11" s="1"/>
  <c r="C9" i="11"/>
  <c r="B9" i="11"/>
  <c r="E9" i="11" s="1"/>
  <c r="C8" i="11"/>
  <c r="B8" i="11"/>
  <c r="E8" i="11" s="1"/>
  <c r="C7" i="11"/>
  <c r="B7" i="11"/>
  <c r="E7" i="11" s="1"/>
  <c r="C4" i="11"/>
  <c r="B4" i="11"/>
  <c r="E4" i="11" s="1"/>
  <c r="C3" i="11"/>
  <c r="B3" i="11"/>
  <c r="E3" i="11" s="1"/>
  <c r="C2" i="11"/>
  <c r="B2" i="11"/>
  <c r="E2" i="11" s="1"/>
  <c r="C19" i="10"/>
  <c r="B19" i="10"/>
  <c r="E19" i="10" s="1"/>
  <c r="C18" i="10"/>
  <c r="B18" i="10"/>
  <c r="E18" i="10" s="1"/>
  <c r="C17" i="10"/>
  <c r="B17" i="10"/>
  <c r="E17" i="10" s="1"/>
  <c r="C14" i="10"/>
  <c r="B14" i="10"/>
  <c r="E14" i="10" s="1"/>
  <c r="C13" i="10"/>
  <c r="B13" i="10"/>
  <c r="E13" i="10" s="1"/>
  <c r="C12" i="10"/>
  <c r="B12" i="10"/>
  <c r="E12" i="10" s="1"/>
  <c r="C9" i="10"/>
  <c r="B9" i="10"/>
  <c r="E9" i="10" s="1"/>
  <c r="C8" i="10"/>
  <c r="B8" i="10"/>
  <c r="E8" i="10" s="1"/>
  <c r="C7" i="10"/>
  <c r="B7" i="10"/>
  <c r="E7" i="10" s="1"/>
  <c r="C4" i="10"/>
  <c r="B4" i="10"/>
  <c r="E4" i="10" s="1"/>
  <c r="C3" i="10"/>
  <c r="B3" i="10"/>
  <c r="E3" i="10" s="1"/>
  <c r="C2" i="10"/>
  <c r="B2" i="10"/>
  <c r="E2" i="10" s="1"/>
  <c r="C19" i="9"/>
  <c r="B19" i="9"/>
  <c r="E19" i="9" s="1"/>
  <c r="C18" i="9"/>
  <c r="B18" i="9"/>
  <c r="E18" i="9" s="1"/>
  <c r="C17" i="9"/>
  <c r="B17" i="9"/>
  <c r="E17" i="9" s="1"/>
  <c r="C14" i="9"/>
  <c r="B14" i="9"/>
  <c r="E14" i="9" s="1"/>
  <c r="C13" i="9"/>
  <c r="B13" i="9"/>
  <c r="E13" i="9" s="1"/>
  <c r="C12" i="9"/>
  <c r="B12" i="9"/>
  <c r="E12" i="9" s="1"/>
  <c r="C9" i="9"/>
  <c r="B9" i="9"/>
  <c r="E9" i="9" s="1"/>
  <c r="C8" i="9"/>
  <c r="B8" i="9"/>
  <c r="E8" i="9" s="1"/>
  <c r="C7" i="9"/>
  <c r="B7" i="9"/>
  <c r="E7" i="9" s="1"/>
  <c r="C4" i="9"/>
  <c r="B4" i="9"/>
  <c r="E4" i="9" s="1"/>
  <c r="C3" i="9"/>
  <c r="B3" i="9"/>
  <c r="E3" i="9" s="1"/>
  <c r="C2" i="9"/>
  <c r="B2" i="9"/>
  <c r="E2" i="9" s="1"/>
  <c r="C19" i="8"/>
  <c r="B19" i="8"/>
  <c r="E19" i="8" s="1"/>
  <c r="C18" i="8"/>
  <c r="B18" i="8"/>
  <c r="E18" i="8" s="1"/>
  <c r="C17" i="8"/>
  <c r="B17" i="8"/>
  <c r="E17" i="8" s="1"/>
  <c r="C14" i="8"/>
  <c r="B14" i="8"/>
  <c r="E14" i="8" s="1"/>
  <c r="C13" i="8"/>
  <c r="B13" i="8"/>
  <c r="E13" i="8" s="1"/>
  <c r="C12" i="8"/>
  <c r="B12" i="8"/>
  <c r="E12" i="8" s="1"/>
  <c r="C9" i="8"/>
  <c r="B9" i="8"/>
  <c r="E9" i="8" s="1"/>
  <c r="C8" i="8"/>
  <c r="B8" i="8"/>
  <c r="E8" i="8" s="1"/>
  <c r="C7" i="8"/>
  <c r="B7" i="8"/>
  <c r="E7" i="8" s="1"/>
  <c r="C4" i="8"/>
  <c r="B4" i="8"/>
  <c r="E4" i="8" s="1"/>
  <c r="C3" i="8"/>
  <c r="B3" i="8"/>
  <c r="E3" i="8" s="1"/>
  <c r="C2" i="8"/>
  <c r="B2" i="8"/>
  <c r="E2" i="8" s="1"/>
  <c r="C19" i="7"/>
  <c r="B19" i="7"/>
  <c r="E19" i="7" s="1"/>
  <c r="C18" i="7"/>
  <c r="B18" i="7"/>
  <c r="E18" i="7" s="1"/>
  <c r="C17" i="7"/>
  <c r="B17" i="7"/>
  <c r="E17" i="7" s="1"/>
  <c r="C14" i="7"/>
  <c r="B14" i="7"/>
  <c r="E14" i="7" s="1"/>
  <c r="C13" i="7"/>
  <c r="B13" i="7"/>
  <c r="E13" i="7" s="1"/>
  <c r="C12" i="7"/>
  <c r="B12" i="7"/>
  <c r="E12" i="7" s="1"/>
  <c r="C9" i="7"/>
  <c r="B9" i="7"/>
  <c r="E9" i="7" s="1"/>
  <c r="C8" i="7"/>
  <c r="B8" i="7"/>
  <c r="E8" i="7" s="1"/>
  <c r="C7" i="7"/>
  <c r="B7" i="7"/>
  <c r="E7" i="7" s="1"/>
  <c r="C4" i="7"/>
  <c r="B4" i="7"/>
  <c r="E4" i="7" s="1"/>
  <c r="C3" i="7"/>
  <c r="B3" i="7"/>
  <c r="E3" i="7" s="1"/>
  <c r="C2" i="7"/>
  <c r="B2" i="7"/>
  <c r="E2" i="7" s="1"/>
  <c r="C19" i="6"/>
  <c r="B19" i="6"/>
  <c r="E19" i="6" s="1"/>
  <c r="C18" i="6"/>
  <c r="B18" i="6"/>
  <c r="E18" i="6" s="1"/>
  <c r="C17" i="6"/>
  <c r="B17" i="6"/>
  <c r="E17" i="6" s="1"/>
  <c r="C14" i="6"/>
  <c r="B14" i="6"/>
  <c r="E14" i="6" s="1"/>
  <c r="C13" i="6"/>
  <c r="B13" i="6"/>
  <c r="E13" i="6" s="1"/>
  <c r="C12" i="6"/>
  <c r="B12" i="6"/>
  <c r="E12" i="6" s="1"/>
  <c r="C9" i="6"/>
  <c r="B9" i="6"/>
  <c r="E9" i="6" s="1"/>
  <c r="C8" i="6"/>
  <c r="B8" i="6"/>
  <c r="E8" i="6" s="1"/>
  <c r="C7" i="6"/>
  <c r="B7" i="6"/>
  <c r="E7" i="6" s="1"/>
  <c r="C4" i="6"/>
  <c r="B4" i="6"/>
  <c r="E4" i="6" s="1"/>
  <c r="C3" i="6"/>
  <c r="B3" i="6"/>
  <c r="E3" i="6" s="1"/>
  <c r="C2" i="6"/>
  <c r="B2" i="6"/>
  <c r="E2" i="6" s="1"/>
  <c r="C19" i="5"/>
  <c r="B19" i="5"/>
  <c r="E19" i="5" s="1"/>
  <c r="C18" i="5"/>
  <c r="B18" i="5"/>
  <c r="E18" i="5" s="1"/>
  <c r="C17" i="5"/>
  <c r="B17" i="5"/>
  <c r="E17" i="5" s="1"/>
  <c r="C14" i="5"/>
  <c r="B14" i="5"/>
  <c r="E14" i="5" s="1"/>
  <c r="C13" i="5"/>
  <c r="B13" i="5"/>
  <c r="E13" i="5" s="1"/>
  <c r="C12" i="5"/>
  <c r="B12" i="5"/>
  <c r="E12" i="5" s="1"/>
  <c r="C9" i="5"/>
  <c r="B9" i="5"/>
  <c r="E9" i="5" s="1"/>
  <c r="C8" i="5"/>
  <c r="B8" i="5"/>
  <c r="E8" i="5" s="1"/>
  <c r="C7" i="5"/>
  <c r="B7" i="5"/>
  <c r="E7" i="5" s="1"/>
  <c r="C4" i="5"/>
  <c r="B4" i="5"/>
  <c r="E4" i="5" s="1"/>
  <c r="C3" i="5"/>
  <c r="B3" i="5"/>
  <c r="E3" i="5" s="1"/>
  <c r="C2" i="5"/>
  <c r="B2" i="5"/>
  <c r="E2" i="5" s="1"/>
  <c r="C17" i="4"/>
  <c r="C18" i="4"/>
  <c r="C19" i="4"/>
  <c r="C12" i="4"/>
  <c r="C13" i="4"/>
  <c r="C14" i="4"/>
  <c r="C7" i="4"/>
  <c r="C8" i="4"/>
  <c r="C9" i="4"/>
  <c r="C2" i="4"/>
  <c r="C3" i="4"/>
  <c r="C4" i="4"/>
  <c r="B17" i="4"/>
  <c r="D17" i="4" s="1"/>
  <c r="B18" i="4"/>
  <c r="D18" i="4" s="1"/>
  <c r="B19" i="4"/>
  <c r="D19" i="4" s="1"/>
  <c r="B12" i="4"/>
  <c r="E12" i="4" s="1"/>
  <c r="B13" i="4"/>
  <c r="D13" i="4" s="1"/>
  <c r="B14" i="4"/>
  <c r="D14" i="4" s="1"/>
  <c r="B7" i="4"/>
  <c r="D7" i="4" s="1"/>
  <c r="B8" i="4"/>
  <c r="E8" i="4" s="1"/>
  <c r="B9" i="4"/>
  <c r="D9" i="4" s="1"/>
  <c r="B2" i="4"/>
  <c r="D2" i="4" s="1"/>
  <c r="B3" i="4"/>
  <c r="D3" i="4" s="1"/>
  <c r="B4" i="4"/>
  <c r="E4" i="4" s="1"/>
  <c r="S3" i="2"/>
  <c r="T3" i="2" s="1"/>
  <c r="P2" i="2"/>
  <c r="S6" i="2" s="1"/>
  <c r="T6" i="2" s="1"/>
  <c r="P1" i="2"/>
  <c r="C2" i="3"/>
  <c r="C3" i="3"/>
  <c r="C4" i="3"/>
  <c r="C5" i="3"/>
  <c r="C6" i="3"/>
  <c r="C7" i="3"/>
  <c r="C8" i="3"/>
  <c r="C9" i="3"/>
  <c r="B2" i="3"/>
  <c r="B3" i="3"/>
  <c r="B4" i="3"/>
  <c r="B5" i="3"/>
  <c r="B6" i="3"/>
  <c r="B7" i="3"/>
  <c r="B8" i="3"/>
  <c r="B9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D4" i="4" l="1"/>
  <c r="D8" i="4"/>
  <c r="D12" i="4"/>
  <c r="D4" i="5"/>
  <c r="D8" i="5"/>
  <c r="D12" i="5"/>
  <c r="D4" i="6"/>
  <c r="D8" i="6"/>
  <c r="D12" i="6"/>
  <c r="E3" i="4"/>
  <c r="E7" i="4"/>
  <c r="E19" i="4"/>
  <c r="D3" i="5"/>
  <c r="D7" i="5"/>
  <c r="D19" i="5"/>
  <c r="D3" i="6"/>
  <c r="D7" i="6"/>
  <c r="D19" i="6"/>
  <c r="E2" i="4"/>
  <c r="E14" i="4"/>
  <c r="E18" i="4"/>
  <c r="D2" i="5"/>
  <c r="D14" i="5"/>
  <c r="D18" i="5"/>
  <c r="D2" i="6"/>
  <c r="D14" i="6"/>
  <c r="D18" i="6"/>
  <c r="S2" i="2"/>
  <c r="T2" i="2" s="1"/>
  <c r="E9" i="4"/>
  <c r="E13" i="4"/>
  <c r="E17" i="4"/>
  <c r="D9" i="5"/>
  <c r="D13" i="5"/>
  <c r="D17" i="5"/>
  <c r="D9" i="6"/>
  <c r="D13" i="6"/>
  <c r="D17" i="6"/>
  <c r="D2" i="11"/>
  <c r="D3" i="11"/>
  <c r="D4" i="11"/>
  <c r="D7" i="11"/>
  <c r="D8" i="11"/>
  <c r="D9" i="11"/>
  <c r="D12" i="11"/>
  <c r="D13" i="11"/>
  <c r="D14" i="11"/>
  <c r="D17" i="11"/>
  <c r="D18" i="11"/>
  <c r="D19" i="11"/>
  <c r="D2" i="10"/>
  <c r="D3" i="10"/>
  <c r="D4" i="10"/>
  <c r="D7" i="10"/>
  <c r="D8" i="10"/>
  <c r="D9" i="10"/>
  <c r="D12" i="10"/>
  <c r="D13" i="10"/>
  <c r="D14" i="10"/>
  <c r="D17" i="10"/>
  <c r="D18" i="10"/>
  <c r="D19" i="10"/>
  <c r="D2" i="9"/>
  <c r="D3" i="9"/>
  <c r="D4" i="9"/>
  <c r="D7" i="9"/>
  <c r="D8" i="9"/>
  <c r="D9" i="9"/>
  <c r="D12" i="9"/>
  <c r="D13" i="9"/>
  <c r="D14" i="9"/>
  <c r="D17" i="9"/>
  <c r="D18" i="9"/>
  <c r="D19" i="9"/>
  <c r="D2" i="8"/>
  <c r="D3" i="8"/>
  <c r="D4" i="8"/>
  <c r="D7" i="8"/>
  <c r="D8" i="8"/>
  <c r="D9" i="8"/>
  <c r="D12" i="8"/>
  <c r="D13" i="8"/>
  <c r="D14" i="8"/>
  <c r="D17" i="8"/>
  <c r="D18" i="8"/>
  <c r="D19" i="8"/>
  <c r="D2" i="7"/>
  <c r="D3" i="7"/>
  <c r="D4" i="7"/>
  <c r="D7" i="7"/>
  <c r="D8" i="7"/>
  <c r="D9" i="7"/>
  <c r="D12" i="7"/>
  <c r="D13" i="7"/>
  <c r="D14" i="7"/>
  <c r="D17" i="7"/>
  <c r="D18" i="7"/>
  <c r="D19" i="7"/>
  <c r="D3" i="3"/>
  <c r="D6" i="3"/>
  <c r="D2" i="3"/>
  <c r="D9" i="3"/>
  <c r="D5" i="3"/>
  <c r="D7" i="3"/>
  <c r="D8" i="3"/>
  <c r="D4" i="3"/>
  <c r="S4" i="2"/>
  <c r="T4" i="2" s="1"/>
  <c r="S5" i="2"/>
  <c r="T5" i="2" s="1"/>
  <c r="G211" i="2"/>
  <c r="G207" i="2"/>
  <c r="G203" i="2"/>
  <c r="G199" i="2"/>
  <c r="G195" i="2"/>
  <c r="G191" i="2"/>
  <c r="G187" i="2"/>
  <c r="G183" i="2"/>
  <c r="G179" i="2"/>
  <c r="G175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3" i="2"/>
  <c r="G171" i="2"/>
  <c r="G210" i="2"/>
  <c r="G202" i="2"/>
  <c r="G194" i="2"/>
  <c r="G186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206" i="2"/>
  <c r="G198" i="2"/>
  <c r="G190" i="2"/>
  <c r="G182" i="2"/>
  <c r="G209" i="2"/>
  <c r="G201" i="2"/>
  <c r="G193" i="2"/>
  <c r="G185" i="2"/>
  <c r="G173" i="2"/>
  <c r="G165" i="2"/>
  <c r="G205" i="2"/>
  <c r="G197" i="2"/>
  <c r="G189" i="2"/>
  <c r="G181" i="2"/>
  <c r="G177" i="2"/>
  <c r="G169" i="2"/>
  <c r="G161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4" i="2"/>
  <c r="G76" i="2"/>
  <c r="G68" i="2"/>
  <c r="G60" i="2"/>
  <c r="G52" i="2"/>
  <c r="G44" i="2"/>
  <c r="G36" i="2"/>
  <c r="G28" i="2"/>
  <c r="G20" i="2"/>
  <c r="G12" i="2"/>
  <c r="G4" i="2"/>
  <c r="G212" i="2"/>
  <c r="G204" i="2"/>
  <c r="G196" i="2"/>
  <c r="G188" i="2"/>
  <c r="G172" i="2"/>
  <c r="G164" i="2"/>
  <c r="G156" i="2"/>
  <c r="G148" i="2"/>
  <c r="G140" i="2"/>
  <c r="G132" i="2"/>
  <c r="G124" i="2"/>
  <c r="G116" i="2"/>
  <c r="G108" i="2"/>
  <c r="G100" i="2"/>
  <c r="G92" i="2"/>
  <c r="G88" i="2"/>
  <c r="G80" i="2"/>
  <c r="G72" i="2"/>
  <c r="G64" i="2"/>
  <c r="G56" i="2"/>
  <c r="G48" i="2"/>
  <c r="G40" i="2"/>
  <c r="G32" i="2"/>
  <c r="G24" i="2"/>
  <c r="G16" i="2"/>
  <c r="G8" i="2"/>
  <c r="L18" i="2"/>
  <c r="G180" i="2"/>
  <c r="L14" i="2"/>
  <c r="L10" i="2"/>
  <c r="L6" i="2"/>
  <c r="L20" i="2"/>
  <c r="L16" i="2"/>
  <c r="L12" i="2"/>
  <c r="L26" i="2"/>
  <c r="L19" i="2"/>
  <c r="L15" i="2"/>
  <c r="L11" i="2"/>
  <c r="L7" i="2"/>
  <c r="L30" i="2"/>
  <c r="L24" i="2"/>
  <c r="L25" i="2"/>
  <c r="L21" i="2"/>
  <c r="L17" i="2"/>
  <c r="L13" i="2"/>
  <c r="L8" i="2"/>
  <c r="L4" i="2"/>
  <c r="L23" i="2"/>
  <c r="L22" i="2"/>
  <c r="L9" i="2"/>
  <c r="L5" i="2"/>
  <c r="L3" i="2"/>
  <c r="L27" i="2"/>
  <c r="L29" i="2"/>
  <c r="L28" i="2"/>
  <c r="K13" i="2" l="1"/>
  <c r="M13" i="2" s="1"/>
  <c r="K25" i="2"/>
  <c r="M25" i="2" s="1"/>
  <c r="K29" i="2"/>
  <c r="M29" i="2" s="1"/>
  <c r="K8" i="2"/>
  <c r="M8" i="2" s="1"/>
  <c r="K26" i="2"/>
  <c r="M26" i="2" s="1"/>
  <c r="K9" i="2"/>
  <c r="M9" i="2" s="1"/>
  <c r="K22" i="2"/>
  <c r="M22" i="2" s="1"/>
  <c r="K15" i="2"/>
  <c r="M15" i="2" s="1"/>
  <c r="K28" i="2"/>
  <c r="M28" i="2" s="1"/>
  <c r="K19" i="2"/>
  <c r="M19" i="2" s="1"/>
  <c r="K3" i="2"/>
  <c r="M3" i="2" s="1"/>
  <c r="K30" i="2"/>
  <c r="M30" i="2" s="1"/>
  <c r="K7" i="2"/>
  <c r="M7" i="2" s="1"/>
  <c r="K17" i="2"/>
  <c r="M17" i="2" s="1"/>
  <c r="K24" i="2"/>
  <c r="M24" i="2" s="1"/>
  <c r="K21" i="2"/>
  <c r="M21" i="2" s="1"/>
  <c r="K5" i="2"/>
  <c r="M5" i="2" s="1"/>
  <c r="K23" i="2"/>
  <c r="M23" i="2" s="1"/>
  <c r="K4" i="2"/>
  <c r="M4" i="2" s="1"/>
  <c r="K11" i="2"/>
  <c r="M11" i="2" s="1"/>
  <c r="K6" i="2"/>
  <c r="M6" i="2" s="1"/>
  <c r="K10" i="2"/>
  <c r="M10" i="2" s="1"/>
  <c r="K27" i="2"/>
  <c r="M27" i="2" s="1"/>
  <c r="K12" i="2"/>
  <c r="M12" i="2" s="1"/>
  <c r="K20" i="2"/>
  <c r="M20" i="2" s="1"/>
  <c r="K18" i="2"/>
  <c r="M18" i="2" s="1"/>
  <c r="K14" i="2"/>
  <c r="M14" i="2" s="1"/>
  <c r="K16" i="2"/>
  <c r="M16" i="2" s="1"/>
</calcChain>
</file>

<file path=xl/sharedStrings.xml><?xml version="1.0" encoding="utf-8"?>
<sst xmlns="http://schemas.openxmlformats.org/spreadsheetml/2006/main" count="1475" uniqueCount="181">
  <si>
    <t>battle</t>
  </si>
  <si>
    <t>scenario</t>
  </si>
  <si>
    <t>winner1</t>
  </si>
  <si>
    <t>winner1-pw</t>
  </si>
  <si>
    <t>winner1-sw</t>
  </si>
  <si>
    <t>winner1-cp</t>
  </si>
  <si>
    <t>winner1-ability1</t>
  </si>
  <si>
    <t>winner1-ability2</t>
  </si>
  <si>
    <t>winner1-ability3</t>
  </si>
  <si>
    <t>winner1-ability4</t>
  </si>
  <si>
    <t>winner2</t>
  </si>
  <si>
    <t>winner2-pw</t>
  </si>
  <si>
    <t>winner2-sw</t>
  </si>
  <si>
    <t>winner2-cp</t>
  </si>
  <si>
    <t>winner2-ability1</t>
  </si>
  <si>
    <t>winner2-ability2</t>
  </si>
  <si>
    <t>winner2-ability3</t>
  </si>
  <si>
    <t>winner2-ability4</t>
  </si>
  <si>
    <t>loser1</t>
  </si>
  <si>
    <t>loser1-pw</t>
  </si>
  <si>
    <t>loser1-sw</t>
  </si>
  <si>
    <t>loser1-cp</t>
  </si>
  <si>
    <t>loser1-ability1</t>
  </si>
  <si>
    <t>loser1-ability2</t>
  </si>
  <si>
    <t>loser1-ability3</t>
  </si>
  <si>
    <t>loser1-ability4</t>
  </si>
  <si>
    <t>loser2</t>
  </si>
  <si>
    <t>loser2-pw</t>
  </si>
  <si>
    <t>loser2-sw</t>
  </si>
  <si>
    <t>loser2-cp</t>
  </si>
  <si>
    <t>loser2-ability1</t>
  </si>
  <si>
    <t>loser2-ability3</t>
  </si>
  <si>
    <t>loser2-ability4</t>
  </si>
  <si>
    <t>turns</t>
  </si>
  <si>
    <t>oracle</t>
  </si>
  <si>
    <t>13-dangerous-knowledge</t>
  </si>
  <si>
    <t>23-paranoia</t>
  </si>
  <si>
    <t>31-disruption</t>
  </si>
  <si>
    <t>42-castling</t>
  </si>
  <si>
    <t>avenger</t>
  </si>
  <si>
    <t>13-fit-of-energy</t>
  </si>
  <si>
    <t>21-precise-strike</t>
  </si>
  <si>
    <t>31-blade-storm</t>
  </si>
  <si>
    <t>43-sands-of-time</t>
  </si>
  <si>
    <t>avatar</t>
  </si>
  <si>
    <t>11-furious-strike</t>
  </si>
  <si>
    <t>shadow</t>
  </si>
  <si>
    <t>11-kinetic-impact</t>
  </si>
  <si>
    <t>11-aimed-shot</t>
  </si>
  <si>
    <t>druid</t>
  </si>
  <si>
    <t>11-crown-of-thorns</t>
  </si>
  <si>
    <t>22-wolf</t>
  </si>
  <si>
    <t>31-choking-vine</t>
  </si>
  <si>
    <t>42-dryad</t>
  </si>
  <si>
    <t>paragon</t>
  </si>
  <si>
    <t>11-sunder-armor</t>
  </si>
  <si>
    <t>21-spear-throw</t>
  </si>
  <si>
    <t>highlander</t>
  </si>
  <si>
    <t>13-lightning-rod</t>
  </si>
  <si>
    <t>battles</t>
  </si>
  <si>
    <t>hero-1</t>
  </si>
  <si>
    <t>hero-2</t>
  </si>
  <si>
    <t>hero-3</t>
  </si>
  <si>
    <t>hero-4</t>
  </si>
  <si>
    <t>lightbringer</t>
  </si>
  <si>
    <t>crystals</t>
  </si>
  <si>
    <t>12-reflection</t>
  </si>
  <si>
    <t>21-mind-blow</t>
  </si>
  <si>
    <t>11-double-strike</t>
  </si>
  <si>
    <t>11-heavy-strike</t>
  </si>
  <si>
    <t>21-sweeping-strike</t>
  </si>
  <si>
    <t>22-quicksands</t>
  </si>
  <si>
    <t>21-entangling-roots</t>
  </si>
  <si>
    <t>11-sun-strike</t>
  </si>
  <si>
    <t>13-fireball</t>
  </si>
  <si>
    <t>21-flame-claws</t>
  </si>
  <si>
    <t>33-meteor</t>
  </si>
  <si>
    <t>23-blind</t>
  </si>
  <si>
    <t>team-2-win</t>
  </si>
  <si>
    <t>Setups</t>
  </si>
  <si>
    <t>wins</t>
  </si>
  <si>
    <t>win-rate</t>
  </si>
  <si>
    <t>team-1-win</t>
  </si>
  <si>
    <t>Teams</t>
  </si>
  <si>
    <t>b3342980-04b3-11ec-a5bb-53febc6ba765</t>
  </si>
  <si>
    <t>22-counterattack</t>
  </si>
  <si>
    <t>23-breath-of-life</t>
  </si>
  <si>
    <t>bd923f40-04b6-11ec-a5bb-53febc6ba765</t>
  </si>
  <si>
    <t>33-lightning-strike</t>
  </si>
  <si>
    <t>792e96c0-04b9-11ec-a5bb-53febc6ba765</t>
  </si>
  <si>
    <t>12-heavy-shot</t>
  </si>
  <si>
    <t>6cd5be40-04bd-11ec-81f5-5558d03ce9a6</t>
  </si>
  <si>
    <t>32-thunderer</t>
  </si>
  <si>
    <t>41-decapitation</t>
  </si>
  <si>
    <t>12-poison-touch</t>
  </si>
  <si>
    <t>33-power-of-the-pack</t>
  </si>
  <si>
    <t>23-aura-of-light</t>
  </si>
  <si>
    <t>2e252160-04c0-11ec-81f5-5558d03ce9a6</t>
  </si>
  <si>
    <t>75268cf0-04c2-11ec-81f5-5558d03ce9a6</t>
  </si>
  <si>
    <t>bfaefc60-04c4-11ec-81f5-5558d03ce9a6</t>
  </si>
  <si>
    <t>22-cat-hook</t>
  </si>
  <si>
    <t>33-dark-shot</t>
  </si>
  <si>
    <t>43-oblivion</t>
  </si>
  <si>
    <t>8315a6c0-04c7-11ec-81f5-5558d03ce9a6</t>
  </si>
  <si>
    <t>21-aura-of-might</t>
  </si>
  <si>
    <t>a6b1cad0-04c9-11ec-81f5-5558d03ce9a6</t>
  </si>
  <si>
    <t>23-temporal-strike</t>
  </si>
  <si>
    <t>50f118a0-04cc-11ec-81f5-5558d03ce9a6</t>
  </si>
  <si>
    <t>878d6f10-04ce-11ec-81f5-5558d03ce9a6</t>
  </si>
  <si>
    <t>33-bandaging</t>
  </si>
  <si>
    <t>41-piercing-strike</t>
  </si>
  <si>
    <t>23-scorch</t>
  </si>
  <si>
    <t>32-elements-control</t>
  </si>
  <si>
    <t>42-dragon-spirit</t>
  </si>
  <si>
    <t>40e59100-04d3-11ec-81f5-5558d03ce9a6</t>
  </si>
  <si>
    <t>b43fada0-04d5-11ec-81f5-5558d03ce9a6</t>
  </si>
  <si>
    <t>31-volley</t>
  </si>
  <si>
    <t>e8c7ad90-04d8-11ec-92d4-db8882ed2b97</t>
  </si>
  <si>
    <t>eaf996d0-04da-11ec-92d4-db8882ed2b97</t>
  </si>
  <si>
    <t>13-sun-touch</t>
  </si>
  <si>
    <t>31-retribution</t>
  </si>
  <si>
    <t>2d047380-04de-11ec-92d4-db8882ed2b97</t>
  </si>
  <si>
    <t>4d1bdda0-04e0-11ec-92d4-db8882ed2b97</t>
  </si>
  <si>
    <t>32-no-step-back</t>
  </si>
  <si>
    <t>hero</t>
  </si>
  <si>
    <t>Average Crystals Per Battle</t>
  </si>
  <si>
    <t>Average Turns Count</t>
  </si>
  <si>
    <t>Think Time</t>
  </si>
  <si>
    <t>Estimated Battle Time (mins)</t>
  </si>
  <si>
    <t>Estimated Full Run Time (hours)</t>
  </si>
  <si>
    <t>fab75950-04e3-11ec-92d4-db8882ed2b97</t>
  </si>
  <si>
    <t>ability</t>
  </si>
  <si>
    <t>takes</t>
  </si>
  <si>
    <t>12-shield-bash</t>
  </si>
  <si>
    <t>13-shoulder-to-shoulder</t>
  </si>
  <si>
    <t>23-defender</t>
  </si>
  <si>
    <t>31-assault</t>
  </si>
  <si>
    <t>42-breakthrough</t>
  </si>
  <si>
    <t>43-rallying</t>
  </si>
  <si>
    <t>battles-take-rate</t>
  </si>
  <si>
    <t>take-win-rate</t>
  </si>
  <si>
    <t>loser2-ability2</t>
  </si>
  <si>
    <t>12-strong-grip</t>
  </si>
  <si>
    <t>22-freedom-spirit</t>
  </si>
  <si>
    <t>23-static-attraction</t>
  </si>
  <si>
    <t>31-halving</t>
  </si>
  <si>
    <t>42-ancestral-power</t>
  </si>
  <si>
    <t>43-chain-lightning</t>
  </si>
  <si>
    <t>13-wound-healing</t>
  </si>
  <si>
    <t>32-war-tree</t>
  </si>
  <si>
    <t>41-wrath-of-nature</t>
  </si>
  <si>
    <t>43-symbiosis</t>
  </si>
  <si>
    <t>22-knowledge-steal</t>
  </si>
  <si>
    <t>32-teleportation</t>
  </si>
  <si>
    <t>33-mind-control</t>
  </si>
  <si>
    <t>41-void-vortex</t>
  </si>
  <si>
    <t>43-amnesia</t>
  </si>
  <si>
    <t>12-flame-dash</t>
  </si>
  <si>
    <t>22-cauterization</t>
  </si>
  <si>
    <t>31-dragon-tail</t>
  </si>
  <si>
    <t>41-harmony</t>
  </si>
  <si>
    <t>43-fire</t>
  </si>
  <si>
    <t>13-debilitating-shot</t>
  </si>
  <si>
    <t>21-rapid-fire</t>
  </si>
  <si>
    <t>32-shadow-cloak</t>
  </si>
  <si>
    <t>41-headshot</t>
  </si>
  <si>
    <t>42-phantom</t>
  </si>
  <si>
    <t>12-skies-gift</t>
  </si>
  <si>
    <t>22-aura-of-fortitude</t>
  </si>
  <si>
    <t>32-sun-aegis</t>
  </si>
  <si>
    <t>33-cleansing</t>
  </si>
  <si>
    <t>41-hammer-of-wrath</t>
  </si>
  <si>
    <t>42-divine-radiance</t>
  </si>
  <si>
    <t>43-sunrise</t>
  </si>
  <si>
    <t>12-desert-revenge</t>
  </si>
  <si>
    <t>32-sand-storm</t>
  </si>
  <si>
    <t>33-time-trap</t>
  </si>
  <si>
    <t>41-excellence</t>
  </si>
  <si>
    <t>42-sand-form</t>
  </si>
  <si>
    <t>d45a1ca0-04e5-11ec-92d4-db8882ed2b97</t>
  </si>
  <si>
    <t>9f0918a0-04e8-11ec-92d4-db8882ed2b97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</si>
</sst>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0" fillId="0" borderId="0" xfId="0" applyNumberFormat="1"/>
    <xf numFmtId="11" fontId="0" fillId="0" borderId="0" xfId="0" applyNumberFormat="1"/>
    <xf numFmtId="2" fontId="0" fillId="0" borderId="0" xfId="0" applyNumberFormat="1"/>
    <xf numFmtId="0" fontId="1" fillId="0" borderId="2" xfId="0" applyFont="1" applyBorder="1"/>
    <xf numFmtId="2" fontId="1" fillId="0" borderId="4" xfId="0" applyNumberFormat="1" applyFont="1" applyBorder="1"/>
    <xf numFmtId="0" fontId="1" fillId="0" borderId="5" xfId="0" applyFont="1" applyBorder="1"/>
    <xf numFmtId="2" fontId="1" fillId="0" borderId="6" xfId="0" applyNumberFormat="1" applyFont="1" applyBorder="1"/>
    <xf numFmtId="1" fontId="0" fillId="0" borderId="0" xfId="0" applyNumberFormat="1"/>
    <xf numFmtId="0" fontId="2" fillId="2" borderId="7" xfId="0" applyFont="1" applyFill="1" applyBorder="1"/>
    <xf numFmtId="0" fontId="2" fillId="2" borderId="8" xfId="0" applyFont="1" applyFill="1" applyBorder="1"/>
    <xf numFmtId="10" fontId="2" fillId="2" borderId="8" xfId="0" applyNumberFormat="1" applyFont="1" applyFill="1" applyBorder="1"/>
    <xf numFmtId="0" fontId="0" fillId="0" borderId="9" xfId="0" applyFont="1" applyBorder="1"/>
    <xf numFmtId="0" fontId="0" fillId="3" borderId="9" xfId="0" applyFont="1" applyFill="1" applyBorder="1"/>
    <xf numFmtId="10" fontId="0" fillId="0" borderId="1" xfId="0" applyNumberFormat="1" applyFont="1" applyBorder="1"/>
    <xf numFmtId="10" fontId="0" fillId="0" borderId="9" xfId="0" applyNumberFormat="1" applyFont="1" applyBorder="1"/>
    <xf numFmtId="10" fontId="0" fillId="3" borderId="1" xfId="0" applyNumberFormat="1" applyFont="1" applyFill="1" applyBorder="1"/>
    <xf numFmtId="10" fontId="0" fillId="3" borderId="9" xfId="0" applyNumberFormat="1" applyFont="1" applyFill="1" applyBorder="1"/>
  </cellXfs>
  <cellStyles count="1">
    <cellStyle name="Normal" xfId="0" builtinId="0"/>
  </cellStyles>
  <dxfs count="236"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</dxf>
    <dxf>
      <numFmt numFmtId="1" formatCode="0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AJ21" totalsRowShown="0">
  <autoFilter ref="A1:AJ21" xr:uid="{00000000-0009-0000-0100-000001000000}"/>
  <tableColumns count="36">
    <tableColumn id="1" xr3:uid="{00000000-0010-0000-0000-000001000000}" name="battle"/>
    <tableColumn id="2" xr3:uid="{00000000-0010-0000-0000-000002000000}" name="scenario"/>
    <tableColumn id="3" xr3:uid="{00000000-0010-0000-0000-000003000000}" name="winner1"/>
    <tableColumn id="4" xr3:uid="{00000000-0010-0000-0000-000004000000}" name="winner1-pw"/>
    <tableColumn id="5" xr3:uid="{00000000-0010-0000-0000-000005000000}" name="winner1-sw"/>
    <tableColumn id="6" xr3:uid="{00000000-0010-0000-0000-000006000000}" name="winner1-cp"/>
    <tableColumn id="7" xr3:uid="{00000000-0010-0000-0000-000007000000}" name="winner1-ability1"/>
    <tableColumn id="8" xr3:uid="{00000000-0010-0000-0000-000008000000}" name="winner1-ability2"/>
    <tableColumn id="9" xr3:uid="{00000000-0010-0000-0000-000009000000}" name="winner1-ability3"/>
    <tableColumn id="10" xr3:uid="{00000000-0010-0000-0000-00000A000000}" name="winner1-ability4"/>
    <tableColumn id="11" xr3:uid="{00000000-0010-0000-0000-00000B000000}" name="winner2"/>
    <tableColumn id="12" xr3:uid="{00000000-0010-0000-0000-00000C000000}" name="winner2-pw"/>
    <tableColumn id="13" xr3:uid="{00000000-0010-0000-0000-00000D000000}" name="winner2-sw"/>
    <tableColumn id="14" xr3:uid="{00000000-0010-0000-0000-00000E000000}" name="winner2-cp"/>
    <tableColumn id="15" xr3:uid="{00000000-0010-0000-0000-00000F000000}" name="winner2-ability1"/>
    <tableColumn id="16" xr3:uid="{00000000-0010-0000-0000-000010000000}" name="winner2-ability2"/>
    <tableColumn id="17" xr3:uid="{00000000-0010-0000-0000-000011000000}" name="winner2-ability3"/>
    <tableColumn id="18" xr3:uid="{00000000-0010-0000-0000-000012000000}" name="winner2-ability4"/>
    <tableColumn id="19" xr3:uid="{00000000-0010-0000-0000-000013000000}" name="loser1"/>
    <tableColumn id="20" xr3:uid="{00000000-0010-0000-0000-000014000000}" name="loser1-pw"/>
    <tableColumn id="21" xr3:uid="{00000000-0010-0000-0000-000015000000}" name="loser1-sw"/>
    <tableColumn id="22" xr3:uid="{00000000-0010-0000-0000-000016000000}" name="loser1-cp"/>
    <tableColumn id="23" xr3:uid="{00000000-0010-0000-0000-000017000000}" name="loser1-ability1"/>
    <tableColumn id="24" xr3:uid="{00000000-0010-0000-0000-000018000000}" name="loser1-ability2"/>
    <tableColumn id="25" xr3:uid="{00000000-0010-0000-0000-000019000000}" name="loser1-ability3"/>
    <tableColumn id="26" xr3:uid="{00000000-0010-0000-0000-00001A000000}" name="loser1-ability4"/>
    <tableColumn id="27" xr3:uid="{00000000-0010-0000-0000-00001B000000}" name="loser2"/>
    <tableColumn id="28" xr3:uid="{00000000-0010-0000-0000-00001C000000}" name="loser2-pw"/>
    <tableColumn id="29" xr3:uid="{00000000-0010-0000-0000-00001D000000}" name="loser2-sw"/>
    <tableColumn id="30" xr3:uid="{00000000-0010-0000-0000-00001E000000}" name="loser2-cp"/>
    <tableColumn id="31" xr3:uid="{00000000-0010-0000-0000-00001F000000}" name="loser2-ability1"/>
    <tableColumn id="32" xr3:uid="{00000000-0010-0000-0000-000020000000}" name="loser2-ability2"/>
    <tableColumn id="33" xr3:uid="{00000000-0010-0000-0000-000021000000}" name="loser2-ability3"/>
    <tableColumn id="34" xr3:uid="{00000000-0010-0000-0000-000022000000}" name="loser2-ability4"/>
    <tableColumn id="35" xr3:uid="{00000000-0010-0000-0000-000023000000}" name="crystals"/>
    <tableColumn id="36" xr3:uid="{E1119BD8-51D7-48B0-8C81-27D4F50C3BB6}" name="turn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66F4D30-7DBF-4D65-9A72-E7B208B05DE0}" name="Table712" displayName="Table712" ref="A1:E4" totalsRowShown="0">
  <autoFilter ref="A1:E4" xr:uid="{DCA301F1-E0F8-4700-BEE5-2688AF43F23A}"/>
  <tableColumns count="5">
    <tableColumn id="2" xr3:uid="{C5F0ACF1-033B-4C35-A916-4F278AF4A3BE}" name="ability"/>
    <tableColumn id="6" xr3:uid="{1A19440C-2A32-4C29-99C7-AC47DDBFE5CB}" name="takes" dataDxfId="199">
      <calculatedColumnFormula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</calculatedColumnFormula>
    </tableColumn>
    <tableColumn id="4" xr3:uid="{EA007BCF-FE0D-472D-89CC-3B157C4AB07B}" name="wins" dataDxfId="198">
      <calculatedColumnFormula>COUNTIF(Таблица1[winner1-ability1],Table712[[#This Row],[ability]])+COUNTIF(Таблица1[winner2-ability1],Table712[[#This Row],[ability]])</calculatedColumnFormula>
    </tableColumn>
    <tableColumn id="5" xr3:uid="{A94185BE-9816-474C-8973-0A54D8FEF710}" name="battles-take-rate" dataDxfId="147">
      <calculatedColumnFormula>IF(SUM(Table712[[#This Row],[takes]]) &gt; 0,Table712[[#This Row],[takes]]/SUM(Table712[takes]),0)</calculatedColumnFormula>
    </tableColumn>
    <tableColumn id="7" xr3:uid="{D2FB093C-12E7-4FE0-B969-FBA8E1A7826C}" name="take-win-rate" dataDxfId="197">
      <calculatedColumnFormula>IF(Table712[[#This Row],[takes]]&gt;0,Table712[[#This Row],[wins]]/Table712[[#This Row],[takes]],0)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5449B03-EE54-4BB6-91BF-728706DF582D}" name="Table813" displayName="Table813" ref="A6:E9" totalsRowShown="0" headerRowDxfId="196" headerRowBorderDxfId="194" tableBorderDxfId="195" totalsRowBorderDxfId="193">
  <autoFilter ref="A6:E9" xr:uid="{8ADAEE31-4DDA-4DF2-9EAD-04808D53FFC1}"/>
  <tableColumns count="5">
    <tableColumn id="1" xr3:uid="{48D74CBC-EC17-4EC2-95FA-4302F28E4416}" name="ability"/>
    <tableColumn id="2" xr3:uid="{93D0F4C4-BC1B-4219-9A49-08A5A87A5C24}" name="takes" dataDxfId="192">
      <calculatedColumnFormula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</calculatedColumnFormula>
    </tableColumn>
    <tableColumn id="3" xr3:uid="{629F1216-A487-4A9D-AFED-6FA41B8F696C}" name="wins" dataDxfId="191">
      <calculatedColumnFormula>COUNTIF(Таблица1[winner1-ability2],Table813[[#This Row],[ability]])+COUNTIF(Таблица1[winner2-ability2],Table813[[#This Row],[ability]])</calculatedColumnFormula>
    </tableColumn>
    <tableColumn id="4" xr3:uid="{888D233F-C4EE-4508-B89C-814A73B5F64E}" name="battles-take-rate" dataDxfId="146">
      <calculatedColumnFormula>IF(SUM(Table813[[#This Row],[takes]]) &gt; 0,Table813[[#This Row],[takes]]/SUM(Table813[takes]),0)</calculatedColumnFormula>
    </tableColumn>
    <tableColumn id="5" xr3:uid="{E2951F86-9EDC-45ED-9996-DC5B4F7916F5}" name="take-win-rate" dataDxfId="190">
      <calculatedColumnFormula>IF(Table813[[#This Row],[takes]]&gt;0,Table813[[#This Row],[wins]]/Table813[[#This Row],[takes]],0)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B6C96DF-520F-46F0-814A-99EE580997C7}" name="Table914" displayName="Table914" ref="A11:E14" totalsRowShown="0" headerRowDxfId="189" headerRowBorderDxfId="187" tableBorderDxfId="188" totalsRowBorderDxfId="186">
  <autoFilter ref="A11:E14" xr:uid="{1B0EA3CA-FA8E-4345-B52C-471D5C94AD38}"/>
  <tableColumns count="5">
    <tableColumn id="1" xr3:uid="{4DA29322-1A6A-4A5F-9F51-C610FDD2CF86}" name="ability"/>
    <tableColumn id="2" xr3:uid="{3DBB6A6B-EA0F-4C97-AD69-A8E330187DA8}" name="takes" dataDxfId="185">
      <calculatedColumnFormula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</calculatedColumnFormula>
    </tableColumn>
    <tableColumn id="3" xr3:uid="{68B3DF49-8FAA-4070-8551-E37FF5989C82}" name="wins" dataDxfId="184">
      <calculatedColumnFormula>COUNTIF(Таблица1[winner1-ability3],Table914[[#This Row],[ability]])+COUNTIF(Таблица1[winner2-ability3],Table914[[#This Row],[ability]])</calculatedColumnFormula>
    </tableColumn>
    <tableColumn id="4" xr3:uid="{A958FBA6-455E-46B1-8DB1-343255FAB02D}" name="battles-take-rate" dataDxfId="145">
      <calculatedColumnFormula>IF(SUM(Table914[[#This Row],[takes]]) &gt; 0,Table914[[#This Row],[takes]]/SUM(Table914[takes]),0)</calculatedColumnFormula>
    </tableColumn>
    <tableColumn id="5" xr3:uid="{B5021FB0-CFF0-4FD6-99CF-2879FA3F4ADC}" name="take-win-rate" dataDxfId="183">
      <calculatedColumnFormula>IF(Table914[[#This Row],[takes]]&gt;0,Table914[[#This Row],[wins]]/Table914[[#This Row],[takes]],0)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5CAE6B0-8212-449E-8365-1CE49FC7A2AC}" name="Table1015" displayName="Table1015" ref="A16:E19" totalsRowShown="0" headerRowDxfId="182" headerRowBorderDxfId="180" tableBorderDxfId="181" totalsRowBorderDxfId="179">
  <autoFilter ref="A16:E19" xr:uid="{2AADA4A0-2F4A-4009-8ECF-0BECA693390C}"/>
  <tableColumns count="5">
    <tableColumn id="1" xr3:uid="{8E59CB0B-F46F-4C18-8B95-AC9EE45E75F5}" name="ability"/>
    <tableColumn id="2" xr3:uid="{1412A00E-40DA-4EAF-9241-7DE469DC1564}" name="takes" dataDxfId="178">
      <calculatedColumnFormula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</calculatedColumnFormula>
    </tableColumn>
    <tableColumn id="3" xr3:uid="{617EE036-454C-4F13-ADEA-8CF13330DC75}" name="wins" dataDxfId="177">
      <calculatedColumnFormula>COUNTIF(Таблица1[winner1-ability4],Table1015[[#This Row],[ability]])+COUNTIF(Таблица1[winner2-ability4],Table1015[[#This Row],[ability]])</calculatedColumnFormula>
    </tableColumn>
    <tableColumn id="4" xr3:uid="{071CD302-9515-46E0-BB4A-71CA32876586}" name="battles-take-rate" dataDxfId="144">
      <calculatedColumnFormula>IF(SUM(Table1015[[#This Row],[takes]]) &gt; 0,Table1015[[#This Row],[takes]]/SUM(Table1015[takes]),0)</calculatedColumnFormula>
    </tableColumn>
    <tableColumn id="5" xr3:uid="{36E2935A-CA9B-4248-B5F5-46DD2B381350}" name="take-win-rate" dataDxfId="176">
      <calculatedColumnFormula>IF(Table1015[[#This Row],[takes]]&gt;0,Table1015[[#This Row],[wins]]/Table1015[[#This Row],[takes]],0)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6912D71-7090-4845-AA60-60A6668DA631}" name="Table71216" displayName="Table71216" ref="A1:E4" totalsRowShown="0">
  <autoFilter ref="A1:E4" xr:uid="{DCA301F1-E0F8-4700-BEE5-2688AF43F23A}"/>
  <tableColumns count="5">
    <tableColumn id="2" xr3:uid="{9255EF85-AB1A-4B79-BB1F-45DD5C5BB686}" name="ability"/>
    <tableColumn id="6" xr3:uid="{F5527CBC-F61B-4EC3-AFAF-244F8F979593}" name="takes" dataDxfId="175">
      <calculatedColumnFormula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</calculatedColumnFormula>
    </tableColumn>
    <tableColumn id="4" xr3:uid="{4AF4CA96-9568-456F-83E4-4C45299A4F4C}" name="wins" dataDxfId="174">
      <calculatedColumnFormula>COUNTIF(Таблица1[winner1-ability1],Table71216[[#This Row],[ability]])+COUNTIF(Таблица1[winner2-ability1],Table71216[[#This Row],[ability]])</calculatedColumnFormula>
    </tableColumn>
    <tableColumn id="5" xr3:uid="{FC42A0B5-886A-41F6-9E7D-9675E817474A}" name="battles-take-rate" dataDxfId="143">
      <calculatedColumnFormula>IF(SUM(Table71216[[#This Row],[takes]]) &gt; 0,Table71216[[#This Row],[takes]]/SUM(Table71216[takes]),0)</calculatedColumnFormula>
    </tableColumn>
    <tableColumn id="7" xr3:uid="{0F819830-8510-40D0-A38E-9533D2D9AFD1}" name="take-win-rate" dataDxfId="173">
      <calculatedColumnFormula>IF(Table71216[[#This Row],[takes]]&gt;0,Table71216[[#This Row],[wins]]/Table71216[[#This Row],[takes]],0)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FE4E6EF-FC1D-4976-877B-BC194BCDD02A}" name="Table81317" displayName="Table81317" ref="A6:E9" totalsRowShown="0" headerRowDxfId="172" headerRowBorderDxfId="170" tableBorderDxfId="171" totalsRowBorderDxfId="169">
  <autoFilter ref="A6:E9" xr:uid="{8ADAEE31-4DDA-4DF2-9EAD-04808D53FFC1}"/>
  <tableColumns count="5">
    <tableColumn id="1" xr3:uid="{0CC258B7-E949-4428-9385-8FC18520F986}" name="ability"/>
    <tableColumn id="2" xr3:uid="{0809AB48-BD16-40C1-AA9A-2BED7CDB89C9}" name="takes" dataDxfId="168">
      <calculatedColumnFormula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</calculatedColumnFormula>
    </tableColumn>
    <tableColumn id="3" xr3:uid="{D9B285F7-8194-4926-BDE5-97EA47B86640}" name="wins" dataDxfId="167">
      <calculatedColumnFormula>COUNTIF(Таблица1[winner1-ability2],Table81317[[#This Row],[ability]])+COUNTIF(Таблица1[winner2-ability2],Table81317[[#This Row],[ability]])</calculatedColumnFormula>
    </tableColumn>
    <tableColumn id="4" xr3:uid="{B6E2E229-9691-4B70-99E3-659A3042B811}" name="battles-take-rate" dataDxfId="142">
      <calculatedColumnFormula>IF(SUM(Table81317[[#This Row],[takes]]) &gt; 0,Table81317[[#This Row],[takes]]/SUM(Table81317[takes]),0)</calculatedColumnFormula>
    </tableColumn>
    <tableColumn id="5" xr3:uid="{D2FE3150-C1DC-49F8-97DC-FF60A14B658A}" name="take-win-rate" dataDxfId="166">
      <calculatedColumnFormula>IF(Table81317[[#This Row],[takes]]&gt;0,Table81317[[#This Row],[wins]]/Table81317[[#This Row],[takes]],0)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D2DB8EE-3C5F-4271-8BC0-A2340FDAE1A8}" name="Table91418" displayName="Table91418" ref="A11:E14" totalsRowShown="0" headerRowDxfId="165" headerRowBorderDxfId="163" tableBorderDxfId="164" totalsRowBorderDxfId="162">
  <autoFilter ref="A11:E14" xr:uid="{1B0EA3CA-FA8E-4345-B52C-471D5C94AD38}"/>
  <tableColumns count="5">
    <tableColumn id="1" xr3:uid="{EDC121D2-421E-4D61-B08B-AFE0AD98CF55}" name="ability"/>
    <tableColumn id="2" xr3:uid="{DE80DC4C-8E41-432E-9216-D58458D7C78B}" name="takes" dataDxfId="161">
      <calculatedColumnFormula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</calculatedColumnFormula>
    </tableColumn>
    <tableColumn id="3" xr3:uid="{49FD1C31-19AC-47C4-A9E0-4010FDBC5652}" name="wins" dataDxfId="160">
      <calculatedColumnFormula>COUNTIF(Таблица1[winner1-ability3],Table91418[[#This Row],[ability]])+COUNTIF(Таблица1[winner2-ability3],Table91418[[#This Row],[ability]])</calculatedColumnFormula>
    </tableColumn>
    <tableColumn id="4" xr3:uid="{867096AF-A5E7-4152-BAFF-F69057ACF877}" name="battles-take-rate" dataDxfId="141">
      <calculatedColumnFormula>IF(SUM(Table91418[[#This Row],[takes]]) &gt; 0,Table91418[[#This Row],[takes]]/SUM(Table91418[takes]),0)</calculatedColumnFormula>
    </tableColumn>
    <tableColumn id="5" xr3:uid="{6BFB68FF-249B-4057-B242-D2C80FC127AA}" name="take-win-rate" dataDxfId="159">
      <calculatedColumnFormula>IF(Table91418[[#This Row],[takes]]&gt;0,Table91418[[#This Row],[wins]]/Table91418[[#This Row],[takes]],0)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9400BF-2866-4FD3-A527-43C4C9E0705E}" name="Table101519" displayName="Table101519" ref="A16:E19" totalsRowShown="0" headerRowDxfId="158" headerRowBorderDxfId="156" tableBorderDxfId="157" totalsRowBorderDxfId="155">
  <autoFilter ref="A16:E19" xr:uid="{2AADA4A0-2F4A-4009-8ECF-0BECA693390C}"/>
  <tableColumns count="5">
    <tableColumn id="1" xr3:uid="{DDEFFDA0-05FD-4426-AE7A-2F47242047B8}" name="ability"/>
    <tableColumn id="2" xr3:uid="{BA53EFC8-0FFF-4EB6-B11A-33B8B635AC12}" name="takes" dataDxfId="154">
      <calculatedColumnFormula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</calculatedColumnFormula>
    </tableColumn>
    <tableColumn id="3" xr3:uid="{368187D4-DE5D-4EDF-97AE-66B18BD7AD1E}" name="wins" dataDxfId="153">
      <calculatedColumnFormula>COUNTIF(Таблица1[winner1-ability4],Table101519[[#This Row],[ability]])+COUNTIF(Таблица1[winner2-ability4],Table101519[[#This Row],[ability]])</calculatedColumnFormula>
    </tableColumn>
    <tableColumn id="4" xr3:uid="{2E0ED5D0-CAAA-4F70-987D-37A42F4D6130}" name="battles-take-rate" dataDxfId="140">
      <calculatedColumnFormula>IF(SUM(Table101519[[#This Row],[takes]]) &gt; 0,Table101519[[#This Row],[takes]]/SUM(Table101519[takes]),0)</calculatedColumnFormula>
    </tableColumn>
    <tableColumn id="5" xr3:uid="{1CFECBC5-8D82-4661-8290-C3BBA3428030}" name="take-win-rate" dataDxfId="152">
      <calculatedColumnFormula>IF(Table101519[[#This Row],[takes]]&gt;0,Table101519[[#This Row],[wins]]/Table101519[[#This Row],[takes]],0)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EE99D9D-AF82-497F-B2F5-9E56B3E6E314}" name="Table7121620" displayName="Table7121620" ref="A1:E4" totalsRowShown="0">
  <autoFilter ref="A1:E4" xr:uid="{DCA301F1-E0F8-4700-BEE5-2688AF43F23A}"/>
  <tableColumns count="5">
    <tableColumn id="2" xr3:uid="{CFB0E30C-19A4-426D-B1F5-F8407D33CDEF}" name="ability"/>
    <tableColumn id="6" xr3:uid="{CE63CB81-DB10-4197-84E0-425E8D07D8C8}" name="takes" dataDxfId="139">
      <calculatedColumnFormula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</calculatedColumnFormula>
    </tableColumn>
    <tableColumn id="4" xr3:uid="{AA391A5E-572B-4FEE-B4CC-C0571AFE83E4}" name="wins" dataDxfId="138">
      <calculatedColumnFormula>COUNTIF(Таблица1[winner1-ability1],Table7121620[[#This Row],[ability]])+COUNTIF(Таблица1[winner2-ability1],Table7121620[[#This Row],[ability]])</calculatedColumnFormula>
    </tableColumn>
    <tableColumn id="5" xr3:uid="{D3594B7B-050C-4CBA-AB69-2394167CD43A}" name="battles-take-rate" dataDxfId="137">
      <calculatedColumnFormula>IF(SUM(Table7121620[[#This Row],[takes]]) &gt; 0,Table7121620[[#This Row],[takes]]/SUM(Table7121620[takes]),0)</calculatedColumnFormula>
    </tableColumn>
    <tableColumn id="7" xr3:uid="{4968CD21-2548-4A39-9D6B-A1AE3EDF5814}" name="take-win-rate" dataDxfId="136">
      <calculatedColumnFormula>IF(Table7121620[[#This Row],[takes]]&gt;0,Table7121620[[#This Row],[wins]]/Table7121620[[#This Row],[takes]],0)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9A047F9-DA07-4353-967F-BC39528B96F8}" name="Table8131721" displayName="Table8131721" ref="A6:E9" totalsRowShown="0" headerRowDxfId="135" headerRowBorderDxfId="133" tableBorderDxfId="134" totalsRowBorderDxfId="132">
  <autoFilter ref="A6:E9" xr:uid="{8ADAEE31-4DDA-4DF2-9EAD-04808D53FFC1}"/>
  <tableColumns count="5">
    <tableColumn id="1" xr3:uid="{E43772D8-E5ED-41B4-AFC2-B656F6DA75D7}" name="ability"/>
    <tableColumn id="2" xr3:uid="{5ACD7AA8-7B70-46E9-ABAC-2647C2A2C44E}" name="takes" dataDxfId="131">
      <calculatedColumnFormula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</calculatedColumnFormula>
    </tableColumn>
    <tableColumn id="3" xr3:uid="{06612C30-7551-41BA-A083-E4CAC40CB231}" name="wins" dataDxfId="130">
      <calculatedColumnFormula>COUNTIF(Таблица1[winner1-ability2],Table8131721[[#This Row],[ability]])+COUNTIF(Таблица1[winner2-ability2],Table8131721[[#This Row],[ability]])</calculatedColumnFormula>
    </tableColumn>
    <tableColumn id="4" xr3:uid="{05EF1625-5B8F-4B06-88FA-F58F9D40B313}" name="battles-take-rate" dataDxfId="129">
      <calculatedColumnFormula>IF(SUM(Table8131721[[#This Row],[takes]]) &gt; 0,Table8131721[[#This Row],[takes]]/SUM(Table8131721[takes]),0)</calculatedColumnFormula>
    </tableColumn>
    <tableColumn id="5" xr3:uid="{A65C6B84-7817-47CD-8AB3-C173C68846D7}" name="take-win-rate" dataDxfId="128">
      <calculatedColumnFormula>IF(Table8131721[[#This Row],[takes]]&gt;0,Table8131721[[#This Row],[wins]]/Table8131721[[#This Row],[takes]],0)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" displayName="Таблица2" ref="A2:G212" totalsRowShown="0">
  <autoFilter ref="A2:G212" xr:uid="{00000000-0009-0000-0100-000002000000}"/>
  <tableColumns count="7">
    <tableColumn id="1" xr3:uid="{00000000-0010-0000-0100-000001000000}" name="hero-1"/>
    <tableColumn id="3" xr3:uid="{00000000-0010-0000-0100-000003000000}" name="hero-2"/>
    <tableColumn id="4" xr3:uid="{00000000-0010-0000-0100-000004000000}" name="team-1-win" dataDxfId="235">
      <calculatedColumnFormula>COUNTIFS(Таблица1[winner1],Таблица2[[#This Row],[hero-1]],Таблица1[winner2],Таблица2[[#This Row],[hero-2]],Таблица1[loser1],Таблица2[[#This Row],[hero-3]],Таблица1[loser2],Таблица2[[#This Row],[hero-4]])</calculatedColumnFormula>
    </tableColumn>
    <tableColumn id="5" xr3:uid="{00000000-0010-0000-0100-000005000000}" name="hero-3"/>
    <tableColumn id="7" xr3:uid="{00000000-0010-0000-0100-000007000000}" name="hero-4"/>
    <tableColumn id="8" xr3:uid="{00000000-0010-0000-0100-000008000000}" name="team-2-win" dataDxfId="234">
      <calculatedColumnFormula>COUNTIFS(Таблица1[winner1],Таблица2[[#This Row],[hero-3]],Таблица1[winner2],Таблица2[[#This Row],[hero-4]],Таблица1[loser1],Таблица2[[#This Row],[hero-1]],Таблица1[loser2],Таблица2[[#This Row],[hero-2]])</calculatedColumnFormula>
    </tableColumn>
    <tableColumn id="2" xr3:uid="{90B32919-5E45-497D-B7B4-CD5D6F2857E9}" name="battles" dataDxfId="233">
      <calculatedColumnFormula>Таблица2[[#This Row],[team-1-win]]+Таблица2[[#This Row],[team-2-win]]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10911B2-78C1-4FBF-B005-D6C2DABC6875}" name="Table9141822" displayName="Table9141822" ref="A11:E14" totalsRowShown="0" headerRowDxfId="127" headerRowBorderDxfId="125" tableBorderDxfId="126" totalsRowBorderDxfId="124">
  <autoFilter ref="A11:E14" xr:uid="{1B0EA3CA-FA8E-4345-B52C-471D5C94AD38}"/>
  <tableColumns count="5">
    <tableColumn id="1" xr3:uid="{EF677F5D-A27E-45C6-AC2A-0DD344A0DAF2}" name="ability"/>
    <tableColumn id="2" xr3:uid="{43062161-D894-4623-AD68-16DC67FA045B}" name="takes" dataDxfId="123">
      <calculatedColumnFormula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</calculatedColumnFormula>
    </tableColumn>
    <tableColumn id="3" xr3:uid="{23693642-362A-4C6D-8F18-C6369D3B07DB}" name="wins" dataDxfId="122">
      <calculatedColumnFormula>COUNTIF(Таблица1[winner1-ability3],Table9141822[[#This Row],[ability]])+COUNTIF(Таблица1[winner2-ability3],Table9141822[[#This Row],[ability]])</calculatedColumnFormula>
    </tableColumn>
    <tableColumn id="4" xr3:uid="{8C01C44A-1CF7-4BBD-99BD-DD11E1D77AF8}" name="battles-take-rate" dataDxfId="121">
      <calculatedColumnFormula>IF(SUM(Table9141822[[#This Row],[takes]]) &gt; 0,Table9141822[[#This Row],[takes]]/SUM(Table9141822[takes]),0)</calculatedColumnFormula>
    </tableColumn>
    <tableColumn id="5" xr3:uid="{FD0E9266-7570-4D9E-8BFD-ACD319CC981C}" name="take-win-rate" dataDxfId="120">
      <calculatedColumnFormula>IF(Table9141822[[#This Row],[takes]]&gt;0,Table9141822[[#This Row],[wins]]/Table9141822[[#This Row],[takes]],0)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735B440-5F53-4443-9B97-365642046D2D}" name="Table10151923" displayName="Table10151923" ref="A16:E19" totalsRowShown="0" headerRowDxfId="119" headerRowBorderDxfId="117" tableBorderDxfId="118" totalsRowBorderDxfId="116">
  <autoFilter ref="A16:E19" xr:uid="{2AADA4A0-2F4A-4009-8ECF-0BECA693390C}"/>
  <tableColumns count="5">
    <tableColumn id="1" xr3:uid="{AA3B38AD-FB43-4FD7-998C-DC0AF187775C}" name="ability"/>
    <tableColumn id="2" xr3:uid="{BD2E0D63-F310-4592-B9BC-B67D886A73E0}" name="takes" dataDxfId="115">
      <calculatedColumnFormula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</calculatedColumnFormula>
    </tableColumn>
    <tableColumn id="3" xr3:uid="{27A65A05-A41D-483E-9CCB-6C628E62DA4D}" name="wins" dataDxfId="114">
      <calculatedColumnFormula>COUNTIF(Таблица1[winner1-ability4],Table10151923[[#This Row],[ability]])+COUNTIF(Таблица1[winner2-ability4],Table10151923[[#This Row],[ability]])</calculatedColumnFormula>
    </tableColumn>
    <tableColumn id="4" xr3:uid="{54B9857B-4192-4097-8EFB-9090025A0BBD}" name="battles-take-rate" dataDxfId="113">
      <calculatedColumnFormula>IF(SUM(Table10151923[[#This Row],[takes]]) &gt; 0,Table10151923[[#This Row],[takes]]/SUM(Table10151923[takes]),0)</calculatedColumnFormula>
    </tableColumn>
    <tableColumn id="5" xr3:uid="{009D5A65-2D69-4416-955D-71B6A1D324E2}" name="take-win-rate" dataDxfId="112">
      <calculatedColumnFormula>IF(Table10151923[[#This Row],[takes]]&gt;0,Table10151923[[#This Row],[wins]]/Table10151923[[#This Row],[takes]],0)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35ED812-B4C0-419B-A312-E5FA970ECBEC}" name="Table712162024" displayName="Table712162024" ref="A1:E4" totalsRowShown="0">
  <autoFilter ref="A1:E4" xr:uid="{DCA301F1-E0F8-4700-BEE5-2688AF43F23A}"/>
  <tableColumns count="5">
    <tableColumn id="2" xr3:uid="{CC4083E0-1343-404C-A49B-7D549AC04C5A}" name="ability"/>
    <tableColumn id="6" xr3:uid="{8F68B71C-BA65-401C-94B2-192289814A70}" name="takes" dataDxfId="111">
      <calculatedColumnFormula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</calculatedColumnFormula>
    </tableColumn>
    <tableColumn id="4" xr3:uid="{2FD6D6E4-4E69-4713-82DC-E394DB2C118D}" name="wins" dataDxfId="110">
      <calculatedColumnFormula>COUNTIF(Таблица1[winner1-ability1],Table712162024[[#This Row],[ability]])+COUNTIF(Таблица1[winner2-ability1],Table712162024[[#This Row],[ability]])</calculatedColumnFormula>
    </tableColumn>
    <tableColumn id="5" xr3:uid="{FC57E2CC-1D8A-40E1-A327-E095A60A4FCE}" name="battles-take-rate" dataDxfId="109">
      <calculatedColumnFormula>IF(SUM(Table712162024[[#This Row],[takes]]) &gt; 0,Table712162024[[#This Row],[takes]]/SUM(Table712162024[takes]),0)</calculatedColumnFormula>
    </tableColumn>
    <tableColumn id="7" xr3:uid="{5D9535C0-9A8E-4B95-9FF3-BDBCACE0A517}" name="take-win-rate" dataDxfId="108">
      <calculatedColumnFormula>IF(Table712162024[[#This Row],[takes]]&gt;0,Table712162024[[#This Row],[wins]]/Table712162024[[#This Row],[takes]],0)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0CE916E-C46C-46CC-BA0B-88AC09E2E307}" name="Table813172125" displayName="Table813172125" ref="A6:E9" totalsRowShown="0" headerRowDxfId="107" headerRowBorderDxfId="105" tableBorderDxfId="106" totalsRowBorderDxfId="104">
  <autoFilter ref="A6:E9" xr:uid="{8ADAEE31-4DDA-4DF2-9EAD-04808D53FFC1}"/>
  <tableColumns count="5">
    <tableColumn id="1" xr3:uid="{D0BBFE50-2BAA-4C5D-9BBF-0FD417741CA7}" name="ability"/>
    <tableColumn id="2" xr3:uid="{E3322819-C089-4D41-8496-7F43E3860E93}" name="takes" dataDxfId="103">
      <calculatedColumnFormula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</calculatedColumnFormula>
    </tableColumn>
    <tableColumn id="3" xr3:uid="{FED5F9C8-067D-425E-9B3C-7D9535407B89}" name="wins" dataDxfId="102">
      <calculatedColumnFormula>COUNTIF(Таблица1[winner1-ability2],Table813172125[[#This Row],[ability]])+COUNTIF(Таблица1[winner2-ability2],Table813172125[[#This Row],[ability]])</calculatedColumnFormula>
    </tableColumn>
    <tableColumn id="4" xr3:uid="{48CA24A6-6BB3-434B-9BD2-1820E681DD33}" name="battles-take-rate" dataDxfId="101">
      <calculatedColumnFormula>IF(SUM(Table813172125[[#This Row],[takes]]) &gt; 0,Table813172125[[#This Row],[takes]]/SUM(Table813172125[takes]),0)</calculatedColumnFormula>
    </tableColumn>
    <tableColumn id="5" xr3:uid="{05E51087-CE62-4BB6-94E3-2E54CAA9B326}" name="take-win-rate" dataDxfId="100">
      <calculatedColumnFormula>IF(Table813172125[[#This Row],[takes]]&gt;0,Table813172125[[#This Row],[wins]]/Table813172125[[#This Row],[takes]],0)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B13BC70-6DEC-4CB9-A8B8-1B82E72D2260}" name="Table914182226" displayName="Table914182226" ref="A11:E14" totalsRowShown="0" headerRowDxfId="99" headerRowBorderDxfId="97" tableBorderDxfId="98" totalsRowBorderDxfId="96">
  <autoFilter ref="A11:E14" xr:uid="{1B0EA3CA-FA8E-4345-B52C-471D5C94AD38}"/>
  <tableColumns count="5">
    <tableColumn id="1" xr3:uid="{F039C3F8-04EC-4D86-AA5F-F01F3E385309}" name="ability"/>
    <tableColumn id="2" xr3:uid="{699FC56B-A432-429D-BF0A-1BC870437EC4}" name="takes" dataDxfId="95">
      <calculatedColumnFormula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</calculatedColumnFormula>
    </tableColumn>
    <tableColumn id="3" xr3:uid="{614792BB-2338-4FD5-BE31-8E554FBFED07}" name="wins" dataDxfId="94">
      <calculatedColumnFormula>COUNTIF(Таблица1[winner1-ability3],Table914182226[[#This Row],[ability]])+COUNTIF(Таблица1[winner2-ability3],Table914182226[[#This Row],[ability]])</calculatedColumnFormula>
    </tableColumn>
    <tableColumn id="4" xr3:uid="{1344C14D-2E40-4EA1-97DB-49C01B4C1938}" name="battles-take-rate" dataDxfId="93">
      <calculatedColumnFormula>IF(SUM(Table914182226[[#This Row],[takes]]) &gt; 0,Table914182226[[#This Row],[takes]]/SUM(Table914182226[takes]),0)</calculatedColumnFormula>
    </tableColumn>
    <tableColumn id="5" xr3:uid="{D5CA8546-140E-4822-9D2A-E489D1CD3105}" name="take-win-rate" dataDxfId="92">
      <calculatedColumnFormula>IF(Table914182226[[#This Row],[takes]]&gt;0,Table914182226[[#This Row],[wins]]/Table914182226[[#This Row],[takes]],0)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E8B0D9C-1926-4AB7-9C65-EEACB3B9A86C}" name="Table1015192327" displayName="Table1015192327" ref="A16:E19" totalsRowShown="0" headerRowDxfId="91" headerRowBorderDxfId="89" tableBorderDxfId="90" totalsRowBorderDxfId="88">
  <autoFilter ref="A16:E19" xr:uid="{2AADA4A0-2F4A-4009-8ECF-0BECA693390C}"/>
  <tableColumns count="5">
    <tableColumn id="1" xr3:uid="{94211769-FC21-4F3C-8749-30B0AD384A2F}" name="ability"/>
    <tableColumn id="2" xr3:uid="{72D2E5FB-2870-4E1F-94B7-133AB5C74897}" name="takes" dataDxfId="87">
      <calculatedColumnFormula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</calculatedColumnFormula>
    </tableColumn>
    <tableColumn id="3" xr3:uid="{D9BD41BC-8E58-42E6-8503-2F895F3D0727}" name="wins" dataDxfId="86">
      <calculatedColumnFormula>COUNTIF(Таблица1[winner1-ability4],Table1015192327[[#This Row],[ability]])+COUNTIF(Таблица1[winner2-ability4],Table1015192327[[#This Row],[ability]])</calculatedColumnFormula>
    </tableColumn>
    <tableColumn id="4" xr3:uid="{075A0B87-6347-45C9-B6A0-EA7734105E88}" name="battles-take-rate" dataDxfId="85">
      <calculatedColumnFormula>IF(SUM(Table1015192327[[#This Row],[takes]]) &gt; 0,Table1015192327[[#This Row],[takes]]/SUM(Table1015192327[takes]),0)</calculatedColumnFormula>
    </tableColumn>
    <tableColumn id="5" xr3:uid="{CB58236A-7688-4580-9D3B-72EF11355EF0}" name="take-win-rate" dataDxfId="84">
      <calculatedColumnFormula>IF(Table1015192327[[#This Row],[takes]]&gt;0,Table1015192327[[#This Row],[wins]]/Table1015192327[[#This Row],[takes]],0)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64E1BCA3-BB63-4EF1-A202-FFE762EAE453}" name="Table71216202428" displayName="Table71216202428" ref="A1:E4" totalsRowShown="0">
  <autoFilter ref="A1:E4" xr:uid="{DCA301F1-E0F8-4700-BEE5-2688AF43F23A}"/>
  <tableColumns count="5">
    <tableColumn id="2" xr3:uid="{9F44409B-09C0-4081-8A27-FE4BBFED3C08}" name="ability"/>
    <tableColumn id="6" xr3:uid="{14313730-E3CF-4ABF-B7EB-FF64C29CF80C}" name="takes" dataDxfId="83">
      <calculatedColumnFormula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</calculatedColumnFormula>
    </tableColumn>
    <tableColumn id="4" xr3:uid="{7734B599-AD91-4AF1-94BD-25C6F01A2721}" name="wins" dataDxfId="82">
      <calculatedColumnFormula>COUNTIF(Таблица1[winner1-ability1],Table71216202428[[#This Row],[ability]])+COUNTIF(Таблица1[winner2-ability1],Table71216202428[[#This Row],[ability]])</calculatedColumnFormula>
    </tableColumn>
    <tableColumn id="5" xr3:uid="{EB6C365C-30BD-489D-ACDA-2DFFAA97A7B3}" name="battles-take-rate" dataDxfId="81">
      <calculatedColumnFormula>IF(SUM(Table71216202428[[#This Row],[takes]]) &gt; 0,Table71216202428[[#This Row],[takes]]/SUM(Table71216202428[takes]),0)</calculatedColumnFormula>
    </tableColumn>
    <tableColumn id="7" xr3:uid="{7081248A-ED9C-40B3-9AB5-46EABA90CB8C}" name="take-win-rate" dataDxfId="80">
      <calculatedColumnFormula>IF(Table71216202428[[#This Row],[takes]]&gt;0,Table71216202428[[#This Row],[wins]]/Table71216202428[[#This Row],[takes]],0)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E7732F9-FB08-47AE-9D35-C8C7D5BEEFB5}" name="Table81317212529" displayName="Table81317212529" ref="A6:E9" totalsRowShown="0" headerRowDxfId="79" headerRowBorderDxfId="77" tableBorderDxfId="78" totalsRowBorderDxfId="76">
  <autoFilter ref="A6:E9" xr:uid="{8ADAEE31-4DDA-4DF2-9EAD-04808D53FFC1}"/>
  <tableColumns count="5">
    <tableColumn id="1" xr3:uid="{B978B3A4-D252-4FDE-BB92-AD174011A3FD}" name="ability"/>
    <tableColumn id="2" xr3:uid="{C22965B2-A7BE-4EA7-879F-282A9406F126}" name="takes" dataDxfId="75">
      <calculatedColumnFormula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</calculatedColumnFormula>
    </tableColumn>
    <tableColumn id="3" xr3:uid="{4EB2C16A-BA90-4A32-98E2-0966B41F2B86}" name="wins" dataDxfId="74">
      <calculatedColumnFormula>COUNTIF(Таблица1[winner1-ability2],Table81317212529[[#This Row],[ability]])+COUNTIF(Таблица1[winner2-ability2],Table81317212529[[#This Row],[ability]])</calculatedColumnFormula>
    </tableColumn>
    <tableColumn id="4" xr3:uid="{5B80BFEE-E552-4BE3-A377-30DBBA95ED00}" name="battles-take-rate" dataDxfId="73">
      <calculatedColumnFormula>IF(SUM(Table81317212529[[#This Row],[takes]]) &gt; 0,Table81317212529[[#This Row],[takes]]/SUM(Table81317212529[takes]),0)</calculatedColumnFormula>
    </tableColumn>
    <tableColumn id="5" xr3:uid="{3C32E2F9-29B2-462F-8B3F-B702DCCA48E9}" name="take-win-rate" dataDxfId="72">
      <calculatedColumnFormula>IF(Table81317212529[[#This Row],[takes]]&gt;0,Table81317212529[[#This Row],[wins]]/Table81317212529[[#This Row],[takes]],0)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E9E1708-FD61-4EB2-8BF1-2F7FD97F7EAA}" name="Table91418222630" displayName="Table91418222630" ref="A11:E14" totalsRowShown="0" headerRowDxfId="71" headerRowBorderDxfId="69" tableBorderDxfId="70" totalsRowBorderDxfId="68">
  <autoFilter ref="A11:E14" xr:uid="{1B0EA3CA-FA8E-4345-B52C-471D5C94AD38}"/>
  <tableColumns count="5">
    <tableColumn id="1" xr3:uid="{465E7B62-ABAA-4443-8E62-D9D5AE696904}" name="ability"/>
    <tableColumn id="2" xr3:uid="{21D816CB-DC73-47B7-8556-D1ABFD5334D3}" name="takes" dataDxfId="67">
      <calculatedColumnFormula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</calculatedColumnFormula>
    </tableColumn>
    <tableColumn id="3" xr3:uid="{020771E5-BB3C-4C38-BFA4-97040BB6F8DE}" name="wins" dataDxfId="66">
      <calculatedColumnFormula>COUNTIF(Таблица1[winner1-ability3],Table91418222630[[#This Row],[ability]])+COUNTIF(Таблица1[winner2-ability3],Table91418222630[[#This Row],[ability]])</calculatedColumnFormula>
    </tableColumn>
    <tableColumn id="4" xr3:uid="{8246FBDC-E50E-45EA-B094-12224214E30C}" name="battles-take-rate" dataDxfId="65">
      <calculatedColumnFormula>IF(SUM(Table91418222630[[#This Row],[takes]]) &gt; 0,Table91418222630[[#This Row],[takes]]/SUM(Table91418222630[takes]),0)</calculatedColumnFormula>
    </tableColumn>
    <tableColumn id="5" xr3:uid="{F619010C-E88B-43B7-B92B-C2FC5C7F9D50}" name="take-win-rate" dataDxfId="64">
      <calculatedColumnFormula>IF(Table91418222630[[#This Row],[takes]]&gt;0,Table91418222630[[#This Row],[wins]]/Table91418222630[[#This Row],[takes]],0)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49F7A9C-7E51-4302-BF39-7C463A3B9AC7}" name="Table101519232731" displayName="Table101519232731" ref="A16:E19" totalsRowShown="0" headerRowDxfId="63" headerRowBorderDxfId="61" tableBorderDxfId="62" totalsRowBorderDxfId="60">
  <autoFilter ref="A16:E19" xr:uid="{2AADA4A0-2F4A-4009-8ECF-0BECA693390C}"/>
  <tableColumns count="5">
    <tableColumn id="1" xr3:uid="{A83DCC85-9F1F-43DF-9816-FD1E53AED2AE}" name="ability"/>
    <tableColumn id="2" xr3:uid="{23523275-8AA2-49D4-9C7C-830DEFA3D9E0}" name="takes" dataDxfId="59">
      <calculatedColumnFormula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</calculatedColumnFormula>
    </tableColumn>
    <tableColumn id="3" xr3:uid="{635995F5-252B-45DC-B96B-670DFA7F3E40}" name="wins" dataDxfId="58">
      <calculatedColumnFormula>COUNTIF(Таблица1[winner1-ability4],Table101519232731[[#This Row],[ability]])+COUNTIF(Таблица1[winner2-ability4],Table101519232731[[#This Row],[ability]])</calculatedColumnFormula>
    </tableColumn>
    <tableColumn id="4" xr3:uid="{C1A581E6-0681-4F96-9A06-F17E70822A27}" name="battles-take-rate" dataDxfId="57">
      <calculatedColumnFormula>IF(SUM(Table101519232731[[#This Row],[takes]]) &gt; 0,Table101519232731[[#This Row],[takes]]/SUM(Table101519232731[takes]),0)</calculatedColumnFormula>
    </tableColumn>
    <tableColumn id="5" xr3:uid="{A05A91A0-51C6-456B-A555-3BE5369BB59C}" name="take-win-rate" dataDxfId="56">
      <calculatedColumnFormula>IF(Table101519232731[[#This Row],[takes]]&gt;0,Table101519232731[[#This Row],[wins]]/Table101519232731[[#This Row],[takes]],0)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A29664-241D-4460-819F-8FE8E5CEB60F}" name="Table3" displayName="Table3" ref="I2:M30">
  <autoFilter ref="I2:M30" xr:uid="{3BA29664-241D-4460-819F-8FE8E5CEB60F}"/>
  <tableColumns count="5">
    <tableColumn id="1" xr3:uid="{D747465F-E635-4B05-B7AF-0414E2D94D49}" name="hero-1" totalsRowLabel="Total"/>
    <tableColumn id="2" xr3:uid="{8B3A87A8-CF4B-4A42-8A73-D2647830C115}" name="hero-2"/>
    <tableColumn id="7" xr3:uid="{8BF8BDA1-C689-494F-A791-83657D52CC61}" name="battles" totalsRowFunction="count" dataDxfId="232">
      <calculatedColumnFormula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calculatedColumnFormula>
    </tableColumn>
    <tableColumn id="3" xr3:uid="{8C849232-396A-4450-80DA-F0C8AB2F4EA2}" name="wins" dataDxfId="231">
      <calculatedColumnFormula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calculatedColumnFormula>
    </tableColumn>
    <tableColumn id="5" xr3:uid="{34CD741D-CA82-4B7A-AE14-FE9F3D0AD7AE}" name="win-rate" totalsRowFunction="sum" dataDxfId="230" totalsRowDxfId="229">
      <calculatedColumnFormula>IF(Table3[[#This Row],[battles]],Table3[[#This Row],[wins]]/Table3[[#This Row],[battles]],0)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8BF6173-A8C8-4D0C-97CB-BBA2B7D6C00E}" name="Table7121620242832" displayName="Table7121620242832" ref="A1:E4" totalsRowShown="0">
  <autoFilter ref="A1:E4" xr:uid="{DCA301F1-E0F8-4700-BEE5-2688AF43F23A}"/>
  <tableColumns count="5">
    <tableColumn id="2" xr3:uid="{1ED2164D-0973-4259-9781-6BAF2E084165}" name="ability"/>
    <tableColumn id="6" xr3:uid="{04D193BA-DBF0-4CDC-A756-9B40E68313C2}" name="takes" dataDxfId="55">
      <calculatedColumnFormula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</calculatedColumnFormula>
    </tableColumn>
    <tableColumn id="4" xr3:uid="{7ADEC841-AD50-43F9-8690-360B475CF8BE}" name="wins" dataDxfId="54">
      <calculatedColumnFormula>COUNTIF(Таблица1[winner1-ability1],Table7121620242832[[#This Row],[ability]])+COUNTIF(Таблица1[winner2-ability1],Table7121620242832[[#This Row],[ability]])</calculatedColumnFormula>
    </tableColumn>
    <tableColumn id="5" xr3:uid="{5F5D36E3-C252-4FDD-8F2A-EB8ACE45BFFB}" name="battles-take-rate" dataDxfId="53">
      <calculatedColumnFormula>IF(SUM(Table7121620242832[[#This Row],[takes]]) &gt; 0,Table7121620242832[[#This Row],[takes]]/SUM(Table7121620242832[takes]),0)</calculatedColumnFormula>
    </tableColumn>
    <tableColumn id="7" xr3:uid="{40DF0F53-0FA5-4FFC-AEF7-2258D444EBFA}" name="take-win-rate" dataDxfId="52">
      <calculatedColumnFormula>IF(Table7121620242832[[#This Row],[takes]]&gt;0,Table7121620242832[[#This Row],[wins]]/Table7121620242832[[#This Row],[takes]],0)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23BEAC8-A0CE-4882-9DC5-8C4FD9B02A23}" name="Table8131721252933" displayName="Table8131721252933" ref="A6:E9" totalsRowShown="0" headerRowDxfId="51" headerRowBorderDxfId="49" tableBorderDxfId="50" totalsRowBorderDxfId="48">
  <autoFilter ref="A6:E9" xr:uid="{8ADAEE31-4DDA-4DF2-9EAD-04808D53FFC1}"/>
  <tableColumns count="5">
    <tableColumn id="1" xr3:uid="{969F47E9-33E4-48BE-AA5E-5736E1870A56}" name="ability"/>
    <tableColumn id="2" xr3:uid="{312B6A3F-AFB6-43B5-B057-8FF53D835BCF}" name="takes" dataDxfId="47">
      <calculatedColumnFormula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</calculatedColumnFormula>
    </tableColumn>
    <tableColumn id="3" xr3:uid="{2E60A39F-6EAF-4AD0-A4E8-0191778971B9}" name="wins" dataDxfId="46">
      <calculatedColumnFormula>COUNTIF(Таблица1[winner1-ability2],Table8131721252933[[#This Row],[ability]])+COUNTIF(Таблица1[winner2-ability2],Table8131721252933[[#This Row],[ability]])</calculatedColumnFormula>
    </tableColumn>
    <tableColumn id="4" xr3:uid="{E0075A4B-AEEA-431C-ACC8-5783B6613B01}" name="battles-take-rate" dataDxfId="45">
      <calculatedColumnFormula>IF(SUM(Table8131721252933[[#This Row],[takes]]) &gt; 0,Table8131721252933[[#This Row],[takes]]/SUM(Table8131721252933[takes]),0)</calculatedColumnFormula>
    </tableColumn>
    <tableColumn id="5" xr3:uid="{4C732FF7-A77B-452D-B826-49D203EAF61C}" name="take-win-rate" dataDxfId="44">
      <calculatedColumnFormula>IF(Table8131721252933[[#This Row],[takes]]&gt;0,Table8131721252933[[#This Row],[wins]]/Table8131721252933[[#This Row],[takes]],0)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A95774D6-ADD7-42F4-A3CD-4305812B602C}" name="Table9141822263034" displayName="Table9141822263034" ref="A11:E14" totalsRowShown="0" headerRowDxfId="43" headerRowBorderDxfId="41" tableBorderDxfId="42" totalsRowBorderDxfId="40">
  <autoFilter ref="A11:E14" xr:uid="{1B0EA3CA-FA8E-4345-B52C-471D5C94AD38}"/>
  <tableColumns count="5">
    <tableColumn id="1" xr3:uid="{1D143A54-64E0-40CF-969A-A6571AEE79E2}" name="ability"/>
    <tableColumn id="2" xr3:uid="{3AE5DA17-372A-4E8E-9891-F503A49BB59C}" name="takes" dataDxfId="39">
      <calculatedColumnFormula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</calculatedColumnFormula>
    </tableColumn>
    <tableColumn id="3" xr3:uid="{5819056E-9672-4D70-9BDD-FC7203231C89}" name="wins" dataDxfId="38">
      <calculatedColumnFormula>COUNTIF(Таблица1[winner1-ability3],Table9141822263034[[#This Row],[ability]])+COUNTIF(Таблица1[winner2-ability3],Table9141822263034[[#This Row],[ability]])</calculatedColumnFormula>
    </tableColumn>
    <tableColumn id="4" xr3:uid="{157D9699-1B48-4EC3-B510-852D9FD33170}" name="battles-take-rate" dataDxfId="37">
      <calculatedColumnFormula>IF(SUM(Table9141822263034[[#This Row],[takes]]) &gt; 0,Table9141822263034[[#This Row],[takes]]/SUM(Table9141822263034[takes]),0)</calculatedColumnFormula>
    </tableColumn>
    <tableColumn id="5" xr3:uid="{C8BF4F38-4704-4527-BF37-8BCCFF678E26}" name="take-win-rate" dataDxfId="36">
      <calculatedColumnFormula>IF(Table9141822263034[[#This Row],[takes]]&gt;0,Table9141822263034[[#This Row],[wins]]/Table9141822263034[[#This Row],[takes]],0)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DFBFAE47-6AC4-43F2-B74E-AED00007CFE4}" name="Table10151923273135" displayName="Table10151923273135" ref="A16:E19" totalsRowShown="0" headerRowDxfId="35" headerRowBorderDxfId="33" tableBorderDxfId="34" totalsRowBorderDxfId="32">
  <autoFilter ref="A16:E19" xr:uid="{2AADA4A0-2F4A-4009-8ECF-0BECA693390C}"/>
  <tableColumns count="5">
    <tableColumn id="1" xr3:uid="{D55FA695-8094-4C3D-88EE-A07EC3164BAD}" name="ability"/>
    <tableColumn id="2" xr3:uid="{CFA5A920-D977-44D2-B67A-D3AD87AA6150}" name="takes" dataDxfId="31">
      <calculatedColumnFormula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</calculatedColumnFormula>
    </tableColumn>
    <tableColumn id="3" xr3:uid="{3BAA5B2E-190A-400B-8854-BA9FD156788A}" name="wins" dataDxfId="30">
      <calculatedColumnFormula>COUNTIF(Таблица1[winner1-ability4],Table10151923273135[[#This Row],[ability]])+COUNTIF(Таблица1[winner2-ability4],Table10151923273135[[#This Row],[ability]])</calculatedColumnFormula>
    </tableColumn>
    <tableColumn id="4" xr3:uid="{6799D6E7-DA8F-425B-B7F1-A98E30323F53}" name="battles-take-rate" dataDxfId="29">
      <calculatedColumnFormula>IF(SUM(Table10151923273135[[#This Row],[takes]]) &gt; 0,Table10151923273135[[#This Row],[takes]]/SUM(Table10151923273135[takes]),0)</calculatedColumnFormula>
    </tableColumn>
    <tableColumn id="5" xr3:uid="{F569E1D6-6B34-4F3F-84CB-3AB52432D2E8}" name="take-win-rate" dataDxfId="28">
      <calculatedColumnFormula>IF(Table10151923273135[[#This Row],[takes]]&gt;0,Table10151923273135[[#This Row],[wins]]/Table10151923273135[[#This Row],[takes]],0)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08EAB5D-4BDF-4694-A177-1D86474C11F5}" name="Table712162024283236" displayName="Table712162024283236" ref="A1:E4" totalsRowShown="0">
  <autoFilter ref="A1:E4" xr:uid="{DCA301F1-E0F8-4700-BEE5-2688AF43F23A}"/>
  <tableColumns count="5">
    <tableColumn id="2" xr3:uid="{141B3573-1107-4477-85C4-9A46F985DE3A}" name="ability"/>
    <tableColumn id="6" xr3:uid="{F60E52FB-D906-4921-8590-53CC77576411}" name="takes" dataDxfId="27">
      <calculatedColumnFormula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</calculatedColumnFormula>
    </tableColumn>
    <tableColumn id="4" xr3:uid="{789DFF79-4E8A-4455-9F11-868C053D7987}" name="wins" dataDxfId="26">
      <calculatedColumnFormula>COUNTIF(Таблица1[winner1-ability1],Table712162024283236[[#This Row],[ability]])+COUNTIF(Таблица1[winner2-ability1],Table712162024283236[[#This Row],[ability]])</calculatedColumnFormula>
    </tableColumn>
    <tableColumn id="5" xr3:uid="{F1C8A607-C20A-45DA-9600-9CB0A33E8E2F}" name="battles-take-rate" dataDxfId="25">
      <calculatedColumnFormula>IF(SUM(Table712162024283236[[#This Row],[takes]]) &gt; 0,Table712162024283236[[#This Row],[takes]]/SUM(Table712162024283236[takes]),0)</calculatedColumnFormula>
    </tableColumn>
    <tableColumn id="7" xr3:uid="{8158EFD4-3FF6-48D9-9855-F204B278A59F}" name="take-win-rate" dataDxfId="24">
      <calculatedColumnFormula>IF(Table712162024283236[[#This Row],[takes]]&gt;0,Table712162024283236[[#This Row],[wins]]/Table712162024283236[[#This Row],[takes]],0)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B8B4FE1A-721E-445D-B7FE-544C1E559758}" name="Table813172125293337" displayName="Table813172125293337" ref="A6:E9" totalsRowShown="0" headerRowDxfId="23" headerRowBorderDxfId="21" tableBorderDxfId="22" totalsRowBorderDxfId="20">
  <autoFilter ref="A6:E9" xr:uid="{8ADAEE31-4DDA-4DF2-9EAD-04808D53FFC1}"/>
  <tableColumns count="5">
    <tableColumn id="1" xr3:uid="{A4E908F7-D504-4F53-BF01-5BCBA77EA5EE}" name="ability"/>
    <tableColumn id="2" xr3:uid="{ECAE308A-5AC5-4A80-B04B-1202E0DE701E}" name="takes" dataDxfId="19">
      <calculatedColumnFormula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</calculatedColumnFormula>
    </tableColumn>
    <tableColumn id="3" xr3:uid="{CB736A48-B13B-4B9C-8F34-EE02E1C41F6A}" name="wins" dataDxfId="18">
      <calculatedColumnFormula>COUNTIF(Таблица1[winner1-ability2],Table813172125293337[[#This Row],[ability]])+COUNTIF(Таблица1[winner2-ability2],Table813172125293337[[#This Row],[ability]])</calculatedColumnFormula>
    </tableColumn>
    <tableColumn id="4" xr3:uid="{7B7C8B4B-CC34-4704-AB97-C84815D668EF}" name="battles-take-rate" dataDxfId="17">
      <calculatedColumnFormula>IF(SUM(Table813172125293337[[#This Row],[takes]]) &gt; 0,Table813172125293337[[#This Row],[takes]]/SUM(Table813172125293337[takes]),0)</calculatedColumnFormula>
    </tableColumn>
    <tableColumn id="5" xr3:uid="{200B53C6-F34B-4F51-8D59-87BDA3EF3991}" name="take-win-rate" dataDxfId="16">
      <calculatedColumnFormula>IF(Table813172125293337[[#This Row],[takes]]&gt;0,Table813172125293337[[#This Row],[wins]]/Table813172125293337[[#This Row],[takes]],0)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8656292-EBA4-4FFA-97EA-22863D0FC025}" name="Table914182226303438" displayName="Table914182226303438" ref="A11:E14" totalsRowShown="0" headerRowDxfId="15" headerRowBorderDxfId="13" tableBorderDxfId="14" totalsRowBorderDxfId="12">
  <autoFilter ref="A11:E14" xr:uid="{1B0EA3CA-FA8E-4345-B52C-471D5C94AD38}"/>
  <tableColumns count="5">
    <tableColumn id="1" xr3:uid="{3C366E04-3732-4401-B166-CFBEFB79CA7C}" name="ability"/>
    <tableColumn id="2" xr3:uid="{7A4B73B5-D380-462C-AE0E-FFE1E26EADF4}" name="takes" dataDxfId="11">
      <calculatedColumnFormula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</calculatedColumnFormula>
    </tableColumn>
    <tableColumn id="3" xr3:uid="{4B46F025-9564-43E2-8C60-72D0340A7006}" name="wins" dataDxfId="10">
      <calculatedColumnFormula>COUNTIF(Таблица1[winner1-ability3],Table914182226303438[[#This Row],[ability]])+COUNTIF(Таблица1[winner2-ability3],Table914182226303438[[#This Row],[ability]])</calculatedColumnFormula>
    </tableColumn>
    <tableColumn id="4" xr3:uid="{81BA3B73-94C1-44D2-A568-4D75E2308314}" name="battles-take-rate" dataDxfId="9">
      <calculatedColumnFormula>IF(SUM(Table914182226303438[[#This Row],[takes]]) &gt; 0,Table914182226303438[[#This Row],[takes]]/SUM(Table914182226303438[takes]),0)</calculatedColumnFormula>
    </tableColumn>
    <tableColumn id="5" xr3:uid="{94C3AD85-8A80-49F8-890D-784C47D1DD3D}" name="take-win-rate" dataDxfId="8">
      <calculatedColumnFormula>IF(Table914182226303438[[#This Row],[takes]]&gt;0,Table914182226303438[[#This Row],[wins]]/Table914182226303438[[#This Row],[takes]],0)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3AE526D2-E569-4158-9521-D085C3CA944E}" name="Table1015192327313539" displayName="Table1015192327313539" ref="A16:E19" totalsRowShown="0" headerRowDxfId="7" headerRowBorderDxfId="5" tableBorderDxfId="6" totalsRowBorderDxfId="4">
  <autoFilter ref="A16:E19" xr:uid="{2AADA4A0-2F4A-4009-8ECF-0BECA693390C}"/>
  <tableColumns count="5">
    <tableColumn id="1" xr3:uid="{D1614699-3BF2-4CB0-AF69-55D9197FFA37}" name="ability"/>
    <tableColumn id="2" xr3:uid="{2AEFD293-6E60-4102-90C1-C426928BD5A8}" name="takes" dataDxfId="3">
      <calculatedColumnFormula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</calculatedColumnFormula>
    </tableColumn>
    <tableColumn id="3" xr3:uid="{7A79D551-0723-4B22-8B7F-DE20E9FA2C70}" name="wins" dataDxfId="2">
      <calculatedColumnFormula>COUNTIF(Таблица1[winner1-ability4],Table1015192327313539[[#This Row],[ability]])+COUNTIF(Таблица1[winner2-ability4],Table1015192327313539[[#This Row],[ability]])</calculatedColumnFormula>
    </tableColumn>
    <tableColumn id="4" xr3:uid="{8FD45B06-430F-453A-B143-E8B554BB65D6}" name="battles-take-rate" dataDxfId="1">
      <calculatedColumnFormula>IF(SUM(Table1015192327313539[[#This Row],[takes]]) &gt; 0,Table1015192327313539[[#This Row],[takes]]/SUM(Table1015192327313539[takes]),0)</calculatedColumnFormula>
    </tableColumn>
    <tableColumn id="5" xr3:uid="{19E23A61-3746-4D96-87FF-F61A60D368A6}" name="take-win-rate" dataDxfId="0">
      <calculatedColumnFormula>IF(Table1015192327313539[[#This Row],[takes]]&gt;0,Table1015192327313539[[#This Row],[wins]]/Table1015192327313539[[#This Row],[takes]],0)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1FB0D7B-4BDC-4B81-A663-E75531662A7B}" name="Table6" displayName="Table6" ref="R1:T6" totalsRowShown="0">
  <autoFilter ref="R1:T6" xr:uid="{21FB0D7B-4BDC-4B81-A663-E75531662A7B}"/>
  <tableColumns count="3">
    <tableColumn id="1" xr3:uid="{D41DC12B-B3E0-4A51-908B-3AEC9926F4E2}" name="Think Time"/>
    <tableColumn id="2" xr3:uid="{C4F7C9BE-3F4E-4BE5-BC8F-449829AF429E}" name="Estimated Battle Time (mins)" dataDxfId="225">
      <calculatedColumnFormula>Table6[[#This Row],[Think Time]]*$P$2/1000/60</calculatedColumnFormula>
    </tableColumn>
    <tableColumn id="3" xr3:uid="{9F104377-929D-4CA1-8022-5D02C13680D6}" name="Estimated Full Run Time (hours)" dataDxfId="224">
      <calculatedColumnFormula>Table6[[#This Row],[Estimated Battle Time (mins)]]*COUNTA(Таблица2[hero-1])/60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405EB0-A525-4FAC-AD12-CF7C798DE05C}" name="Table4" displayName="Table4" ref="A1:D9" totalsRowShown="0">
  <autoFilter ref="A1:D9" xr:uid="{63405EB0-A525-4FAC-AD12-CF7C798DE05C}"/>
  <tableColumns count="4">
    <tableColumn id="1" xr3:uid="{85B8E500-D508-49B7-B6C2-4293FF88864C}" name="hero"/>
    <tableColumn id="2" xr3:uid="{58A5592F-1F6D-4BC0-A001-DA1EE7044444}" name="battles" dataDxfId="228">
      <calculatedColumnFormula>COUNTIF(Таблица1[winner1],Table4[[#This Row],[hero]])+COUNTIF(Таблица1[winner2],Table4[[#This Row],[hero]])+COUNTIF(Таблица1[loser1],Table4[[#This Row],[hero]])+COUNTIF(Таблица1[loser2],Table4[[#This Row],[hero]])</calculatedColumnFormula>
    </tableColumn>
    <tableColumn id="3" xr3:uid="{907E2C9A-88EE-4007-82F2-9E1679E4E1E8}" name="wins" dataDxfId="227">
      <calculatedColumnFormula>COUNTIF(Таблица1[winner1],Table4[[#This Row],[hero]])+COUNTIF(Таблица1[winner2],Table4[[#This Row],[hero]])</calculatedColumnFormula>
    </tableColumn>
    <tableColumn id="4" xr3:uid="{6F2DCA26-2AD4-4FD6-9D9C-74EB1F995BF0}" name="win-rate" dataDxfId="226">
      <calculatedColumnFormula>Table4[[#This Row],[wins]]/Table4[[#This Row],[battles]]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A301F1-E0F8-4700-BEE5-2688AF43F23A}" name="Table7" displayName="Table7" ref="A1:E4" totalsRowShown="0">
  <autoFilter ref="A1:E4" xr:uid="{DCA301F1-E0F8-4700-BEE5-2688AF43F23A}"/>
  <tableColumns count="5">
    <tableColumn id="2" xr3:uid="{86A1B7E2-07D2-454B-948F-610858F575D4}" name="ability"/>
    <tableColumn id="6" xr3:uid="{FB974958-9B4B-47EC-9463-E31D21B6A55F}" name="takes" dataDxfId="211">
      <calculatedColumnFormula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</calculatedColumnFormula>
    </tableColumn>
    <tableColumn id="4" xr3:uid="{61A21492-49FF-4C06-A153-6F532C6C5A30}" name="wins" dataDxfId="207">
      <calculatedColumnFormula>COUNTIF(Таблица1[winner1-ability1],Table7[[#This Row],[ability]])+COUNTIF(Таблица1[winner2-ability1],Table7[[#This Row],[ability]])</calculatedColumnFormula>
    </tableColumn>
    <tableColumn id="5" xr3:uid="{E54CF930-9561-430F-9E4C-4FBFE41AE34D}" name="battles-take-rate" dataDxfId="151">
      <calculatedColumnFormula>IF(SUM(Table7[[#This Row],[takes]]) &gt; 0,Table7[[#This Row],[takes]]/SUM(Table7[takes]),0)</calculatedColumnFormula>
    </tableColumn>
    <tableColumn id="7" xr3:uid="{FBDA8D4C-951F-4B32-AA8D-F1B4A35AC2BC}" name="take-win-rate" dataDxfId="206">
      <calculatedColumnFormula>IF(Table7[[#This Row],[takes]]&gt;0,Table7[[#This Row],[wins]]/Table7[[#This Row],[takes]],0)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DAEE31-4DDA-4DF2-9EAD-04808D53FFC1}" name="Table8" displayName="Table8" ref="A6:E9" totalsRowShown="0" headerRowDxfId="220" headerRowBorderDxfId="222" tableBorderDxfId="223" totalsRowBorderDxfId="221">
  <autoFilter ref="A6:E9" xr:uid="{8ADAEE31-4DDA-4DF2-9EAD-04808D53FFC1}"/>
  <tableColumns count="5">
    <tableColumn id="1" xr3:uid="{2EBB42D4-A151-441A-8D33-DE2FA10B22F8}" name="ability"/>
    <tableColumn id="2" xr3:uid="{F55F352C-3FB6-4924-B8D4-563674F00FC0}" name="takes" dataDxfId="210">
      <calculatedColumnFormula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</calculatedColumnFormula>
    </tableColumn>
    <tableColumn id="3" xr3:uid="{80A922C6-64D8-44FE-96CB-B7E1F6FDC03C}" name="wins" dataDxfId="205">
      <calculatedColumnFormula>COUNTIF(Таблица1[winner1-ability2],Table8[[#This Row],[ability]])+COUNTIF(Таблица1[winner2-ability2],Table8[[#This Row],[ability]])</calculatedColumnFormula>
    </tableColumn>
    <tableColumn id="4" xr3:uid="{554161FF-0726-4138-B76E-C5C63F8E633A}" name="battles-take-rate" dataDxfId="150">
      <calculatedColumnFormula>IF(SUM(Table8[[#This Row],[takes]]) &gt; 0,Table8[[#This Row],[takes]]/SUM(Table8[takes]),0)</calculatedColumnFormula>
    </tableColumn>
    <tableColumn id="5" xr3:uid="{EBDCF172-80BC-41F1-9D53-618ADC3547F0}" name="take-win-rate" dataDxfId="204">
      <calculatedColumnFormula>IF(Table8[[#This Row],[takes]]&gt;0,Table8[[#This Row],[wins]]/Table8[[#This Row],[takes]],0)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0EA3CA-FA8E-4345-B52C-471D5C94AD38}" name="Table9" displayName="Table9" ref="A11:E14" totalsRowShown="0" headerRowDxfId="216" headerRowBorderDxfId="218" tableBorderDxfId="219" totalsRowBorderDxfId="217">
  <autoFilter ref="A11:E14" xr:uid="{1B0EA3CA-FA8E-4345-B52C-471D5C94AD38}"/>
  <tableColumns count="5">
    <tableColumn id="1" xr3:uid="{B8B19612-9BE1-4890-BD28-044C895D67D5}" name="ability"/>
    <tableColumn id="2" xr3:uid="{CF518B36-9B06-430F-88E0-0EA55DE77CCB}" name="takes" dataDxfId="209">
      <calculatedColumnFormula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</calculatedColumnFormula>
    </tableColumn>
    <tableColumn id="3" xr3:uid="{3EE75CB9-F097-4DDD-B43D-5E1FA49D5DA7}" name="wins" dataDxfId="203">
      <calculatedColumnFormula>COUNTIF(Таблица1[winner1-ability3],Table9[[#This Row],[ability]])+COUNTIF(Таблица1[winner2-ability3],Table9[[#This Row],[ability]])</calculatedColumnFormula>
    </tableColumn>
    <tableColumn id="4" xr3:uid="{4386EDC2-3695-4FDE-BF81-4F581D693BFE}" name="battles-take-rate" dataDxfId="149">
      <calculatedColumnFormula>IF(SUM(Table9[[#This Row],[takes]]) &gt; 0,Table9[[#This Row],[takes]]/SUM(Table9[takes]),0)</calculatedColumnFormula>
    </tableColumn>
    <tableColumn id="5" xr3:uid="{2DDAA65F-690D-446E-8E9B-ACECABF193A6}" name="take-win-rate" dataDxfId="202">
      <calculatedColumnFormula>IF(Table9[[#This Row],[takes]]&gt;0,Table9[[#This Row],[wins]]/Table9[[#This Row],[takes]],0)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ADA4A0-2F4A-4009-8ECF-0BECA693390C}" name="Table10" displayName="Table10" ref="A16:E19" totalsRowShown="0" headerRowDxfId="212" headerRowBorderDxfId="214" tableBorderDxfId="215" totalsRowBorderDxfId="213">
  <autoFilter ref="A16:E19" xr:uid="{2AADA4A0-2F4A-4009-8ECF-0BECA693390C}"/>
  <tableColumns count="5">
    <tableColumn id="1" xr3:uid="{E897B7B6-F256-4CEB-96AC-55AC5FFE6DC0}" name="ability"/>
    <tableColumn id="2" xr3:uid="{1AAFA939-1DDE-4DEA-AC16-B2FC44C9BDBC}" name="takes" dataDxfId="208">
      <calculatedColumnFormula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</calculatedColumnFormula>
    </tableColumn>
    <tableColumn id="3" xr3:uid="{FCDACB04-C3C9-4451-9344-563AAD645EE3}" name="wins" dataDxfId="201">
      <calculatedColumnFormula>COUNTIF(Таблица1[winner1-ability4],Table10[[#This Row],[ability]])+COUNTIF(Таблица1[winner2-ability4],Table10[[#This Row],[ability]])</calculatedColumnFormula>
    </tableColumn>
    <tableColumn id="4" xr3:uid="{A43A8590-7A57-4069-B1B8-09F7A5FC26AC}" name="battles-take-rate" dataDxfId="148">
      <calculatedColumnFormula>IF(SUM(Table10[[#This Row],[takes]]) &gt; 0,Table10[[#This Row],[takes]]/SUM(Table10[takes]),0)</calculatedColumnFormula>
    </tableColumn>
    <tableColumn id="5" xr3:uid="{F6E20B64-B1E9-4E09-B5F6-4AF0DC786552}" name="take-win-rate" dataDxfId="200">
      <calculatedColumnFormula>IF(Table10[[#This Row],[takes]]&gt;0,Table10[[#This Row],[wins]]/Table10[[#This Row],[takes]],0)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Relationship Id="rId4" Type="http://schemas.openxmlformats.org/officeDocument/2006/relationships/table" Target="../tables/table3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table" Target="../tables/table35.xml"/><Relationship Id="rId1" Type="http://schemas.openxmlformats.org/officeDocument/2006/relationships/table" Target="../tables/table34.xml"/><Relationship Id="rId4" Type="http://schemas.openxmlformats.org/officeDocument/2006/relationships/table" Target="../tables/table3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4" Type="http://schemas.openxmlformats.org/officeDocument/2006/relationships/table" Target="../tables/table1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Relationship Id="rId4" Type="http://schemas.openxmlformats.org/officeDocument/2006/relationships/table" Target="../tables/table2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Relationship Id="rId4" Type="http://schemas.openxmlformats.org/officeDocument/2006/relationships/table" Target="../tables/table2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Relationship Id="rId4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1"/>
  <sheetViews>
    <sheetView tabSelected="1" workbookViewId="0">
      <selection activeCell="C26" sqref="C26"/>
    </sheetView>
  </sheetViews>
  <sheetFormatPr defaultRowHeight="15" x14ac:dyDescent="0.25"/>
  <cols>
    <col min="1" max="1" width="37.28515625" bestFit="1" customWidth="1"/>
    <col min="2" max="2" width="10.7109375" bestFit="1" customWidth="1"/>
    <col min="3" max="3" width="10.5703125" bestFit="1" customWidth="1"/>
    <col min="4" max="4" width="14" bestFit="1" customWidth="1"/>
    <col min="5" max="5" width="13.7109375" bestFit="1" customWidth="1"/>
    <col min="6" max="6" width="13.28515625" bestFit="1" customWidth="1"/>
    <col min="7" max="10" width="18" bestFit="1" customWidth="1"/>
    <col min="11" max="11" width="10.5703125" bestFit="1" customWidth="1"/>
    <col min="12" max="12" width="14" bestFit="1" customWidth="1"/>
    <col min="13" max="13" width="13.7109375" bestFit="1" customWidth="1"/>
    <col min="14" max="14" width="13.28515625" bestFit="1" customWidth="1"/>
    <col min="15" max="15" width="18" bestFit="1" customWidth="1"/>
    <col min="16" max="16" width="18.28515625" bestFit="1" customWidth="1"/>
    <col min="17" max="18" width="18" bestFit="1" customWidth="1"/>
    <col min="19" max="19" width="8.7109375" bestFit="1" customWidth="1"/>
    <col min="20" max="20" width="12.140625" bestFit="1" customWidth="1"/>
    <col min="21" max="21" width="11.85546875" bestFit="1" customWidth="1"/>
    <col min="22" max="22" width="11.42578125" bestFit="1" customWidth="1"/>
    <col min="23" max="23" width="18.42578125" bestFit="1" customWidth="1"/>
    <col min="24" max="26" width="16.140625" bestFit="1" customWidth="1"/>
    <col min="27" max="27" width="8.7109375" bestFit="1" customWidth="1"/>
    <col min="28" max="28" width="12.140625" bestFit="1" customWidth="1"/>
    <col min="29" max="29" width="11.85546875" bestFit="1" customWidth="1"/>
    <col min="30" max="30" width="11.42578125" bestFit="1" customWidth="1"/>
    <col min="31" max="31" width="16.5703125" bestFit="1" customWidth="1"/>
    <col min="32" max="32" width="17.140625" bestFit="1" customWidth="1"/>
    <col min="33" max="34" width="16.140625" bestFit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141</v>
      </c>
      <c r="AG1" t="s">
        <v>31</v>
      </c>
      <c r="AH1" t="s">
        <v>32</v>
      </c>
      <c r="AI1" t="s">
        <v>65</v>
      </c>
      <c r="AJ1" t="s">
        <v>33</v>
      </c>
    </row>
    <row r="2" spans="1:36" x14ac:dyDescent="0.25">
      <c r="A2" t="s">
        <v>84</v>
      </c>
      <c r="B2">
        <v>0</v>
      </c>
      <c r="C2" t="s">
        <v>54</v>
      </c>
      <c r="D2">
        <v>3</v>
      </c>
      <c r="E2">
        <v>1</v>
      </c>
      <c r="F2">
        <v>1</v>
      </c>
      <c r="G2" t="s">
        <v>55</v>
      </c>
      <c r="H2" t="s">
        <v>85</v>
      </c>
      <c r="K2" t="s">
        <v>57</v>
      </c>
      <c r="L2">
        <v>1</v>
      </c>
      <c r="N2">
        <v>1</v>
      </c>
      <c r="O2" t="s">
        <v>69</v>
      </c>
      <c r="S2" t="s">
        <v>49</v>
      </c>
      <c r="T2">
        <v>1</v>
      </c>
      <c r="V2">
        <v>1</v>
      </c>
      <c r="W2" t="s">
        <v>50</v>
      </c>
      <c r="X2" t="s">
        <v>86</v>
      </c>
      <c r="AA2" t="s">
        <v>34</v>
      </c>
      <c r="AB2">
        <v>1</v>
      </c>
      <c r="AD2">
        <v>2</v>
      </c>
      <c r="AE2" t="s">
        <v>47</v>
      </c>
      <c r="AF2" t="s">
        <v>36</v>
      </c>
      <c r="AI2">
        <v>6</v>
      </c>
      <c r="AJ2">
        <v>40</v>
      </c>
    </row>
    <row r="3" spans="1:36" x14ac:dyDescent="0.25">
      <c r="A3" t="s">
        <v>87</v>
      </c>
      <c r="B3">
        <v>0</v>
      </c>
      <c r="C3" t="s">
        <v>54</v>
      </c>
      <c r="D3">
        <v>2</v>
      </c>
      <c r="E3">
        <v>1</v>
      </c>
      <c r="F3">
        <v>2</v>
      </c>
      <c r="G3" t="s">
        <v>55</v>
      </c>
      <c r="H3" t="s">
        <v>56</v>
      </c>
      <c r="K3" t="s">
        <v>57</v>
      </c>
      <c r="L3">
        <v>1</v>
      </c>
      <c r="N3">
        <v>1</v>
      </c>
      <c r="O3" t="s">
        <v>69</v>
      </c>
      <c r="P3" t="s">
        <v>70</v>
      </c>
      <c r="Q3" t="s">
        <v>88</v>
      </c>
      <c r="S3" t="s">
        <v>49</v>
      </c>
      <c r="T3">
        <v>1</v>
      </c>
      <c r="V3">
        <v>1</v>
      </c>
      <c r="W3" t="s">
        <v>50</v>
      </c>
      <c r="X3" t="s">
        <v>86</v>
      </c>
      <c r="AA3" t="s">
        <v>44</v>
      </c>
      <c r="AB3">
        <v>1</v>
      </c>
      <c r="AD3">
        <v>2</v>
      </c>
      <c r="AE3" t="s">
        <v>74</v>
      </c>
      <c r="AF3" t="s">
        <v>75</v>
      </c>
      <c r="AI3">
        <v>8</v>
      </c>
      <c r="AJ3">
        <v>36</v>
      </c>
    </row>
    <row r="4" spans="1:36" x14ac:dyDescent="0.25">
      <c r="A4" t="s">
        <v>89</v>
      </c>
      <c r="B4">
        <v>0</v>
      </c>
      <c r="C4" t="s">
        <v>54</v>
      </c>
      <c r="D4">
        <v>3</v>
      </c>
      <c r="E4">
        <v>1</v>
      </c>
      <c r="F4">
        <v>1</v>
      </c>
      <c r="G4" t="s">
        <v>55</v>
      </c>
      <c r="H4" t="s">
        <v>56</v>
      </c>
      <c r="K4" t="s">
        <v>57</v>
      </c>
      <c r="L4">
        <v>1</v>
      </c>
      <c r="N4">
        <v>1</v>
      </c>
      <c r="O4" t="s">
        <v>69</v>
      </c>
      <c r="S4" t="s">
        <v>49</v>
      </c>
      <c r="T4">
        <v>1</v>
      </c>
      <c r="V4">
        <v>1</v>
      </c>
      <c r="W4" t="s">
        <v>50</v>
      </c>
      <c r="X4" t="s">
        <v>51</v>
      </c>
      <c r="Y4" t="s">
        <v>52</v>
      </c>
      <c r="AA4" t="s">
        <v>46</v>
      </c>
      <c r="AB4">
        <v>1</v>
      </c>
      <c r="AD4">
        <v>1</v>
      </c>
      <c r="AE4" t="s">
        <v>90</v>
      </c>
      <c r="AI4">
        <v>5</v>
      </c>
      <c r="AJ4">
        <v>37</v>
      </c>
    </row>
    <row r="5" spans="1:36" x14ac:dyDescent="0.25">
      <c r="A5" t="s">
        <v>91</v>
      </c>
      <c r="B5">
        <v>0</v>
      </c>
      <c r="C5" t="s">
        <v>54</v>
      </c>
      <c r="D5">
        <v>3</v>
      </c>
      <c r="E5">
        <v>1</v>
      </c>
      <c r="F5">
        <v>1</v>
      </c>
      <c r="G5" t="s">
        <v>55</v>
      </c>
      <c r="H5" t="s">
        <v>85</v>
      </c>
      <c r="K5" t="s">
        <v>57</v>
      </c>
      <c r="L5">
        <v>1</v>
      </c>
      <c r="N5">
        <v>1</v>
      </c>
      <c r="O5" t="s">
        <v>58</v>
      </c>
      <c r="P5" t="s">
        <v>70</v>
      </c>
      <c r="Q5" t="s">
        <v>92</v>
      </c>
      <c r="R5" t="s">
        <v>93</v>
      </c>
      <c r="S5" t="s">
        <v>49</v>
      </c>
      <c r="T5">
        <v>1</v>
      </c>
      <c r="V5">
        <v>1</v>
      </c>
      <c r="W5" t="s">
        <v>94</v>
      </c>
      <c r="X5" t="s">
        <v>86</v>
      </c>
      <c r="Y5" t="s">
        <v>95</v>
      </c>
      <c r="Z5" t="s">
        <v>53</v>
      </c>
      <c r="AA5" t="s">
        <v>64</v>
      </c>
      <c r="AB5">
        <v>1</v>
      </c>
      <c r="AD5">
        <v>1</v>
      </c>
      <c r="AE5" t="s">
        <v>73</v>
      </c>
      <c r="AF5" t="s">
        <v>96</v>
      </c>
      <c r="AI5">
        <v>10</v>
      </c>
      <c r="AJ5">
        <v>36</v>
      </c>
    </row>
    <row r="6" spans="1:36" x14ac:dyDescent="0.25">
      <c r="A6" s="7" t="s">
        <v>97</v>
      </c>
      <c r="B6">
        <v>0</v>
      </c>
      <c r="C6" t="s">
        <v>54</v>
      </c>
      <c r="D6">
        <v>3</v>
      </c>
      <c r="E6">
        <v>1</v>
      </c>
      <c r="F6">
        <v>1</v>
      </c>
      <c r="G6" t="s">
        <v>55</v>
      </c>
      <c r="K6" t="s">
        <v>57</v>
      </c>
      <c r="L6">
        <v>1</v>
      </c>
      <c r="N6">
        <v>1</v>
      </c>
      <c r="O6" t="s">
        <v>69</v>
      </c>
      <c r="P6" t="s">
        <v>70</v>
      </c>
      <c r="S6" t="s">
        <v>49</v>
      </c>
      <c r="T6">
        <v>1</v>
      </c>
      <c r="V6">
        <v>1</v>
      </c>
      <c r="W6" t="s">
        <v>50</v>
      </c>
      <c r="AA6" t="s">
        <v>39</v>
      </c>
      <c r="AB6">
        <v>1</v>
      </c>
      <c r="AC6">
        <v>1</v>
      </c>
      <c r="AD6">
        <v>2</v>
      </c>
      <c r="AE6" t="s">
        <v>68</v>
      </c>
      <c r="AF6" t="s">
        <v>41</v>
      </c>
      <c r="AI6">
        <v>5</v>
      </c>
      <c r="AJ6">
        <v>30</v>
      </c>
    </row>
    <row r="7" spans="1:36" x14ac:dyDescent="0.25">
      <c r="A7" t="s">
        <v>98</v>
      </c>
      <c r="B7">
        <v>0</v>
      </c>
      <c r="C7" t="s">
        <v>34</v>
      </c>
      <c r="D7">
        <v>1</v>
      </c>
      <c r="F7">
        <v>1</v>
      </c>
      <c r="G7" t="s">
        <v>47</v>
      </c>
      <c r="H7" t="s">
        <v>36</v>
      </c>
      <c r="K7" t="s">
        <v>44</v>
      </c>
      <c r="L7">
        <v>1</v>
      </c>
      <c r="N7">
        <v>1</v>
      </c>
      <c r="O7" t="s">
        <v>74</v>
      </c>
      <c r="P7" t="s">
        <v>75</v>
      </c>
      <c r="Q7" t="s">
        <v>76</v>
      </c>
      <c r="S7" t="s">
        <v>54</v>
      </c>
      <c r="T7">
        <v>1</v>
      </c>
      <c r="U7">
        <v>1</v>
      </c>
      <c r="V7">
        <v>1</v>
      </c>
      <c r="W7" t="s">
        <v>55</v>
      </c>
      <c r="X7" t="s">
        <v>85</v>
      </c>
      <c r="AA7" t="s">
        <v>57</v>
      </c>
      <c r="AB7">
        <v>1</v>
      </c>
      <c r="AD7">
        <v>1</v>
      </c>
      <c r="AE7" t="s">
        <v>69</v>
      </c>
      <c r="AF7" t="s">
        <v>70</v>
      </c>
      <c r="AI7">
        <v>5</v>
      </c>
      <c r="AJ7">
        <v>30</v>
      </c>
    </row>
    <row r="8" spans="1:36" x14ac:dyDescent="0.25">
      <c r="A8" t="s">
        <v>99</v>
      </c>
      <c r="B8">
        <v>0</v>
      </c>
      <c r="C8" t="s">
        <v>34</v>
      </c>
      <c r="D8">
        <v>1</v>
      </c>
      <c r="F8">
        <v>1</v>
      </c>
      <c r="G8" t="s">
        <v>66</v>
      </c>
      <c r="H8" t="s">
        <v>36</v>
      </c>
      <c r="I8" t="s">
        <v>37</v>
      </c>
      <c r="K8" t="s">
        <v>46</v>
      </c>
      <c r="L8">
        <v>1</v>
      </c>
      <c r="N8">
        <v>1</v>
      </c>
      <c r="O8" t="s">
        <v>48</v>
      </c>
      <c r="P8" t="s">
        <v>100</v>
      </c>
      <c r="Q8" t="s">
        <v>101</v>
      </c>
      <c r="R8" t="s">
        <v>102</v>
      </c>
      <c r="S8" t="s">
        <v>54</v>
      </c>
      <c r="T8">
        <v>1</v>
      </c>
      <c r="U8">
        <v>1</v>
      </c>
      <c r="V8">
        <v>1</v>
      </c>
      <c r="W8" t="s">
        <v>55</v>
      </c>
      <c r="X8" t="s">
        <v>85</v>
      </c>
      <c r="AA8" t="s">
        <v>57</v>
      </c>
      <c r="AB8">
        <v>1</v>
      </c>
      <c r="AD8">
        <v>2</v>
      </c>
      <c r="AE8" t="s">
        <v>69</v>
      </c>
      <c r="AF8" t="s">
        <v>70</v>
      </c>
      <c r="AI8">
        <v>8</v>
      </c>
      <c r="AJ8">
        <v>35</v>
      </c>
    </row>
    <row r="9" spans="1:36" x14ac:dyDescent="0.25">
      <c r="A9" t="s">
        <v>103</v>
      </c>
      <c r="B9">
        <v>0</v>
      </c>
      <c r="C9" t="s">
        <v>54</v>
      </c>
      <c r="D9">
        <v>2</v>
      </c>
      <c r="E9">
        <v>1</v>
      </c>
      <c r="F9">
        <v>1</v>
      </c>
      <c r="G9" t="s">
        <v>55</v>
      </c>
      <c r="K9" t="s">
        <v>57</v>
      </c>
      <c r="L9">
        <v>1</v>
      </c>
      <c r="N9">
        <v>1</v>
      </c>
      <c r="O9" t="s">
        <v>69</v>
      </c>
      <c r="S9" t="s">
        <v>34</v>
      </c>
      <c r="T9">
        <v>1</v>
      </c>
      <c r="V9">
        <v>1</v>
      </c>
      <c r="W9" t="s">
        <v>66</v>
      </c>
      <c r="X9" t="s">
        <v>36</v>
      </c>
      <c r="AA9" t="s">
        <v>64</v>
      </c>
      <c r="AB9">
        <v>1</v>
      </c>
      <c r="AD9">
        <v>1</v>
      </c>
      <c r="AE9" t="s">
        <v>73</v>
      </c>
      <c r="AF9" t="s">
        <v>104</v>
      </c>
      <c r="AI9">
        <v>3</v>
      </c>
      <c r="AJ9">
        <v>28</v>
      </c>
    </row>
    <row r="10" spans="1:36" x14ac:dyDescent="0.25">
      <c r="A10" t="s">
        <v>105</v>
      </c>
      <c r="B10">
        <v>0</v>
      </c>
      <c r="C10" t="s">
        <v>54</v>
      </c>
      <c r="D10">
        <v>2</v>
      </c>
      <c r="E10">
        <v>1</v>
      </c>
      <c r="F10">
        <v>1</v>
      </c>
      <c r="G10" t="s">
        <v>55</v>
      </c>
      <c r="H10" t="s">
        <v>85</v>
      </c>
      <c r="K10" t="s">
        <v>57</v>
      </c>
      <c r="L10">
        <v>1</v>
      </c>
      <c r="N10">
        <v>2</v>
      </c>
      <c r="O10" t="s">
        <v>69</v>
      </c>
      <c r="S10" t="s">
        <v>34</v>
      </c>
      <c r="T10">
        <v>1</v>
      </c>
      <c r="V10">
        <v>1</v>
      </c>
      <c r="W10" t="s">
        <v>47</v>
      </c>
      <c r="X10" t="s">
        <v>36</v>
      </c>
      <c r="AA10" t="s">
        <v>39</v>
      </c>
      <c r="AB10">
        <v>2</v>
      </c>
      <c r="AC10">
        <v>1</v>
      </c>
      <c r="AD10">
        <v>1</v>
      </c>
      <c r="AE10" t="s">
        <v>68</v>
      </c>
      <c r="AF10" t="s">
        <v>106</v>
      </c>
      <c r="AI10">
        <v>6</v>
      </c>
      <c r="AJ10">
        <v>35</v>
      </c>
    </row>
    <row r="11" spans="1:36" x14ac:dyDescent="0.25">
      <c r="A11" t="s">
        <v>107</v>
      </c>
      <c r="B11">
        <v>0</v>
      </c>
      <c r="C11" t="s">
        <v>54</v>
      </c>
      <c r="D11">
        <v>2</v>
      </c>
      <c r="E11">
        <v>1</v>
      </c>
      <c r="F11">
        <v>2</v>
      </c>
      <c r="G11" t="s">
        <v>55</v>
      </c>
      <c r="K11" t="s">
        <v>57</v>
      </c>
      <c r="L11">
        <v>1</v>
      </c>
      <c r="N11">
        <v>2</v>
      </c>
      <c r="O11" t="s">
        <v>69</v>
      </c>
      <c r="S11" t="s">
        <v>44</v>
      </c>
      <c r="T11">
        <v>1</v>
      </c>
      <c r="V11">
        <v>1</v>
      </c>
      <c r="W11" t="s">
        <v>74</v>
      </c>
      <c r="X11" t="s">
        <v>75</v>
      </c>
      <c r="AA11" t="s">
        <v>46</v>
      </c>
      <c r="AB11">
        <v>1</v>
      </c>
      <c r="AD11">
        <v>1</v>
      </c>
      <c r="AE11" t="s">
        <v>48</v>
      </c>
      <c r="AF11" t="s">
        <v>77</v>
      </c>
      <c r="AI11">
        <v>5</v>
      </c>
      <c r="AJ11">
        <v>29</v>
      </c>
    </row>
    <row r="12" spans="1:36" x14ac:dyDescent="0.25">
      <c r="A12" t="s">
        <v>108</v>
      </c>
      <c r="B12">
        <v>0</v>
      </c>
      <c r="C12" t="s">
        <v>54</v>
      </c>
      <c r="D12">
        <v>2</v>
      </c>
      <c r="E12">
        <v>2</v>
      </c>
      <c r="F12">
        <v>1</v>
      </c>
      <c r="G12" t="s">
        <v>55</v>
      </c>
      <c r="H12" t="s">
        <v>85</v>
      </c>
      <c r="I12" t="s">
        <v>109</v>
      </c>
      <c r="J12" t="s">
        <v>110</v>
      </c>
      <c r="K12" t="s">
        <v>57</v>
      </c>
      <c r="L12">
        <v>1</v>
      </c>
      <c r="N12">
        <v>1</v>
      </c>
      <c r="O12" t="s">
        <v>58</v>
      </c>
      <c r="S12" t="s">
        <v>44</v>
      </c>
      <c r="T12">
        <v>1</v>
      </c>
      <c r="V12">
        <v>3</v>
      </c>
      <c r="W12" t="s">
        <v>74</v>
      </c>
      <c r="X12" t="s">
        <v>111</v>
      </c>
      <c r="Y12" t="s">
        <v>112</v>
      </c>
      <c r="Z12" t="s">
        <v>113</v>
      </c>
      <c r="AA12" t="s">
        <v>64</v>
      </c>
      <c r="AB12">
        <v>1</v>
      </c>
      <c r="AD12">
        <v>1</v>
      </c>
      <c r="AE12" t="s">
        <v>73</v>
      </c>
      <c r="AI12">
        <v>10</v>
      </c>
      <c r="AJ12">
        <v>60</v>
      </c>
    </row>
    <row r="13" spans="1:36" x14ac:dyDescent="0.25">
      <c r="A13" s="7" t="s">
        <v>114</v>
      </c>
      <c r="B13">
        <v>0</v>
      </c>
      <c r="C13" t="s">
        <v>54</v>
      </c>
      <c r="D13">
        <v>3</v>
      </c>
      <c r="E13">
        <v>1</v>
      </c>
      <c r="F13">
        <v>1</v>
      </c>
      <c r="G13" t="s">
        <v>55</v>
      </c>
      <c r="H13" t="s">
        <v>85</v>
      </c>
      <c r="K13" t="s">
        <v>57</v>
      </c>
      <c r="L13">
        <v>1</v>
      </c>
      <c r="N13">
        <v>1</v>
      </c>
      <c r="O13" t="s">
        <v>69</v>
      </c>
      <c r="S13" t="s">
        <v>44</v>
      </c>
      <c r="T13">
        <v>1</v>
      </c>
      <c r="V13">
        <v>1</v>
      </c>
      <c r="W13" t="s">
        <v>74</v>
      </c>
      <c r="X13" t="s">
        <v>75</v>
      </c>
      <c r="AA13" t="s">
        <v>39</v>
      </c>
      <c r="AB13">
        <v>2</v>
      </c>
      <c r="AC13">
        <v>1</v>
      </c>
      <c r="AD13">
        <v>2</v>
      </c>
      <c r="AE13" t="s">
        <v>68</v>
      </c>
      <c r="AF13" t="s">
        <v>41</v>
      </c>
      <c r="AI13">
        <v>7</v>
      </c>
      <c r="AJ13">
        <v>34</v>
      </c>
    </row>
    <row r="14" spans="1:36" x14ac:dyDescent="0.25">
      <c r="A14" t="s">
        <v>115</v>
      </c>
      <c r="B14">
        <v>0</v>
      </c>
      <c r="C14" t="s">
        <v>54</v>
      </c>
      <c r="D14">
        <v>3</v>
      </c>
      <c r="E14">
        <v>1</v>
      </c>
      <c r="F14">
        <v>1</v>
      </c>
      <c r="G14" t="s">
        <v>55</v>
      </c>
      <c r="H14" t="s">
        <v>85</v>
      </c>
      <c r="K14" t="s">
        <v>57</v>
      </c>
      <c r="L14">
        <v>1</v>
      </c>
      <c r="N14">
        <v>1</v>
      </c>
      <c r="O14" t="s">
        <v>69</v>
      </c>
      <c r="S14" t="s">
        <v>46</v>
      </c>
      <c r="T14">
        <v>1</v>
      </c>
      <c r="V14">
        <v>1</v>
      </c>
      <c r="W14" t="s">
        <v>48</v>
      </c>
      <c r="X14" t="s">
        <v>77</v>
      </c>
      <c r="Y14" t="s">
        <v>116</v>
      </c>
      <c r="AA14" t="s">
        <v>64</v>
      </c>
      <c r="AB14">
        <v>1</v>
      </c>
      <c r="AD14">
        <v>1</v>
      </c>
      <c r="AE14" t="s">
        <v>73</v>
      </c>
      <c r="AI14">
        <v>5</v>
      </c>
      <c r="AJ14">
        <v>29</v>
      </c>
    </row>
    <row r="15" spans="1:36" x14ac:dyDescent="0.25">
      <c r="A15" t="s">
        <v>117</v>
      </c>
      <c r="B15">
        <v>0</v>
      </c>
      <c r="C15" t="s">
        <v>54</v>
      </c>
      <c r="D15">
        <v>1</v>
      </c>
      <c r="E15">
        <v>1</v>
      </c>
      <c r="F15">
        <v>1</v>
      </c>
      <c r="G15" t="s">
        <v>55</v>
      </c>
      <c r="K15" t="s">
        <v>57</v>
      </c>
      <c r="L15">
        <v>1</v>
      </c>
      <c r="N15">
        <v>1</v>
      </c>
      <c r="O15" t="s">
        <v>69</v>
      </c>
      <c r="P15" t="s">
        <v>70</v>
      </c>
      <c r="Q15" t="s">
        <v>92</v>
      </c>
      <c r="S15" t="s">
        <v>46</v>
      </c>
      <c r="T15">
        <v>1</v>
      </c>
      <c r="V15">
        <v>1</v>
      </c>
      <c r="W15" t="s">
        <v>90</v>
      </c>
      <c r="X15" t="s">
        <v>77</v>
      </c>
      <c r="AA15" t="s">
        <v>39</v>
      </c>
      <c r="AB15">
        <v>1</v>
      </c>
      <c r="AC15">
        <v>1</v>
      </c>
      <c r="AD15">
        <v>1</v>
      </c>
      <c r="AE15" t="s">
        <v>68</v>
      </c>
      <c r="AI15">
        <v>3</v>
      </c>
      <c r="AJ15">
        <v>26</v>
      </c>
    </row>
    <row r="16" spans="1:36" x14ac:dyDescent="0.25">
      <c r="A16" t="s">
        <v>118</v>
      </c>
      <c r="B16">
        <v>0</v>
      </c>
      <c r="C16" t="s">
        <v>54</v>
      </c>
      <c r="D16">
        <v>2</v>
      </c>
      <c r="E16">
        <v>1</v>
      </c>
      <c r="F16">
        <v>1</v>
      </c>
      <c r="G16" t="s">
        <v>55</v>
      </c>
      <c r="H16" t="s">
        <v>56</v>
      </c>
      <c r="K16" t="s">
        <v>57</v>
      </c>
      <c r="L16">
        <v>1</v>
      </c>
      <c r="N16">
        <v>2</v>
      </c>
      <c r="O16" t="s">
        <v>69</v>
      </c>
      <c r="S16" t="s">
        <v>64</v>
      </c>
      <c r="T16">
        <v>1</v>
      </c>
      <c r="V16">
        <v>2</v>
      </c>
      <c r="W16" t="s">
        <v>119</v>
      </c>
      <c r="X16" t="s">
        <v>96</v>
      </c>
      <c r="Y16" t="s">
        <v>120</v>
      </c>
      <c r="AA16" t="s">
        <v>39</v>
      </c>
      <c r="AB16">
        <v>1</v>
      </c>
      <c r="AC16">
        <v>3</v>
      </c>
      <c r="AD16">
        <v>1</v>
      </c>
      <c r="AE16" t="s">
        <v>68</v>
      </c>
      <c r="AF16" t="s">
        <v>41</v>
      </c>
      <c r="AI16">
        <v>9</v>
      </c>
      <c r="AJ16">
        <v>43</v>
      </c>
    </row>
    <row r="17" spans="1:36" x14ac:dyDescent="0.25">
      <c r="A17" t="s">
        <v>121</v>
      </c>
      <c r="B17">
        <v>0</v>
      </c>
      <c r="C17" t="s">
        <v>57</v>
      </c>
      <c r="D17">
        <v>1</v>
      </c>
      <c r="F17">
        <v>1</v>
      </c>
      <c r="G17" t="s">
        <v>69</v>
      </c>
      <c r="H17" t="s">
        <v>70</v>
      </c>
      <c r="I17" t="s">
        <v>92</v>
      </c>
      <c r="K17" t="s">
        <v>34</v>
      </c>
      <c r="L17">
        <v>1</v>
      </c>
      <c r="N17">
        <v>1</v>
      </c>
      <c r="O17" t="s">
        <v>66</v>
      </c>
      <c r="P17" t="s">
        <v>36</v>
      </c>
      <c r="Q17" t="s">
        <v>37</v>
      </c>
      <c r="S17" t="s">
        <v>54</v>
      </c>
      <c r="T17">
        <v>1</v>
      </c>
      <c r="U17">
        <v>1</v>
      </c>
      <c r="V17">
        <v>2</v>
      </c>
      <c r="W17" t="s">
        <v>55</v>
      </c>
      <c r="AA17" t="s">
        <v>49</v>
      </c>
      <c r="AB17">
        <v>1</v>
      </c>
      <c r="AD17">
        <v>1</v>
      </c>
      <c r="AE17" t="s">
        <v>50</v>
      </c>
      <c r="AF17" t="s">
        <v>72</v>
      </c>
      <c r="AI17">
        <v>6</v>
      </c>
      <c r="AJ17">
        <v>28</v>
      </c>
    </row>
    <row r="18" spans="1:36" x14ac:dyDescent="0.25">
      <c r="A18" t="s">
        <v>122</v>
      </c>
      <c r="B18">
        <v>0</v>
      </c>
      <c r="C18" t="s">
        <v>54</v>
      </c>
      <c r="D18">
        <v>3</v>
      </c>
      <c r="E18">
        <v>1</v>
      </c>
      <c r="F18">
        <v>1</v>
      </c>
      <c r="G18" t="s">
        <v>55</v>
      </c>
      <c r="H18" t="s">
        <v>85</v>
      </c>
      <c r="I18" t="s">
        <v>123</v>
      </c>
      <c r="J18" t="s">
        <v>110</v>
      </c>
      <c r="K18" t="s">
        <v>49</v>
      </c>
      <c r="L18">
        <v>1</v>
      </c>
      <c r="N18">
        <v>1</v>
      </c>
      <c r="O18" t="s">
        <v>50</v>
      </c>
      <c r="S18" t="s">
        <v>57</v>
      </c>
      <c r="T18">
        <v>1</v>
      </c>
      <c r="V18">
        <v>2</v>
      </c>
      <c r="W18" t="s">
        <v>69</v>
      </c>
      <c r="AA18" t="s">
        <v>44</v>
      </c>
      <c r="AB18">
        <v>1</v>
      </c>
      <c r="AD18">
        <v>1</v>
      </c>
      <c r="AE18" t="s">
        <v>74</v>
      </c>
      <c r="AF18" t="s">
        <v>75</v>
      </c>
      <c r="AI18">
        <v>7</v>
      </c>
      <c r="AJ18">
        <v>47</v>
      </c>
    </row>
    <row r="19" spans="1:36" x14ac:dyDescent="0.25">
      <c r="A19" t="s">
        <v>130</v>
      </c>
      <c r="B19">
        <v>0</v>
      </c>
      <c r="C19" t="s">
        <v>54</v>
      </c>
      <c r="D19">
        <v>2</v>
      </c>
      <c r="E19">
        <v>1</v>
      </c>
      <c r="F19">
        <v>1</v>
      </c>
      <c r="G19" t="s">
        <v>55</v>
      </c>
      <c r="H19" t="s">
        <v>85</v>
      </c>
      <c r="K19" t="s">
        <v>49</v>
      </c>
      <c r="L19">
        <v>1</v>
      </c>
      <c r="N19">
        <v>1</v>
      </c>
      <c r="O19" t="s">
        <v>50</v>
      </c>
      <c r="P19" t="s">
        <v>72</v>
      </c>
      <c r="S19" t="s">
        <v>57</v>
      </c>
      <c r="T19">
        <v>1</v>
      </c>
      <c r="V19">
        <v>1</v>
      </c>
      <c r="W19" t="s">
        <v>69</v>
      </c>
      <c r="AA19" t="s">
        <v>46</v>
      </c>
      <c r="AB19">
        <v>1</v>
      </c>
      <c r="AD19">
        <v>1</v>
      </c>
      <c r="AE19" t="s">
        <v>48</v>
      </c>
      <c r="AI19">
        <v>3</v>
      </c>
      <c r="AJ19">
        <v>25</v>
      </c>
    </row>
    <row r="20" spans="1:36" x14ac:dyDescent="0.25">
      <c r="A20" t="s">
        <v>179</v>
      </c>
      <c r="B20">
        <v>0</v>
      </c>
      <c r="C20" t="s">
        <v>54</v>
      </c>
      <c r="D20">
        <v>2</v>
      </c>
      <c r="E20">
        <v>1</v>
      </c>
      <c r="F20">
        <v>1</v>
      </c>
      <c r="G20" t="s">
        <v>55</v>
      </c>
      <c r="H20" t="s">
        <v>56</v>
      </c>
      <c r="K20" t="s">
        <v>49</v>
      </c>
      <c r="L20">
        <v>1</v>
      </c>
      <c r="N20">
        <v>1</v>
      </c>
      <c r="O20" t="s">
        <v>50</v>
      </c>
      <c r="P20" t="s">
        <v>51</v>
      </c>
      <c r="Q20" t="s">
        <v>52</v>
      </c>
      <c r="S20" t="s">
        <v>57</v>
      </c>
      <c r="T20">
        <v>1</v>
      </c>
      <c r="V20">
        <v>1</v>
      </c>
      <c r="W20" t="s">
        <v>69</v>
      </c>
      <c r="X20" t="s">
        <v>70</v>
      </c>
      <c r="AA20" t="s">
        <v>64</v>
      </c>
      <c r="AB20">
        <v>1</v>
      </c>
      <c r="AD20">
        <v>1</v>
      </c>
      <c r="AE20" t="s">
        <v>73</v>
      </c>
      <c r="AI20">
        <v>5</v>
      </c>
      <c r="AJ20">
        <v>34</v>
      </c>
    </row>
    <row r="21" spans="1:36" x14ac:dyDescent="0.25">
      <c r="A21" t="s">
        <v>180</v>
      </c>
      <c r="B21">
        <v>0</v>
      </c>
      <c r="C21" t="s">
        <v>57</v>
      </c>
      <c r="D21">
        <v>1</v>
      </c>
      <c r="F21">
        <v>1</v>
      </c>
      <c r="G21" t="s">
        <v>142</v>
      </c>
      <c r="H21" t="s">
        <v>70</v>
      </c>
      <c r="K21" t="s">
        <v>39</v>
      </c>
      <c r="L21">
        <v>3</v>
      </c>
      <c r="M21">
        <v>1</v>
      </c>
      <c r="N21">
        <v>1</v>
      </c>
      <c r="O21" t="s">
        <v>174</v>
      </c>
      <c r="S21" t="s">
        <v>54</v>
      </c>
      <c r="T21">
        <v>2</v>
      </c>
      <c r="U21">
        <v>1</v>
      </c>
      <c r="V21">
        <v>1</v>
      </c>
      <c r="W21" t="s">
        <v>55</v>
      </c>
      <c r="AA21" t="s">
        <v>49</v>
      </c>
      <c r="AB21">
        <v>1</v>
      </c>
      <c r="AD21">
        <v>1</v>
      </c>
      <c r="AE21" t="s">
        <v>50</v>
      </c>
      <c r="AF21" t="s">
        <v>51</v>
      </c>
      <c r="AI21">
        <v>5</v>
      </c>
      <c r="AJ21">
        <v>30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33A7-8A1F-44CC-8766-BA48788886C5}">
  <dimension ref="A1:E19"/>
  <sheetViews>
    <sheetView workbookViewId="0">
      <selection activeCell="D25" sqref="D25"/>
    </sheetView>
  </sheetViews>
  <sheetFormatPr defaultRowHeight="15" x14ac:dyDescent="0.25"/>
  <cols>
    <col min="1" max="1" width="23.140625" bestFit="1" customWidth="1"/>
    <col min="2" max="2" width="8" bestFit="1" customWidth="1"/>
    <col min="4" max="4" width="18.42578125" style="6" bestFit="1" customWidth="1"/>
    <col min="5" max="5" width="15.5703125" style="6" bestFit="1" customWidth="1"/>
  </cols>
  <sheetData>
    <row r="1" spans="1:5" x14ac:dyDescent="0.25">
      <c r="A1" t="s">
        <v>131</v>
      </c>
      <c r="B1" t="s">
        <v>132</v>
      </c>
      <c r="C1" t="s">
        <v>80</v>
      </c>
      <c r="D1" s="6" t="s">
        <v>139</v>
      </c>
      <c r="E1" s="6" t="s">
        <v>140</v>
      </c>
    </row>
    <row r="2" spans="1:5" x14ac:dyDescent="0.25">
      <c r="A2" t="s">
        <v>73</v>
      </c>
      <c r="B2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</f>
        <v>5</v>
      </c>
      <c r="C2">
        <f>COUNTIF(Таблица1[winner1-ability1],Table7121620242832[[#This Row],[ability]])+COUNTIF(Таблица1[winner2-ability1],Table7121620242832[[#This Row],[ability]])</f>
        <v>0</v>
      </c>
      <c r="D2" s="6">
        <f>IF(SUM(Table7121620242832[[#This Row],[takes]]) &gt; 0,Table7121620242832[[#This Row],[takes]]/SUM(Table7121620242832[takes]),0)</f>
        <v>0.83333333333333337</v>
      </c>
      <c r="E2" s="6">
        <f>IF(Table7121620242832[[#This Row],[takes]]&gt;0,Table7121620242832[[#This Row],[wins]]/Table7121620242832[[#This Row],[takes]],0)</f>
        <v>0</v>
      </c>
    </row>
    <row r="3" spans="1:5" x14ac:dyDescent="0.25">
      <c r="A3" t="s">
        <v>167</v>
      </c>
      <c r="B3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</f>
        <v>0</v>
      </c>
      <c r="C3">
        <f>COUNTIF(Таблица1[winner1-ability1],Table7121620242832[[#This Row],[ability]])+COUNTIF(Таблица1[winner2-ability1],Table7121620242832[[#This Row],[ability]])</f>
        <v>0</v>
      </c>
      <c r="D3" s="6">
        <f>IF(SUM(Table7121620242832[[#This Row],[takes]]) &gt; 0,Table7121620242832[[#This Row],[takes]]/SUM(Table7121620242832[takes]),0)</f>
        <v>0</v>
      </c>
      <c r="E3" s="6">
        <f>IF(Table7121620242832[[#This Row],[takes]]&gt;0,Table7121620242832[[#This Row],[wins]]/Table7121620242832[[#This Row],[takes]],0)</f>
        <v>0</v>
      </c>
    </row>
    <row r="4" spans="1:5" x14ac:dyDescent="0.25">
      <c r="A4" t="s">
        <v>119</v>
      </c>
      <c r="B4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</f>
        <v>1</v>
      </c>
      <c r="C4">
        <f>COUNTIF(Таблица1[winner1-ability1],Table7121620242832[[#This Row],[ability]])+COUNTIF(Таблица1[winner2-ability1],Table7121620242832[[#This Row],[ability]])</f>
        <v>0</v>
      </c>
      <c r="D4" s="6">
        <f>IF(SUM(Table7121620242832[[#This Row],[takes]]) &gt; 0,Table7121620242832[[#This Row],[takes]]/SUM(Table7121620242832[takes]),0)</f>
        <v>0.16666666666666666</v>
      </c>
      <c r="E4" s="6">
        <f>IF(Table7121620242832[[#This Row],[takes]]&gt;0,Table7121620242832[[#This Row],[wins]]/Table7121620242832[[#This Row],[takes]],0)</f>
        <v>0</v>
      </c>
    </row>
    <row r="6" spans="1:5" x14ac:dyDescent="0.25">
      <c r="A6" s="14" t="s">
        <v>131</v>
      </c>
      <c r="B6" s="15" t="s">
        <v>132</v>
      </c>
      <c r="C6" s="15" t="s">
        <v>80</v>
      </c>
      <c r="D6" s="16" t="s">
        <v>139</v>
      </c>
      <c r="E6" s="16" t="s">
        <v>140</v>
      </c>
    </row>
    <row r="7" spans="1:5" x14ac:dyDescent="0.25">
      <c r="A7" s="2" t="s">
        <v>104</v>
      </c>
      <c r="B7" s="2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</f>
        <v>1</v>
      </c>
      <c r="C7" s="2">
        <f>COUNTIF(Таблица1[winner1-ability2],Table8131721252933[[#This Row],[ability]])+COUNTIF(Таблица1[winner2-ability2],Table8131721252933[[#This Row],[ability]])</f>
        <v>0</v>
      </c>
      <c r="D7" s="19">
        <f>IF(SUM(Table8131721252933[[#This Row],[takes]]) &gt; 0,Table8131721252933[[#This Row],[takes]]/SUM(Table8131721252933[takes]),0)</f>
        <v>0.33333333333333331</v>
      </c>
      <c r="E7" s="19">
        <f>IF(Table8131721252933[[#This Row],[takes]]&gt;0,Table8131721252933[[#This Row],[wins]]/Table8131721252933[[#This Row],[takes]],0)</f>
        <v>0</v>
      </c>
    </row>
    <row r="8" spans="1:5" x14ac:dyDescent="0.25">
      <c r="A8" t="s">
        <v>168</v>
      </c>
      <c r="B8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</f>
        <v>0</v>
      </c>
      <c r="C8">
        <f>COUNTIF(Таблица1[winner1-ability2],Table8131721252933[[#This Row],[ability]])+COUNTIF(Таблица1[winner2-ability2],Table8131721252933[[#This Row],[ability]])</f>
        <v>0</v>
      </c>
      <c r="D8" s="6">
        <f>IF(SUM(Table8131721252933[[#This Row],[takes]]) &gt; 0,Table8131721252933[[#This Row],[takes]]/SUM(Table8131721252933[takes]),0)</f>
        <v>0</v>
      </c>
      <c r="E8" s="6">
        <f>IF(Table8131721252933[[#This Row],[takes]]&gt;0,Table8131721252933[[#This Row],[wins]]/Table8131721252933[[#This Row],[takes]],0)</f>
        <v>0</v>
      </c>
    </row>
    <row r="9" spans="1:5" x14ac:dyDescent="0.25">
      <c r="A9" s="17" t="s">
        <v>96</v>
      </c>
      <c r="B9" s="17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</f>
        <v>2</v>
      </c>
      <c r="C9" s="17">
        <f>COUNTIF(Таблица1[winner1-ability2],Table8131721252933[[#This Row],[ability]])+COUNTIF(Таблица1[winner2-ability2],Table8131721252933[[#This Row],[ability]])</f>
        <v>0</v>
      </c>
      <c r="D9" s="20">
        <f>IF(SUM(Table8131721252933[[#This Row],[takes]]) &gt; 0,Table8131721252933[[#This Row],[takes]]/SUM(Table8131721252933[takes]),0)</f>
        <v>0.66666666666666663</v>
      </c>
      <c r="E9" s="20">
        <f>IF(Table8131721252933[[#This Row],[takes]]&gt;0,Table8131721252933[[#This Row],[wins]]/Table8131721252933[[#This Row],[takes]],0)</f>
        <v>0</v>
      </c>
    </row>
    <row r="11" spans="1:5" x14ac:dyDescent="0.25">
      <c r="A11" s="14" t="s">
        <v>131</v>
      </c>
      <c r="B11" s="15" t="s">
        <v>132</v>
      </c>
      <c r="C11" s="15" t="s">
        <v>80</v>
      </c>
      <c r="D11" s="16" t="s">
        <v>139</v>
      </c>
      <c r="E11" s="16" t="s">
        <v>140</v>
      </c>
    </row>
    <row r="12" spans="1:5" x14ac:dyDescent="0.25">
      <c r="A12" s="1" t="s">
        <v>120</v>
      </c>
      <c r="B12" s="1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</f>
        <v>1</v>
      </c>
      <c r="C12" s="1">
        <f>COUNTIF(Таблица1[winner1-ability3],Table9141822263034[[#This Row],[ability]])+COUNTIF(Таблица1[winner2-ability3],Table9141822263034[[#This Row],[ability]])</f>
        <v>0</v>
      </c>
      <c r="D12" s="21">
        <f>IF(SUM(Table9141822263034[[#This Row],[takes]]) &gt; 0,Table9141822263034[[#This Row],[takes]]/SUM(Table9141822263034[takes]),0)</f>
        <v>1</v>
      </c>
      <c r="E12" s="21">
        <f>IF(Table9141822263034[[#This Row],[takes]]&gt;0,Table9141822263034[[#This Row],[wins]]/Table9141822263034[[#This Row],[takes]],0)</f>
        <v>0</v>
      </c>
    </row>
    <row r="13" spans="1:5" x14ac:dyDescent="0.25">
      <c r="A13" s="2" t="s">
        <v>169</v>
      </c>
      <c r="B13" s="2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</f>
        <v>0</v>
      </c>
      <c r="C13" s="2">
        <f>COUNTIF(Таблица1[winner1-ability3],Table9141822263034[[#This Row],[ability]])+COUNTIF(Таблица1[winner2-ability3],Table9141822263034[[#This Row],[ability]])</f>
        <v>0</v>
      </c>
      <c r="D13" s="19">
        <f>IF(SUM(Table9141822263034[[#This Row],[takes]]) &gt; 0,Table9141822263034[[#This Row],[takes]]/SUM(Table9141822263034[takes]),0)</f>
        <v>0</v>
      </c>
      <c r="E13" s="19">
        <f>IF(Table9141822263034[[#This Row],[takes]]&gt;0,Table9141822263034[[#This Row],[wins]]/Table9141822263034[[#This Row],[takes]],0)</f>
        <v>0</v>
      </c>
    </row>
    <row r="14" spans="1:5" x14ac:dyDescent="0.25">
      <c r="A14" s="18" t="s">
        <v>170</v>
      </c>
      <c r="B14" s="18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</f>
        <v>0</v>
      </c>
      <c r="C14" s="18">
        <f>COUNTIF(Таблица1[winner1-ability3],Table9141822263034[[#This Row],[ability]])+COUNTIF(Таблица1[winner2-ability3],Table9141822263034[[#This Row],[ability]])</f>
        <v>0</v>
      </c>
      <c r="D14" s="22">
        <f>IF(SUM(Table9141822263034[[#This Row],[takes]]) &gt; 0,Table9141822263034[[#This Row],[takes]]/SUM(Table9141822263034[takes]),0)</f>
        <v>0</v>
      </c>
      <c r="E14" s="22">
        <f>IF(Table9141822263034[[#This Row],[takes]]&gt;0,Table9141822263034[[#This Row],[wins]]/Table9141822263034[[#This Row],[takes]],0)</f>
        <v>0</v>
      </c>
    </row>
    <row r="16" spans="1:5" x14ac:dyDescent="0.25">
      <c r="A16" s="14" t="s">
        <v>131</v>
      </c>
      <c r="B16" s="15" t="s">
        <v>132</v>
      </c>
      <c r="C16" s="15" t="s">
        <v>80</v>
      </c>
      <c r="D16" s="16" t="s">
        <v>139</v>
      </c>
      <c r="E16" s="16" t="s">
        <v>140</v>
      </c>
    </row>
    <row r="17" spans="1:5" x14ac:dyDescent="0.25">
      <c r="A17" s="2" t="s">
        <v>171</v>
      </c>
      <c r="B17" s="2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</f>
        <v>0</v>
      </c>
      <c r="C17" s="2">
        <f>COUNTIF(Таблица1[winner1-ability4],Table10151923273135[[#This Row],[ability]])+COUNTIF(Таблица1[winner2-ability4],Table10151923273135[[#This Row],[ability]])</f>
        <v>0</v>
      </c>
      <c r="D17" s="19">
        <f>IF(SUM(Table10151923273135[[#This Row],[takes]]) &gt; 0,Table10151923273135[[#This Row],[takes]]/SUM(Table10151923273135[takes]),0)</f>
        <v>0</v>
      </c>
      <c r="E17" s="19">
        <f>IF(Table10151923273135[[#This Row],[takes]]&gt;0,Table10151923273135[[#This Row],[wins]]/Table10151923273135[[#This Row],[takes]],0)</f>
        <v>0</v>
      </c>
    </row>
    <row r="18" spans="1:5" x14ac:dyDescent="0.25">
      <c r="A18" s="2" t="s">
        <v>172</v>
      </c>
      <c r="B18" s="2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</f>
        <v>0</v>
      </c>
      <c r="C18" s="2">
        <f>COUNTIF(Таблица1[winner1-ability4],Table10151923273135[[#This Row],[ability]])+COUNTIF(Таблица1[winner2-ability4],Table10151923273135[[#This Row],[ability]])</f>
        <v>0</v>
      </c>
      <c r="D18" s="19">
        <f>IF(SUM(Table10151923273135[[#This Row],[takes]]) &gt; 0,Table10151923273135[[#This Row],[takes]]/SUM(Table10151923273135[takes]),0)</f>
        <v>0</v>
      </c>
      <c r="E18" s="19">
        <f>IF(Table10151923273135[[#This Row],[takes]]&gt;0,Table10151923273135[[#This Row],[wins]]/Table10151923273135[[#This Row],[takes]],0)</f>
        <v>0</v>
      </c>
    </row>
    <row r="19" spans="1:5" x14ac:dyDescent="0.25">
      <c r="A19" s="17" t="s">
        <v>173</v>
      </c>
      <c r="B19" s="17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</f>
        <v>0</v>
      </c>
      <c r="C19" s="17">
        <f>COUNTIF(Таблица1[winner1-ability4],Table10151923273135[[#This Row],[ability]])+COUNTIF(Таблица1[winner2-ability4],Table10151923273135[[#This Row],[ability]])</f>
        <v>0</v>
      </c>
      <c r="D19" s="20">
        <f>IF(SUM(Table10151923273135[[#This Row],[takes]]) &gt; 0,Table10151923273135[[#This Row],[takes]]/SUM(Table10151923273135[takes]),0)</f>
        <v>0</v>
      </c>
      <c r="E19" s="20">
        <f>IF(Table10151923273135[[#This Row],[takes]]&gt;0,Table10151923273135[[#This Row],[wins]]/Table10151923273135[[#This Row],[takes]],0)</f>
        <v>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90183-2A0C-4C9B-8AD4-4EE359B5820C}">
  <dimension ref="A1:E19"/>
  <sheetViews>
    <sheetView workbookViewId="0">
      <selection activeCell="G13" sqref="G13"/>
    </sheetView>
  </sheetViews>
  <sheetFormatPr defaultRowHeight="15" x14ac:dyDescent="0.25"/>
  <cols>
    <col min="1" max="1" width="23.140625" bestFit="1" customWidth="1"/>
    <col min="2" max="2" width="8" bestFit="1" customWidth="1"/>
    <col min="4" max="4" width="18.42578125" style="6" bestFit="1" customWidth="1"/>
    <col min="5" max="5" width="15.5703125" style="6" bestFit="1" customWidth="1"/>
  </cols>
  <sheetData>
    <row r="1" spans="1:5" x14ac:dyDescent="0.25">
      <c r="A1" t="s">
        <v>131</v>
      </c>
      <c r="B1" t="s">
        <v>132</v>
      </c>
      <c r="C1" t="s">
        <v>80</v>
      </c>
      <c r="D1" s="6" t="s">
        <v>139</v>
      </c>
      <c r="E1" s="6" t="s">
        <v>140</v>
      </c>
    </row>
    <row r="2" spans="1:5" x14ac:dyDescent="0.25">
      <c r="A2" t="s">
        <v>68</v>
      </c>
      <c r="B2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</f>
        <v>5</v>
      </c>
      <c r="C2">
        <f>COUNTIF(Таблица1[winner1-ability1],Table712162024283236[[#This Row],[ability]])+COUNTIF(Таблица1[winner2-ability1],Table712162024283236[[#This Row],[ability]])</f>
        <v>0</v>
      </c>
      <c r="D2" s="6">
        <f>IF(SUM(Table712162024283236[[#This Row],[takes]]) &gt; 0,Table712162024283236[[#This Row],[takes]]/SUM(Table712162024283236[takes]),0)</f>
        <v>0.83333333333333337</v>
      </c>
      <c r="E2" s="6">
        <f>IF(Table712162024283236[[#This Row],[takes]]&gt;0,Table712162024283236[[#This Row],[wins]]/Table712162024283236[[#This Row],[takes]],0)</f>
        <v>0</v>
      </c>
    </row>
    <row r="3" spans="1:5" x14ac:dyDescent="0.25">
      <c r="A3" t="s">
        <v>174</v>
      </c>
      <c r="B3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</f>
        <v>1</v>
      </c>
      <c r="C3">
        <f>COUNTIF(Таблица1[winner1-ability1],Table712162024283236[[#This Row],[ability]])+COUNTIF(Таблица1[winner2-ability1],Table712162024283236[[#This Row],[ability]])</f>
        <v>1</v>
      </c>
      <c r="D3" s="6">
        <f>IF(SUM(Table712162024283236[[#This Row],[takes]]) &gt; 0,Table712162024283236[[#This Row],[takes]]/SUM(Table712162024283236[takes]),0)</f>
        <v>0.16666666666666666</v>
      </c>
      <c r="E3" s="6">
        <f>IF(Table712162024283236[[#This Row],[takes]]&gt;0,Table712162024283236[[#This Row],[wins]]/Table712162024283236[[#This Row],[takes]],0)</f>
        <v>1</v>
      </c>
    </row>
    <row r="4" spans="1:5" x14ac:dyDescent="0.25">
      <c r="A4" t="s">
        <v>40</v>
      </c>
      <c r="B4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</f>
        <v>0</v>
      </c>
      <c r="C4">
        <f>COUNTIF(Таблица1[winner1-ability1],Table712162024283236[[#This Row],[ability]])+COUNTIF(Таблица1[winner2-ability1],Table712162024283236[[#This Row],[ability]])</f>
        <v>0</v>
      </c>
      <c r="D4" s="6">
        <f>IF(SUM(Table712162024283236[[#This Row],[takes]]) &gt; 0,Table712162024283236[[#This Row],[takes]]/SUM(Table712162024283236[takes]),0)</f>
        <v>0</v>
      </c>
      <c r="E4" s="6">
        <f>IF(Table712162024283236[[#This Row],[takes]]&gt;0,Table712162024283236[[#This Row],[wins]]/Table712162024283236[[#This Row],[takes]],0)</f>
        <v>0</v>
      </c>
    </row>
    <row r="6" spans="1:5" x14ac:dyDescent="0.25">
      <c r="A6" s="14" t="s">
        <v>131</v>
      </c>
      <c r="B6" s="15" t="s">
        <v>132</v>
      </c>
      <c r="C6" s="15" t="s">
        <v>80</v>
      </c>
      <c r="D6" s="16" t="s">
        <v>139</v>
      </c>
      <c r="E6" s="16" t="s">
        <v>140</v>
      </c>
    </row>
    <row r="7" spans="1:5" x14ac:dyDescent="0.25">
      <c r="A7" s="2" t="s">
        <v>41</v>
      </c>
      <c r="B7" s="2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</f>
        <v>3</v>
      </c>
      <c r="C7" s="2">
        <f>COUNTIF(Таблица1[winner1-ability2],Table813172125293337[[#This Row],[ability]])+COUNTIF(Таблица1[winner2-ability2],Table813172125293337[[#This Row],[ability]])</f>
        <v>0</v>
      </c>
      <c r="D7" s="19">
        <f>IF(SUM(Table813172125293337[[#This Row],[takes]]) &gt; 0,Table813172125293337[[#This Row],[takes]]/SUM(Table813172125293337[takes]),0)</f>
        <v>0.75</v>
      </c>
      <c r="E7" s="19">
        <f>IF(Table813172125293337[[#This Row],[takes]]&gt;0,Table813172125293337[[#This Row],[wins]]/Table813172125293337[[#This Row],[takes]],0)</f>
        <v>0</v>
      </c>
    </row>
    <row r="8" spans="1:5" x14ac:dyDescent="0.25">
      <c r="A8" t="s">
        <v>71</v>
      </c>
      <c r="B8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</f>
        <v>0</v>
      </c>
      <c r="C8">
        <f>COUNTIF(Таблица1[winner1-ability2],Table813172125293337[[#This Row],[ability]])+COUNTIF(Таблица1[winner2-ability2],Table813172125293337[[#This Row],[ability]])</f>
        <v>0</v>
      </c>
      <c r="D8" s="6">
        <f>IF(SUM(Table813172125293337[[#This Row],[takes]]) &gt; 0,Table813172125293337[[#This Row],[takes]]/SUM(Table813172125293337[takes]),0)</f>
        <v>0</v>
      </c>
      <c r="E8" s="6">
        <f>IF(Table813172125293337[[#This Row],[takes]]&gt;0,Table813172125293337[[#This Row],[wins]]/Table813172125293337[[#This Row],[takes]],0)</f>
        <v>0</v>
      </c>
    </row>
    <row r="9" spans="1:5" x14ac:dyDescent="0.25">
      <c r="A9" s="17" t="s">
        <v>106</v>
      </c>
      <c r="B9" s="17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</f>
        <v>1</v>
      </c>
      <c r="C9" s="17">
        <f>COUNTIF(Таблица1[winner1-ability2],Table813172125293337[[#This Row],[ability]])+COUNTIF(Таблица1[winner2-ability2],Table813172125293337[[#This Row],[ability]])</f>
        <v>0</v>
      </c>
      <c r="D9" s="20">
        <f>IF(SUM(Table813172125293337[[#This Row],[takes]]) &gt; 0,Table813172125293337[[#This Row],[takes]]/SUM(Table813172125293337[takes]),0)</f>
        <v>0.25</v>
      </c>
      <c r="E9" s="20">
        <f>IF(Table813172125293337[[#This Row],[takes]]&gt;0,Table813172125293337[[#This Row],[wins]]/Table813172125293337[[#This Row],[takes]],0)</f>
        <v>0</v>
      </c>
    </row>
    <row r="11" spans="1:5" x14ac:dyDescent="0.25">
      <c r="A11" s="14" t="s">
        <v>131</v>
      </c>
      <c r="B11" s="15" t="s">
        <v>132</v>
      </c>
      <c r="C11" s="15" t="s">
        <v>80</v>
      </c>
      <c r="D11" s="16" t="s">
        <v>139</v>
      </c>
      <c r="E11" s="16" t="s">
        <v>140</v>
      </c>
    </row>
    <row r="12" spans="1:5" x14ac:dyDescent="0.25">
      <c r="A12" s="1" t="s">
        <v>42</v>
      </c>
      <c r="B12" s="1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</f>
        <v>0</v>
      </c>
      <c r="C12" s="1">
        <f>COUNTIF(Таблица1[winner1-ability3],Table914182226303438[[#This Row],[ability]])+COUNTIF(Таблица1[winner2-ability3],Table914182226303438[[#This Row],[ability]])</f>
        <v>0</v>
      </c>
      <c r="D12" s="21">
        <f>IF(SUM(Table914182226303438[[#This Row],[takes]]) &gt; 0,Table914182226303438[[#This Row],[takes]]/SUM(Table914182226303438[takes]),0)</f>
        <v>0</v>
      </c>
      <c r="E12" s="21">
        <f>IF(Table914182226303438[[#This Row],[takes]]&gt;0,Table914182226303438[[#This Row],[wins]]/Table914182226303438[[#This Row],[takes]],0)</f>
        <v>0</v>
      </c>
    </row>
    <row r="13" spans="1:5" x14ac:dyDescent="0.25">
      <c r="A13" s="2" t="s">
        <v>175</v>
      </c>
      <c r="B13" s="2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</f>
        <v>0</v>
      </c>
      <c r="C13" s="2">
        <f>COUNTIF(Таблица1[winner1-ability3],Table914182226303438[[#This Row],[ability]])+COUNTIF(Таблица1[winner2-ability3],Table914182226303438[[#This Row],[ability]])</f>
        <v>0</v>
      </c>
      <c r="D13" s="19">
        <f>IF(SUM(Table914182226303438[[#This Row],[takes]]) &gt; 0,Table914182226303438[[#This Row],[takes]]/SUM(Table914182226303438[takes]),0)</f>
        <v>0</v>
      </c>
      <c r="E13" s="19">
        <f>IF(Table914182226303438[[#This Row],[takes]]&gt;0,Table914182226303438[[#This Row],[wins]]/Table914182226303438[[#This Row],[takes]],0)</f>
        <v>0</v>
      </c>
    </row>
    <row r="14" spans="1:5" x14ac:dyDescent="0.25">
      <c r="A14" s="18" t="s">
        <v>176</v>
      </c>
      <c r="B14" s="18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</f>
        <v>0</v>
      </c>
      <c r="C14" s="18">
        <f>COUNTIF(Таблица1[winner1-ability3],Table914182226303438[[#This Row],[ability]])+COUNTIF(Таблица1[winner2-ability3],Table914182226303438[[#This Row],[ability]])</f>
        <v>0</v>
      </c>
      <c r="D14" s="22">
        <f>IF(SUM(Table914182226303438[[#This Row],[takes]]) &gt; 0,Table914182226303438[[#This Row],[takes]]/SUM(Table914182226303438[takes]),0)</f>
        <v>0</v>
      </c>
      <c r="E14" s="22">
        <f>IF(Table914182226303438[[#This Row],[takes]]&gt;0,Table914182226303438[[#This Row],[wins]]/Table914182226303438[[#This Row],[takes]],0)</f>
        <v>0</v>
      </c>
    </row>
    <row r="16" spans="1:5" x14ac:dyDescent="0.25">
      <c r="A16" s="14" t="s">
        <v>131</v>
      </c>
      <c r="B16" s="15" t="s">
        <v>132</v>
      </c>
      <c r="C16" s="15" t="s">
        <v>80</v>
      </c>
      <c r="D16" s="16" t="s">
        <v>139</v>
      </c>
      <c r="E16" s="16" t="s">
        <v>140</v>
      </c>
    </row>
    <row r="17" spans="1:5" x14ac:dyDescent="0.25">
      <c r="A17" s="2" t="s">
        <v>177</v>
      </c>
      <c r="B17" s="2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</f>
        <v>0</v>
      </c>
      <c r="C17" s="2">
        <f>COUNTIF(Таблица1[winner1-ability4],Table1015192327313539[[#This Row],[ability]])+COUNTIF(Таблица1[winner2-ability4],Table1015192327313539[[#This Row],[ability]])</f>
        <v>0</v>
      </c>
      <c r="D17" s="19">
        <f>IF(SUM(Table1015192327313539[[#This Row],[takes]]) &gt; 0,Table1015192327313539[[#This Row],[takes]]/SUM(Table1015192327313539[takes]),0)</f>
        <v>0</v>
      </c>
      <c r="E17" s="19">
        <f>IF(Table1015192327313539[[#This Row],[takes]]&gt;0,Table1015192327313539[[#This Row],[wins]]/Table1015192327313539[[#This Row],[takes]],0)</f>
        <v>0</v>
      </c>
    </row>
    <row r="18" spans="1:5" x14ac:dyDescent="0.25">
      <c r="A18" s="2" t="s">
        <v>178</v>
      </c>
      <c r="B18" s="2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</f>
        <v>0</v>
      </c>
      <c r="C18" s="2">
        <f>COUNTIF(Таблица1[winner1-ability4],Table1015192327313539[[#This Row],[ability]])+COUNTIF(Таблица1[winner2-ability4],Table1015192327313539[[#This Row],[ability]])</f>
        <v>0</v>
      </c>
      <c r="D18" s="19">
        <f>IF(SUM(Table1015192327313539[[#This Row],[takes]]) &gt; 0,Table1015192327313539[[#This Row],[takes]]/SUM(Table1015192327313539[takes]),0)</f>
        <v>0</v>
      </c>
      <c r="E18" s="19">
        <f>IF(Table1015192327313539[[#This Row],[takes]]&gt;0,Table1015192327313539[[#This Row],[wins]]/Table1015192327313539[[#This Row],[takes]],0)</f>
        <v>0</v>
      </c>
    </row>
    <row r="19" spans="1:5" x14ac:dyDescent="0.25">
      <c r="A19" s="17" t="s">
        <v>43</v>
      </c>
      <c r="B19" s="17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</f>
        <v>0</v>
      </c>
      <c r="C19" s="17">
        <f>COUNTIF(Таблица1[winner1-ability4],Table1015192327313539[[#This Row],[ability]])+COUNTIF(Таблица1[winner2-ability4],Table1015192327313539[[#This Row],[ability]])</f>
        <v>0</v>
      </c>
      <c r="D19" s="20">
        <f>IF(SUM(Table1015192327313539[[#This Row],[takes]]) &gt; 0,Table1015192327313539[[#This Row],[takes]]/SUM(Table1015192327313539[takes]),0)</f>
        <v>0</v>
      </c>
      <c r="E19" s="20">
        <f>IF(Table1015192327313539[[#This Row],[takes]]&gt;0,Table1015192327313539[[#This Row],[wins]]/Table1015192327313539[[#This Row],[takes]],0)</f>
        <v>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12"/>
  <sheetViews>
    <sheetView workbookViewId="0">
      <selection activeCell="O7" sqref="O7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13.5703125" customWidth="1"/>
    <col min="9" max="10" width="11.42578125" bestFit="1" customWidth="1"/>
    <col min="11" max="11" width="11.42578125" customWidth="1"/>
    <col min="12" max="12" width="7.42578125" bestFit="1" customWidth="1"/>
    <col min="13" max="13" width="10.7109375" customWidth="1"/>
    <col min="15" max="15" width="25.140625" bestFit="1" customWidth="1"/>
    <col min="18" max="18" width="13" bestFit="1" customWidth="1"/>
    <col min="19" max="19" width="29.42578125" style="13" bestFit="1" customWidth="1"/>
    <col min="20" max="20" width="32.140625" style="8" bestFit="1" customWidth="1"/>
    <col min="21" max="21" width="9.28515625" bestFit="1" customWidth="1"/>
  </cols>
  <sheetData>
    <row r="1" spans="1:20" ht="15.75" thickBot="1" x14ac:dyDescent="0.3">
      <c r="A1" s="3" t="s">
        <v>79</v>
      </c>
      <c r="B1" s="4"/>
      <c r="C1" s="4"/>
      <c r="D1" s="4"/>
      <c r="E1" s="4"/>
      <c r="F1" s="4"/>
      <c r="G1" s="5"/>
      <c r="I1" s="3" t="s">
        <v>83</v>
      </c>
      <c r="J1" s="4"/>
      <c r="K1" s="4"/>
      <c r="L1" s="4"/>
      <c r="M1" s="5"/>
      <c r="O1" s="9" t="s">
        <v>125</v>
      </c>
      <c r="P1" s="10">
        <f>AVERAGE(Таблица1[crystals])</f>
        <v>6.05</v>
      </c>
      <c r="R1" t="s">
        <v>127</v>
      </c>
      <c r="S1" s="13" t="s">
        <v>128</v>
      </c>
      <c r="T1" s="8" t="s">
        <v>129</v>
      </c>
    </row>
    <row r="2" spans="1:20" ht="15.75" thickBot="1" x14ac:dyDescent="0.3">
      <c r="A2" t="s">
        <v>60</v>
      </c>
      <c r="B2" t="s">
        <v>61</v>
      </c>
      <c r="C2" t="s">
        <v>82</v>
      </c>
      <c r="D2" t="s">
        <v>62</v>
      </c>
      <c r="E2" t="s">
        <v>63</v>
      </c>
      <c r="F2" t="s">
        <v>78</v>
      </c>
      <c r="G2" t="s">
        <v>59</v>
      </c>
      <c r="I2" t="s">
        <v>60</v>
      </c>
      <c r="J2" t="s">
        <v>61</v>
      </c>
      <c r="K2" t="s">
        <v>59</v>
      </c>
      <c r="L2" t="s">
        <v>80</v>
      </c>
      <c r="M2" t="s">
        <v>81</v>
      </c>
      <c r="O2" s="11" t="s">
        <v>126</v>
      </c>
      <c r="P2" s="12">
        <f>AVERAGE(Таблица1[turns])</f>
        <v>34.6</v>
      </c>
      <c r="R2">
        <v>30000</v>
      </c>
      <c r="S2" s="13">
        <f>Table6[[#This Row],[Think Time]]*$P$2/1000/60</f>
        <v>17.3</v>
      </c>
      <c r="T2" s="13">
        <f>Table6[[#This Row],[Estimated Battle Time (mins)]]*COUNTA(Таблица2[hero-1])/60</f>
        <v>60.55</v>
      </c>
    </row>
    <row r="3" spans="1:20" x14ac:dyDescent="0.25">
      <c r="A3" t="s">
        <v>54</v>
      </c>
      <c r="B3" t="s">
        <v>57</v>
      </c>
      <c r="C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" t="s">
        <v>49</v>
      </c>
      <c r="E3" t="s">
        <v>34</v>
      </c>
      <c r="F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">
        <f>Таблица2[[#This Row],[team-1-win]]+Таблица2[[#This Row],[team-2-win]]</f>
        <v>1</v>
      </c>
      <c r="I3" t="s">
        <v>54</v>
      </c>
      <c r="J3" t="s">
        <v>57</v>
      </c>
      <c r="K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13</v>
      </c>
      <c r="M3" s="6">
        <f>IF(Table3[[#This Row],[battles]],Table3[[#This Row],[wins]]/Table3[[#This Row],[battles]],0)</f>
        <v>0.8666666666666667</v>
      </c>
      <c r="R3">
        <v>60000</v>
      </c>
      <c r="S3" s="13">
        <f>Table6[[#This Row],[Think Time]]*$P$2/1000/60</f>
        <v>34.6</v>
      </c>
      <c r="T3" s="13">
        <f>Table6[[#This Row],[Estimated Battle Time (mins)]]*COUNTA(Таблица2[hero-1])/60</f>
        <v>121.1</v>
      </c>
    </row>
    <row r="4" spans="1:20" x14ac:dyDescent="0.25">
      <c r="A4" t="s">
        <v>54</v>
      </c>
      <c r="B4" t="s">
        <v>57</v>
      </c>
      <c r="C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" t="s">
        <v>49</v>
      </c>
      <c r="E4" t="s">
        <v>44</v>
      </c>
      <c r="F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">
        <f>Таблица2[[#This Row],[team-1-win]]+Таблица2[[#This Row],[team-2-win]]</f>
        <v>1</v>
      </c>
      <c r="I4" t="s">
        <v>54</v>
      </c>
      <c r="J4" t="s">
        <v>49</v>
      </c>
      <c r="K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5</v>
      </c>
      <c r="L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3</v>
      </c>
      <c r="M4" s="6">
        <f>IF(Table3[[#This Row],[battles]],Table3[[#This Row],[wins]]/Table3[[#This Row],[battles]],0)</f>
        <v>0.6</v>
      </c>
      <c r="R4">
        <v>120000</v>
      </c>
      <c r="S4" s="13">
        <f>Table6[[#This Row],[Think Time]]*$P$2/1000/60</f>
        <v>69.2</v>
      </c>
      <c r="T4" s="13">
        <f>Table6[[#This Row],[Estimated Battle Time (mins)]]*COUNTA(Таблица2[hero-1])/60</f>
        <v>242.2</v>
      </c>
    </row>
    <row r="5" spans="1:20" x14ac:dyDescent="0.25">
      <c r="A5" t="s">
        <v>54</v>
      </c>
      <c r="B5" t="s">
        <v>57</v>
      </c>
      <c r="C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" t="s">
        <v>49</v>
      </c>
      <c r="E5" t="s">
        <v>46</v>
      </c>
      <c r="F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">
        <f>Таблица2[[#This Row],[team-1-win]]+Таблица2[[#This Row],[team-2-win]]</f>
        <v>1</v>
      </c>
      <c r="I5" t="s">
        <v>54</v>
      </c>
      <c r="J5" t="s">
        <v>34</v>
      </c>
      <c r="K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0</v>
      </c>
      <c r="L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5" s="6">
        <f>IF(Table3[[#This Row],[battles]],Table3[[#This Row],[wins]]/Table3[[#This Row],[battles]],0)</f>
        <v>0</v>
      </c>
      <c r="R5">
        <v>300000</v>
      </c>
      <c r="S5" s="13">
        <f>Table6[[#This Row],[Think Time]]*$P$2/1000/60</f>
        <v>173</v>
      </c>
      <c r="T5" s="13">
        <f>Table6[[#This Row],[Estimated Battle Time (mins)]]*COUNTA(Таблица2[hero-1])/60</f>
        <v>605.5</v>
      </c>
    </row>
    <row r="6" spans="1:20" x14ac:dyDescent="0.25">
      <c r="A6" t="s">
        <v>54</v>
      </c>
      <c r="B6" t="s">
        <v>57</v>
      </c>
      <c r="C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" t="s">
        <v>49</v>
      </c>
      <c r="E6" t="s">
        <v>64</v>
      </c>
      <c r="F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">
        <f>Таблица2[[#This Row],[team-1-win]]+Таблица2[[#This Row],[team-2-win]]</f>
        <v>1</v>
      </c>
      <c r="I6" t="s">
        <v>54</v>
      </c>
      <c r="J6" t="s">
        <v>44</v>
      </c>
      <c r="K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0</v>
      </c>
      <c r="L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6" s="6">
        <f>IF(Table3[[#This Row],[battles]],Table3[[#This Row],[wins]]/Table3[[#This Row],[battles]],0)</f>
        <v>0</v>
      </c>
      <c r="R6">
        <v>600000</v>
      </c>
      <c r="S6" s="13">
        <f>Table6[[#This Row],[Think Time]]*$P$2/1000/60</f>
        <v>346</v>
      </c>
      <c r="T6" s="13">
        <f>Table6[[#This Row],[Estimated Battle Time (mins)]]*COUNTA(Таблица2[hero-1])/60</f>
        <v>1211</v>
      </c>
    </row>
    <row r="7" spans="1:20" x14ac:dyDescent="0.25">
      <c r="A7" t="s">
        <v>54</v>
      </c>
      <c r="B7" t="s">
        <v>57</v>
      </c>
      <c r="C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" t="s">
        <v>49</v>
      </c>
      <c r="E7" t="s">
        <v>39</v>
      </c>
      <c r="F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">
        <f>Таблица2[[#This Row],[team-1-win]]+Таблица2[[#This Row],[team-2-win]]</f>
        <v>1</v>
      </c>
      <c r="I7" t="s">
        <v>54</v>
      </c>
      <c r="J7" t="s">
        <v>46</v>
      </c>
      <c r="K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0</v>
      </c>
      <c r="L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7" s="6">
        <f>IF(Table3[[#This Row],[battles]],Table3[[#This Row],[wins]]/Table3[[#This Row],[battles]],0)</f>
        <v>0</v>
      </c>
    </row>
    <row r="8" spans="1:20" x14ac:dyDescent="0.25">
      <c r="A8" t="s">
        <v>54</v>
      </c>
      <c r="B8" t="s">
        <v>57</v>
      </c>
      <c r="C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" t="s">
        <v>34</v>
      </c>
      <c r="E8" t="s">
        <v>44</v>
      </c>
      <c r="F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">
        <f>Таблица2[[#This Row],[team-1-win]]+Таблица2[[#This Row],[team-2-win]]</f>
        <v>1</v>
      </c>
      <c r="I8" t="s">
        <v>54</v>
      </c>
      <c r="J8" t="s">
        <v>64</v>
      </c>
      <c r="K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0</v>
      </c>
      <c r="L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8" s="6">
        <f>IF(Table3[[#This Row],[battles]],Table3[[#This Row],[wins]]/Table3[[#This Row],[battles]],0)</f>
        <v>0</v>
      </c>
    </row>
    <row r="9" spans="1:20" x14ac:dyDescent="0.25">
      <c r="A9" t="s">
        <v>54</v>
      </c>
      <c r="B9" t="s">
        <v>57</v>
      </c>
      <c r="C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" t="s">
        <v>34</v>
      </c>
      <c r="E9" t="s">
        <v>46</v>
      </c>
      <c r="F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">
        <f>Таблица2[[#This Row],[team-1-win]]+Таблица2[[#This Row],[team-2-win]]</f>
        <v>1</v>
      </c>
      <c r="I9" t="s">
        <v>54</v>
      </c>
      <c r="J9" t="s">
        <v>39</v>
      </c>
      <c r="K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0</v>
      </c>
      <c r="L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9" s="6">
        <f>IF(Table3[[#This Row],[battles]],Table3[[#This Row],[wins]]/Table3[[#This Row],[battles]],0)</f>
        <v>0</v>
      </c>
    </row>
    <row r="10" spans="1:20" x14ac:dyDescent="0.25">
      <c r="A10" t="s">
        <v>54</v>
      </c>
      <c r="B10" t="s">
        <v>57</v>
      </c>
      <c r="C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" t="s">
        <v>34</v>
      </c>
      <c r="E10" t="s">
        <v>64</v>
      </c>
      <c r="F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">
        <f>Таблица2[[#This Row],[team-1-win]]+Таблица2[[#This Row],[team-2-win]]</f>
        <v>1</v>
      </c>
      <c r="I10" t="s">
        <v>57</v>
      </c>
      <c r="J10" t="s">
        <v>49</v>
      </c>
      <c r="K1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0</v>
      </c>
      <c r="L1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10" s="6">
        <f>IF(Table3[[#This Row],[battles]],Table3[[#This Row],[wins]]/Table3[[#This Row],[battles]],0)</f>
        <v>0</v>
      </c>
    </row>
    <row r="11" spans="1:20" x14ac:dyDescent="0.25">
      <c r="A11" t="s">
        <v>54</v>
      </c>
      <c r="B11" t="s">
        <v>57</v>
      </c>
      <c r="C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" t="s">
        <v>34</v>
      </c>
      <c r="E11" t="s">
        <v>39</v>
      </c>
      <c r="F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">
        <f>Таблица2[[#This Row],[team-1-win]]+Таблица2[[#This Row],[team-2-win]]</f>
        <v>1</v>
      </c>
      <c r="I11" t="s">
        <v>57</v>
      </c>
      <c r="J11" t="s">
        <v>34</v>
      </c>
      <c r="K11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</v>
      </c>
      <c r="L11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</v>
      </c>
      <c r="M11" s="6">
        <f>IF(Table3[[#This Row],[battles]],Table3[[#This Row],[wins]]/Table3[[#This Row],[battles]],0)</f>
        <v>1</v>
      </c>
    </row>
    <row r="12" spans="1:20" x14ac:dyDescent="0.25">
      <c r="A12" t="s">
        <v>54</v>
      </c>
      <c r="B12" t="s">
        <v>57</v>
      </c>
      <c r="C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" t="s">
        <v>44</v>
      </c>
      <c r="E12" t="s">
        <v>46</v>
      </c>
      <c r="F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">
        <f>Таблица2[[#This Row],[team-1-win]]+Таблица2[[#This Row],[team-2-win]]</f>
        <v>1</v>
      </c>
      <c r="I12" t="s">
        <v>57</v>
      </c>
      <c r="J12" t="s">
        <v>44</v>
      </c>
      <c r="K12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</v>
      </c>
      <c r="L12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12" s="6">
        <f>IF(Table3[[#This Row],[battles]],Table3[[#This Row],[wins]]/Table3[[#This Row],[battles]],0)</f>
        <v>0</v>
      </c>
    </row>
    <row r="13" spans="1:20" x14ac:dyDescent="0.25">
      <c r="A13" t="s">
        <v>54</v>
      </c>
      <c r="B13" t="s">
        <v>57</v>
      </c>
      <c r="C1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" t="s">
        <v>44</v>
      </c>
      <c r="E13" t="s">
        <v>64</v>
      </c>
      <c r="F1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">
        <f>Таблица2[[#This Row],[team-1-win]]+Таблица2[[#This Row],[team-2-win]]</f>
        <v>1</v>
      </c>
      <c r="I13" t="s">
        <v>57</v>
      </c>
      <c r="J13" t="s">
        <v>46</v>
      </c>
      <c r="K1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</v>
      </c>
      <c r="L1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13" s="6">
        <f>IF(Table3[[#This Row],[battles]],Table3[[#This Row],[wins]]/Table3[[#This Row],[battles]],0)</f>
        <v>0</v>
      </c>
    </row>
    <row r="14" spans="1:20" x14ac:dyDescent="0.25">
      <c r="A14" t="s">
        <v>54</v>
      </c>
      <c r="B14" t="s">
        <v>57</v>
      </c>
      <c r="C1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" t="s">
        <v>44</v>
      </c>
      <c r="E14" t="s">
        <v>39</v>
      </c>
      <c r="F1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">
        <f>Таблица2[[#This Row],[team-1-win]]+Таблица2[[#This Row],[team-2-win]]</f>
        <v>1</v>
      </c>
      <c r="I14" t="s">
        <v>57</v>
      </c>
      <c r="J14" t="s">
        <v>64</v>
      </c>
      <c r="K1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</v>
      </c>
      <c r="L1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14" s="6">
        <f>IF(Table3[[#This Row],[battles]],Table3[[#This Row],[wins]]/Table3[[#This Row],[battles]],0)</f>
        <v>0</v>
      </c>
    </row>
    <row r="15" spans="1:20" x14ac:dyDescent="0.25">
      <c r="A15" t="s">
        <v>54</v>
      </c>
      <c r="B15" t="s">
        <v>57</v>
      </c>
      <c r="C1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" t="s">
        <v>46</v>
      </c>
      <c r="E15" t="s">
        <v>64</v>
      </c>
      <c r="F1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">
        <f>Таблица2[[#This Row],[team-1-win]]+Таблица2[[#This Row],[team-2-win]]</f>
        <v>1</v>
      </c>
      <c r="I15" t="s">
        <v>57</v>
      </c>
      <c r="J15" t="s">
        <v>39</v>
      </c>
      <c r="K1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</v>
      </c>
      <c r="L1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</v>
      </c>
      <c r="M15" s="6">
        <f>IF(Table3[[#This Row],[battles]],Table3[[#This Row],[wins]]/Table3[[#This Row],[battles]],0)</f>
        <v>1</v>
      </c>
    </row>
    <row r="16" spans="1:20" x14ac:dyDescent="0.25">
      <c r="A16" t="s">
        <v>54</v>
      </c>
      <c r="B16" t="s">
        <v>57</v>
      </c>
      <c r="C1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" t="s">
        <v>46</v>
      </c>
      <c r="E16" t="s">
        <v>39</v>
      </c>
      <c r="F1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">
        <f>Таблица2[[#This Row],[team-1-win]]+Таблица2[[#This Row],[team-2-win]]</f>
        <v>1</v>
      </c>
      <c r="I16" t="s">
        <v>49</v>
      </c>
      <c r="J16" t="s">
        <v>34</v>
      </c>
      <c r="K1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</v>
      </c>
      <c r="L1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16" s="6">
        <f>IF(Table3[[#This Row],[battles]],Table3[[#This Row],[wins]]/Table3[[#This Row],[battles]],0)</f>
        <v>0</v>
      </c>
    </row>
    <row r="17" spans="1:13" x14ac:dyDescent="0.25">
      <c r="A17" t="s">
        <v>54</v>
      </c>
      <c r="B17" t="s">
        <v>57</v>
      </c>
      <c r="C1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" t="s">
        <v>64</v>
      </c>
      <c r="E17" t="s">
        <v>39</v>
      </c>
      <c r="F1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">
        <f>Таблица2[[#This Row],[team-1-win]]+Таблица2[[#This Row],[team-2-win]]</f>
        <v>1</v>
      </c>
      <c r="I17" t="s">
        <v>49</v>
      </c>
      <c r="J17" t="s">
        <v>44</v>
      </c>
      <c r="K1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</v>
      </c>
      <c r="L1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17" s="6">
        <f>IF(Table3[[#This Row],[battles]],Table3[[#This Row],[wins]]/Table3[[#This Row],[battles]],0)</f>
        <v>0</v>
      </c>
    </row>
    <row r="18" spans="1:13" x14ac:dyDescent="0.25">
      <c r="A18" t="s">
        <v>54</v>
      </c>
      <c r="B18" t="s">
        <v>49</v>
      </c>
      <c r="C1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" t="s">
        <v>57</v>
      </c>
      <c r="E18" t="s">
        <v>34</v>
      </c>
      <c r="F1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">
        <f>Таблица2[[#This Row],[team-1-win]]+Таблица2[[#This Row],[team-2-win]]</f>
        <v>1</v>
      </c>
      <c r="I18" t="s">
        <v>49</v>
      </c>
      <c r="J18" t="s">
        <v>46</v>
      </c>
      <c r="K1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</v>
      </c>
      <c r="L1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18" s="6">
        <f>IF(Table3[[#This Row],[battles]],Table3[[#This Row],[wins]]/Table3[[#This Row],[battles]],0)</f>
        <v>0</v>
      </c>
    </row>
    <row r="19" spans="1:13" x14ac:dyDescent="0.25">
      <c r="A19" t="s">
        <v>54</v>
      </c>
      <c r="B19" t="s">
        <v>49</v>
      </c>
      <c r="C1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" t="s">
        <v>57</v>
      </c>
      <c r="E19" t="s">
        <v>44</v>
      </c>
      <c r="F1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">
        <f>Таблица2[[#This Row],[team-1-win]]+Таблица2[[#This Row],[team-2-win]]</f>
        <v>1</v>
      </c>
      <c r="I19" t="s">
        <v>49</v>
      </c>
      <c r="J19" t="s">
        <v>64</v>
      </c>
      <c r="K1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</v>
      </c>
      <c r="L1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19" s="6">
        <f>IF(Table3[[#This Row],[battles]],Table3[[#This Row],[wins]]/Table3[[#This Row],[battles]],0)</f>
        <v>0</v>
      </c>
    </row>
    <row r="20" spans="1:13" x14ac:dyDescent="0.25">
      <c r="A20" t="s">
        <v>54</v>
      </c>
      <c r="B20" t="s">
        <v>49</v>
      </c>
      <c r="C2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" t="s">
        <v>57</v>
      </c>
      <c r="E20" t="s">
        <v>46</v>
      </c>
      <c r="F2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">
        <f>Таблица2[[#This Row],[team-1-win]]+Таблица2[[#This Row],[team-2-win]]</f>
        <v>1</v>
      </c>
      <c r="I20" t="s">
        <v>49</v>
      </c>
      <c r="J20" t="s">
        <v>39</v>
      </c>
      <c r="K2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</v>
      </c>
      <c r="L2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20" s="6">
        <f>IF(Table3[[#This Row],[battles]],Table3[[#This Row],[wins]]/Table3[[#This Row],[battles]],0)</f>
        <v>0</v>
      </c>
    </row>
    <row r="21" spans="1:13" x14ac:dyDescent="0.25">
      <c r="A21" t="s">
        <v>54</v>
      </c>
      <c r="B21" t="s">
        <v>49</v>
      </c>
      <c r="C2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1" t="s">
        <v>57</v>
      </c>
      <c r="E21" t="s">
        <v>64</v>
      </c>
      <c r="F2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1">
        <f>Таблица2[[#This Row],[team-1-win]]+Таблица2[[#This Row],[team-2-win]]</f>
        <v>1</v>
      </c>
      <c r="I21" t="s">
        <v>34</v>
      </c>
      <c r="J21" t="s">
        <v>44</v>
      </c>
      <c r="K21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</v>
      </c>
      <c r="L21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</v>
      </c>
      <c r="M21" s="6">
        <f>IF(Table3[[#This Row],[battles]],Table3[[#This Row],[wins]]/Table3[[#This Row],[battles]],0)</f>
        <v>1</v>
      </c>
    </row>
    <row r="22" spans="1:13" x14ac:dyDescent="0.25">
      <c r="A22" t="s">
        <v>54</v>
      </c>
      <c r="B22" t="s">
        <v>49</v>
      </c>
      <c r="C2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2" t="s">
        <v>57</v>
      </c>
      <c r="E22" t="s">
        <v>39</v>
      </c>
      <c r="F2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2">
        <f>Таблица2[[#This Row],[team-1-win]]+Таблица2[[#This Row],[team-2-win]]</f>
        <v>1</v>
      </c>
      <c r="I22" t="s">
        <v>34</v>
      </c>
      <c r="J22" t="s">
        <v>46</v>
      </c>
      <c r="K22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</v>
      </c>
      <c r="L22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</v>
      </c>
      <c r="M22" s="6">
        <f>IF(Table3[[#This Row],[battles]],Table3[[#This Row],[wins]]/Table3[[#This Row],[battles]],0)</f>
        <v>1</v>
      </c>
    </row>
    <row r="23" spans="1:13" x14ac:dyDescent="0.25">
      <c r="A23" t="s">
        <v>54</v>
      </c>
      <c r="B23" t="s">
        <v>49</v>
      </c>
      <c r="C2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3" t="s">
        <v>34</v>
      </c>
      <c r="E23" t="s">
        <v>44</v>
      </c>
      <c r="F2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3">
        <f>Таблица2[[#This Row],[team-1-win]]+Таблица2[[#This Row],[team-2-win]]</f>
        <v>0</v>
      </c>
      <c r="I23" t="s">
        <v>34</v>
      </c>
      <c r="J23" t="s">
        <v>64</v>
      </c>
      <c r="K2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</v>
      </c>
      <c r="L2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23" s="6">
        <f>IF(Table3[[#This Row],[battles]],Table3[[#This Row],[wins]]/Table3[[#This Row],[battles]],0)</f>
        <v>0</v>
      </c>
    </row>
    <row r="24" spans="1:13" x14ac:dyDescent="0.25">
      <c r="A24" t="s">
        <v>54</v>
      </c>
      <c r="B24" t="s">
        <v>49</v>
      </c>
      <c r="C2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4" t="s">
        <v>34</v>
      </c>
      <c r="E24" t="s">
        <v>46</v>
      </c>
      <c r="F2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4">
        <f>Таблица2[[#This Row],[team-1-win]]+Таблица2[[#This Row],[team-2-win]]</f>
        <v>0</v>
      </c>
      <c r="I24" t="s">
        <v>34</v>
      </c>
      <c r="J24" t="s">
        <v>39</v>
      </c>
      <c r="K2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</v>
      </c>
      <c r="L2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24" s="6">
        <f>IF(Table3[[#This Row],[battles]],Table3[[#This Row],[wins]]/Table3[[#This Row],[battles]],0)</f>
        <v>0</v>
      </c>
    </row>
    <row r="25" spans="1:13" x14ac:dyDescent="0.25">
      <c r="A25" t="s">
        <v>54</v>
      </c>
      <c r="B25" t="s">
        <v>49</v>
      </c>
      <c r="C2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5" t="s">
        <v>34</v>
      </c>
      <c r="E25" t="s">
        <v>64</v>
      </c>
      <c r="F2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5">
        <f>Таблица2[[#This Row],[team-1-win]]+Таблица2[[#This Row],[team-2-win]]</f>
        <v>0</v>
      </c>
      <c r="I25" t="s">
        <v>44</v>
      </c>
      <c r="J25" t="s">
        <v>46</v>
      </c>
      <c r="K2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</v>
      </c>
      <c r="L2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25" s="6">
        <f>IF(Table3[[#This Row],[battles]],Table3[[#This Row],[wins]]/Table3[[#This Row],[battles]],0)</f>
        <v>0</v>
      </c>
    </row>
    <row r="26" spans="1:13" x14ac:dyDescent="0.25">
      <c r="A26" t="s">
        <v>54</v>
      </c>
      <c r="B26" t="s">
        <v>49</v>
      </c>
      <c r="C2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6" t="s">
        <v>34</v>
      </c>
      <c r="E26" t="s">
        <v>39</v>
      </c>
      <c r="F2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6">
        <f>Таблица2[[#This Row],[team-1-win]]+Таблица2[[#This Row],[team-2-win]]</f>
        <v>0</v>
      </c>
      <c r="I26" t="s">
        <v>44</v>
      </c>
      <c r="J26" t="s">
        <v>64</v>
      </c>
      <c r="K2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</v>
      </c>
      <c r="L2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26" s="6">
        <f>IF(Table3[[#This Row],[battles]],Table3[[#This Row],[wins]]/Table3[[#This Row],[battles]],0)</f>
        <v>0</v>
      </c>
    </row>
    <row r="27" spans="1:13" x14ac:dyDescent="0.25">
      <c r="A27" t="s">
        <v>54</v>
      </c>
      <c r="B27" t="s">
        <v>49</v>
      </c>
      <c r="C2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7" t="s">
        <v>44</v>
      </c>
      <c r="E27" t="s">
        <v>46</v>
      </c>
      <c r="F2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7">
        <f>Таблица2[[#This Row],[team-1-win]]+Таблица2[[#This Row],[team-2-win]]</f>
        <v>0</v>
      </c>
      <c r="I27" t="s">
        <v>44</v>
      </c>
      <c r="J27" t="s">
        <v>39</v>
      </c>
      <c r="K2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</v>
      </c>
      <c r="L2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27" s="6">
        <f>IF(Table3[[#This Row],[battles]],Table3[[#This Row],[wins]]/Table3[[#This Row],[battles]],0)</f>
        <v>0</v>
      </c>
    </row>
    <row r="28" spans="1:13" x14ac:dyDescent="0.25">
      <c r="A28" t="s">
        <v>54</v>
      </c>
      <c r="B28" t="s">
        <v>49</v>
      </c>
      <c r="C2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8" t="s">
        <v>44</v>
      </c>
      <c r="E28" t="s">
        <v>64</v>
      </c>
      <c r="F2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8">
        <f>Таблица2[[#This Row],[team-1-win]]+Таблица2[[#This Row],[team-2-win]]</f>
        <v>0</v>
      </c>
      <c r="I28" t="s">
        <v>46</v>
      </c>
      <c r="J28" t="s">
        <v>64</v>
      </c>
      <c r="K2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</v>
      </c>
      <c r="L2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28" s="6">
        <f>IF(Table3[[#This Row],[battles]],Table3[[#This Row],[wins]]/Table3[[#This Row],[battles]],0)</f>
        <v>0</v>
      </c>
    </row>
    <row r="29" spans="1:13" x14ac:dyDescent="0.25">
      <c r="A29" t="s">
        <v>54</v>
      </c>
      <c r="B29" t="s">
        <v>49</v>
      </c>
      <c r="C2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9" t="s">
        <v>44</v>
      </c>
      <c r="E29" t="s">
        <v>39</v>
      </c>
      <c r="F2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9">
        <f>Таблица2[[#This Row],[team-1-win]]+Таблица2[[#This Row],[team-2-win]]</f>
        <v>0</v>
      </c>
      <c r="I29" t="s">
        <v>46</v>
      </c>
      <c r="J29" t="s">
        <v>39</v>
      </c>
      <c r="K2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</v>
      </c>
      <c r="L2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29" s="6">
        <f>IF(Table3[[#This Row],[battles]],Table3[[#This Row],[wins]]/Table3[[#This Row],[battles]],0)</f>
        <v>0</v>
      </c>
    </row>
    <row r="30" spans="1:13" x14ac:dyDescent="0.25">
      <c r="A30" t="s">
        <v>54</v>
      </c>
      <c r="B30" t="s">
        <v>49</v>
      </c>
      <c r="C3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0" t="s">
        <v>46</v>
      </c>
      <c r="E30" t="s">
        <v>64</v>
      </c>
      <c r="F3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0">
        <f>Таблица2[[#This Row],[team-1-win]]+Таблица2[[#This Row],[team-2-win]]</f>
        <v>0</v>
      </c>
      <c r="I30" t="s">
        <v>64</v>
      </c>
      <c r="J30" t="s">
        <v>39</v>
      </c>
      <c r="K3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</v>
      </c>
      <c r="L3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30" s="6">
        <f>IF(Table3[[#This Row],[battles]],Table3[[#This Row],[wins]]/Table3[[#This Row],[battles]],0)</f>
        <v>0</v>
      </c>
    </row>
    <row r="31" spans="1:13" x14ac:dyDescent="0.25">
      <c r="A31" t="s">
        <v>54</v>
      </c>
      <c r="B31" t="s">
        <v>49</v>
      </c>
      <c r="C3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1" t="s">
        <v>46</v>
      </c>
      <c r="E31" t="s">
        <v>39</v>
      </c>
      <c r="F3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1">
        <f>Таблица2[[#This Row],[team-1-win]]+Таблица2[[#This Row],[team-2-win]]</f>
        <v>0</v>
      </c>
    </row>
    <row r="32" spans="1:13" x14ac:dyDescent="0.25">
      <c r="A32" t="s">
        <v>54</v>
      </c>
      <c r="B32" t="s">
        <v>49</v>
      </c>
      <c r="C3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2" t="s">
        <v>64</v>
      </c>
      <c r="E32" t="s">
        <v>39</v>
      </c>
      <c r="F3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2">
        <f>Таблица2[[#This Row],[team-1-win]]+Таблица2[[#This Row],[team-2-win]]</f>
        <v>0</v>
      </c>
    </row>
    <row r="33" spans="1:7" x14ac:dyDescent="0.25">
      <c r="A33" t="s">
        <v>54</v>
      </c>
      <c r="B33" t="s">
        <v>34</v>
      </c>
      <c r="C3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3" t="s">
        <v>57</v>
      </c>
      <c r="E33" t="s">
        <v>49</v>
      </c>
      <c r="F3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3">
        <f>Таблица2[[#This Row],[team-1-win]]+Таблица2[[#This Row],[team-2-win]]</f>
        <v>0</v>
      </c>
    </row>
    <row r="34" spans="1:7" x14ac:dyDescent="0.25">
      <c r="A34" t="s">
        <v>54</v>
      </c>
      <c r="B34" t="s">
        <v>34</v>
      </c>
      <c r="C3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4" t="s">
        <v>57</v>
      </c>
      <c r="E34" t="s">
        <v>44</v>
      </c>
      <c r="F3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4">
        <f>Таблица2[[#This Row],[team-1-win]]+Таблица2[[#This Row],[team-2-win]]</f>
        <v>0</v>
      </c>
    </row>
    <row r="35" spans="1:7" x14ac:dyDescent="0.25">
      <c r="A35" t="s">
        <v>54</v>
      </c>
      <c r="B35" t="s">
        <v>34</v>
      </c>
      <c r="C3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5" t="s">
        <v>57</v>
      </c>
      <c r="E35" t="s">
        <v>46</v>
      </c>
      <c r="F3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5">
        <f>Таблица2[[#This Row],[team-1-win]]+Таблица2[[#This Row],[team-2-win]]</f>
        <v>0</v>
      </c>
    </row>
    <row r="36" spans="1:7" x14ac:dyDescent="0.25">
      <c r="A36" t="s">
        <v>54</v>
      </c>
      <c r="B36" t="s">
        <v>34</v>
      </c>
      <c r="C3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6" t="s">
        <v>57</v>
      </c>
      <c r="E36" t="s">
        <v>64</v>
      </c>
      <c r="F3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6">
        <f>Таблица2[[#This Row],[team-1-win]]+Таблица2[[#This Row],[team-2-win]]</f>
        <v>0</v>
      </c>
    </row>
    <row r="37" spans="1:7" x14ac:dyDescent="0.25">
      <c r="A37" t="s">
        <v>54</v>
      </c>
      <c r="B37" t="s">
        <v>34</v>
      </c>
      <c r="C3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7" t="s">
        <v>57</v>
      </c>
      <c r="E37" t="s">
        <v>39</v>
      </c>
      <c r="F3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7">
        <f>Таблица2[[#This Row],[team-1-win]]+Таблица2[[#This Row],[team-2-win]]</f>
        <v>0</v>
      </c>
    </row>
    <row r="38" spans="1:7" x14ac:dyDescent="0.25">
      <c r="A38" t="s">
        <v>54</v>
      </c>
      <c r="B38" t="s">
        <v>34</v>
      </c>
      <c r="C3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8" t="s">
        <v>49</v>
      </c>
      <c r="E38" t="s">
        <v>44</v>
      </c>
      <c r="F3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8">
        <f>Таблица2[[#This Row],[team-1-win]]+Таблица2[[#This Row],[team-2-win]]</f>
        <v>0</v>
      </c>
    </row>
    <row r="39" spans="1:7" x14ac:dyDescent="0.25">
      <c r="A39" t="s">
        <v>54</v>
      </c>
      <c r="B39" t="s">
        <v>34</v>
      </c>
      <c r="C3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9" t="s">
        <v>49</v>
      </c>
      <c r="E39" t="s">
        <v>46</v>
      </c>
      <c r="F3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9">
        <f>Таблица2[[#This Row],[team-1-win]]+Таблица2[[#This Row],[team-2-win]]</f>
        <v>0</v>
      </c>
    </row>
    <row r="40" spans="1:7" x14ac:dyDescent="0.25">
      <c r="A40" t="s">
        <v>54</v>
      </c>
      <c r="B40" t="s">
        <v>34</v>
      </c>
      <c r="C4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0" t="s">
        <v>49</v>
      </c>
      <c r="E40" t="s">
        <v>64</v>
      </c>
      <c r="F4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0">
        <f>Таблица2[[#This Row],[team-1-win]]+Таблица2[[#This Row],[team-2-win]]</f>
        <v>0</v>
      </c>
    </row>
    <row r="41" spans="1:7" x14ac:dyDescent="0.25">
      <c r="A41" t="s">
        <v>54</v>
      </c>
      <c r="B41" t="s">
        <v>34</v>
      </c>
      <c r="C4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1" t="s">
        <v>49</v>
      </c>
      <c r="E41" t="s">
        <v>39</v>
      </c>
      <c r="F4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1">
        <f>Таблица2[[#This Row],[team-1-win]]+Таблица2[[#This Row],[team-2-win]]</f>
        <v>0</v>
      </c>
    </row>
    <row r="42" spans="1:7" x14ac:dyDescent="0.25">
      <c r="A42" t="s">
        <v>54</v>
      </c>
      <c r="B42" t="s">
        <v>34</v>
      </c>
      <c r="C4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2" t="s">
        <v>44</v>
      </c>
      <c r="E42" t="s">
        <v>46</v>
      </c>
      <c r="F4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2">
        <f>Таблица2[[#This Row],[team-1-win]]+Таблица2[[#This Row],[team-2-win]]</f>
        <v>0</v>
      </c>
    </row>
    <row r="43" spans="1:7" x14ac:dyDescent="0.25">
      <c r="A43" t="s">
        <v>54</v>
      </c>
      <c r="B43" t="s">
        <v>34</v>
      </c>
      <c r="C4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3" t="s">
        <v>44</v>
      </c>
      <c r="E43" t="s">
        <v>64</v>
      </c>
      <c r="F4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3">
        <f>Таблица2[[#This Row],[team-1-win]]+Таблица2[[#This Row],[team-2-win]]</f>
        <v>0</v>
      </c>
    </row>
    <row r="44" spans="1:7" x14ac:dyDescent="0.25">
      <c r="A44" t="s">
        <v>54</v>
      </c>
      <c r="B44" t="s">
        <v>34</v>
      </c>
      <c r="C4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4" t="s">
        <v>44</v>
      </c>
      <c r="E44" t="s">
        <v>39</v>
      </c>
      <c r="F4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4">
        <f>Таблица2[[#This Row],[team-1-win]]+Таблица2[[#This Row],[team-2-win]]</f>
        <v>0</v>
      </c>
    </row>
    <row r="45" spans="1:7" x14ac:dyDescent="0.25">
      <c r="A45" t="s">
        <v>54</v>
      </c>
      <c r="B45" t="s">
        <v>34</v>
      </c>
      <c r="C4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5" t="s">
        <v>46</v>
      </c>
      <c r="E45" t="s">
        <v>64</v>
      </c>
      <c r="F4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5">
        <f>Таблица2[[#This Row],[team-1-win]]+Таблица2[[#This Row],[team-2-win]]</f>
        <v>0</v>
      </c>
    </row>
    <row r="46" spans="1:7" x14ac:dyDescent="0.25">
      <c r="A46" t="s">
        <v>54</v>
      </c>
      <c r="B46" t="s">
        <v>34</v>
      </c>
      <c r="C4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6" t="s">
        <v>46</v>
      </c>
      <c r="E46" t="s">
        <v>39</v>
      </c>
      <c r="F4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6">
        <f>Таблица2[[#This Row],[team-1-win]]+Таблица2[[#This Row],[team-2-win]]</f>
        <v>0</v>
      </c>
    </row>
    <row r="47" spans="1:7" x14ac:dyDescent="0.25">
      <c r="A47" t="s">
        <v>54</v>
      </c>
      <c r="B47" t="s">
        <v>34</v>
      </c>
      <c r="C4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7" t="s">
        <v>64</v>
      </c>
      <c r="E47" t="s">
        <v>39</v>
      </c>
      <c r="F4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7">
        <f>Таблица2[[#This Row],[team-1-win]]+Таблица2[[#This Row],[team-2-win]]</f>
        <v>0</v>
      </c>
    </row>
    <row r="48" spans="1:7" x14ac:dyDescent="0.25">
      <c r="A48" t="s">
        <v>54</v>
      </c>
      <c r="B48" t="s">
        <v>44</v>
      </c>
      <c r="C4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8" t="s">
        <v>57</v>
      </c>
      <c r="E48" t="s">
        <v>49</v>
      </c>
      <c r="F4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8">
        <f>Таблица2[[#This Row],[team-1-win]]+Таблица2[[#This Row],[team-2-win]]</f>
        <v>0</v>
      </c>
    </row>
    <row r="49" spans="1:7" x14ac:dyDescent="0.25">
      <c r="A49" t="s">
        <v>54</v>
      </c>
      <c r="B49" t="s">
        <v>44</v>
      </c>
      <c r="C4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9" t="s">
        <v>57</v>
      </c>
      <c r="E49" t="s">
        <v>34</v>
      </c>
      <c r="F4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9">
        <f>Таблица2[[#This Row],[team-1-win]]+Таблица2[[#This Row],[team-2-win]]</f>
        <v>0</v>
      </c>
    </row>
    <row r="50" spans="1:7" x14ac:dyDescent="0.25">
      <c r="A50" t="s">
        <v>54</v>
      </c>
      <c r="B50" t="s">
        <v>44</v>
      </c>
      <c r="C5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0" t="s">
        <v>57</v>
      </c>
      <c r="E50" t="s">
        <v>46</v>
      </c>
      <c r="F5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0">
        <f>Таблица2[[#This Row],[team-1-win]]+Таблица2[[#This Row],[team-2-win]]</f>
        <v>0</v>
      </c>
    </row>
    <row r="51" spans="1:7" x14ac:dyDescent="0.25">
      <c r="A51" t="s">
        <v>54</v>
      </c>
      <c r="B51" t="s">
        <v>44</v>
      </c>
      <c r="C5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1" t="s">
        <v>57</v>
      </c>
      <c r="E51" t="s">
        <v>64</v>
      </c>
      <c r="F5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1">
        <f>Таблица2[[#This Row],[team-1-win]]+Таблица2[[#This Row],[team-2-win]]</f>
        <v>0</v>
      </c>
    </row>
    <row r="52" spans="1:7" x14ac:dyDescent="0.25">
      <c r="A52" t="s">
        <v>54</v>
      </c>
      <c r="B52" t="s">
        <v>44</v>
      </c>
      <c r="C5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2" t="s">
        <v>57</v>
      </c>
      <c r="E52" t="s">
        <v>39</v>
      </c>
      <c r="F5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2">
        <f>Таблица2[[#This Row],[team-1-win]]+Таблица2[[#This Row],[team-2-win]]</f>
        <v>0</v>
      </c>
    </row>
    <row r="53" spans="1:7" x14ac:dyDescent="0.25">
      <c r="A53" t="s">
        <v>54</v>
      </c>
      <c r="B53" t="s">
        <v>44</v>
      </c>
      <c r="C5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3" t="s">
        <v>49</v>
      </c>
      <c r="E53" t="s">
        <v>34</v>
      </c>
      <c r="F5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3">
        <f>Таблица2[[#This Row],[team-1-win]]+Таблица2[[#This Row],[team-2-win]]</f>
        <v>0</v>
      </c>
    </row>
    <row r="54" spans="1:7" x14ac:dyDescent="0.25">
      <c r="A54" t="s">
        <v>54</v>
      </c>
      <c r="B54" t="s">
        <v>44</v>
      </c>
      <c r="C5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4" t="s">
        <v>49</v>
      </c>
      <c r="E54" t="s">
        <v>46</v>
      </c>
      <c r="F5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4">
        <f>Таблица2[[#This Row],[team-1-win]]+Таблица2[[#This Row],[team-2-win]]</f>
        <v>0</v>
      </c>
    </row>
    <row r="55" spans="1:7" x14ac:dyDescent="0.25">
      <c r="A55" t="s">
        <v>54</v>
      </c>
      <c r="B55" t="s">
        <v>44</v>
      </c>
      <c r="C5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5" t="s">
        <v>49</v>
      </c>
      <c r="E55" t="s">
        <v>64</v>
      </c>
      <c r="F5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5">
        <f>Таблица2[[#This Row],[team-1-win]]+Таблица2[[#This Row],[team-2-win]]</f>
        <v>0</v>
      </c>
    </row>
    <row r="56" spans="1:7" x14ac:dyDescent="0.25">
      <c r="A56" t="s">
        <v>54</v>
      </c>
      <c r="B56" t="s">
        <v>44</v>
      </c>
      <c r="C5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6" t="s">
        <v>49</v>
      </c>
      <c r="E56" t="s">
        <v>39</v>
      </c>
      <c r="F5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6">
        <f>Таблица2[[#This Row],[team-1-win]]+Таблица2[[#This Row],[team-2-win]]</f>
        <v>0</v>
      </c>
    </row>
    <row r="57" spans="1:7" x14ac:dyDescent="0.25">
      <c r="A57" t="s">
        <v>54</v>
      </c>
      <c r="B57" t="s">
        <v>44</v>
      </c>
      <c r="C5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7" t="s">
        <v>34</v>
      </c>
      <c r="E57" t="s">
        <v>46</v>
      </c>
      <c r="F5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7">
        <f>Таблица2[[#This Row],[team-1-win]]+Таблица2[[#This Row],[team-2-win]]</f>
        <v>0</v>
      </c>
    </row>
    <row r="58" spans="1:7" x14ac:dyDescent="0.25">
      <c r="A58" t="s">
        <v>54</v>
      </c>
      <c r="B58" t="s">
        <v>44</v>
      </c>
      <c r="C5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8" t="s">
        <v>34</v>
      </c>
      <c r="E58" t="s">
        <v>64</v>
      </c>
      <c r="F5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8">
        <f>Таблица2[[#This Row],[team-1-win]]+Таблица2[[#This Row],[team-2-win]]</f>
        <v>0</v>
      </c>
    </row>
    <row r="59" spans="1:7" x14ac:dyDescent="0.25">
      <c r="A59" t="s">
        <v>54</v>
      </c>
      <c r="B59" t="s">
        <v>44</v>
      </c>
      <c r="C5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9" t="s">
        <v>34</v>
      </c>
      <c r="E59" t="s">
        <v>39</v>
      </c>
      <c r="F5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9">
        <f>Таблица2[[#This Row],[team-1-win]]+Таблица2[[#This Row],[team-2-win]]</f>
        <v>0</v>
      </c>
    </row>
    <row r="60" spans="1:7" x14ac:dyDescent="0.25">
      <c r="A60" t="s">
        <v>54</v>
      </c>
      <c r="B60" t="s">
        <v>44</v>
      </c>
      <c r="C6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0" t="s">
        <v>46</v>
      </c>
      <c r="E60" t="s">
        <v>64</v>
      </c>
      <c r="F6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0">
        <f>Таблица2[[#This Row],[team-1-win]]+Таблица2[[#This Row],[team-2-win]]</f>
        <v>0</v>
      </c>
    </row>
    <row r="61" spans="1:7" x14ac:dyDescent="0.25">
      <c r="A61" t="s">
        <v>54</v>
      </c>
      <c r="B61" t="s">
        <v>44</v>
      </c>
      <c r="C6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1" t="s">
        <v>46</v>
      </c>
      <c r="E61" t="s">
        <v>39</v>
      </c>
      <c r="F6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1">
        <f>Таблица2[[#This Row],[team-1-win]]+Таблица2[[#This Row],[team-2-win]]</f>
        <v>0</v>
      </c>
    </row>
    <row r="62" spans="1:7" x14ac:dyDescent="0.25">
      <c r="A62" t="s">
        <v>54</v>
      </c>
      <c r="B62" t="s">
        <v>44</v>
      </c>
      <c r="C6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2" t="s">
        <v>64</v>
      </c>
      <c r="E62" t="s">
        <v>39</v>
      </c>
      <c r="F6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2">
        <f>Таблица2[[#This Row],[team-1-win]]+Таблица2[[#This Row],[team-2-win]]</f>
        <v>0</v>
      </c>
    </row>
    <row r="63" spans="1:7" x14ac:dyDescent="0.25">
      <c r="A63" t="s">
        <v>54</v>
      </c>
      <c r="B63" t="s">
        <v>46</v>
      </c>
      <c r="C6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3" t="s">
        <v>57</v>
      </c>
      <c r="E63" t="s">
        <v>49</v>
      </c>
      <c r="F6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3">
        <f>Таблица2[[#This Row],[team-1-win]]+Таблица2[[#This Row],[team-2-win]]</f>
        <v>0</v>
      </c>
    </row>
    <row r="64" spans="1:7" x14ac:dyDescent="0.25">
      <c r="A64" t="s">
        <v>54</v>
      </c>
      <c r="B64" t="s">
        <v>46</v>
      </c>
      <c r="C6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4" t="s">
        <v>57</v>
      </c>
      <c r="E64" t="s">
        <v>34</v>
      </c>
      <c r="F6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4">
        <f>Таблица2[[#This Row],[team-1-win]]+Таблица2[[#This Row],[team-2-win]]</f>
        <v>0</v>
      </c>
    </row>
    <row r="65" spans="1:7" x14ac:dyDescent="0.25">
      <c r="A65" t="s">
        <v>54</v>
      </c>
      <c r="B65" t="s">
        <v>46</v>
      </c>
      <c r="C6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5" t="s">
        <v>57</v>
      </c>
      <c r="E65" t="s">
        <v>44</v>
      </c>
      <c r="F6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5">
        <f>Таблица2[[#This Row],[team-1-win]]+Таблица2[[#This Row],[team-2-win]]</f>
        <v>0</v>
      </c>
    </row>
    <row r="66" spans="1:7" x14ac:dyDescent="0.25">
      <c r="A66" t="s">
        <v>54</v>
      </c>
      <c r="B66" t="s">
        <v>46</v>
      </c>
      <c r="C6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6" t="s">
        <v>57</v>
      </c>
      <c r="E66" t="s">
        <v>64</v>
      </c>
      <c r="F6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6">
        <f>Таблица2[[#This Row],[team-1-win]]+Таблица2[[#This Row],[team-2-win]]</f>
        <v>0</v>
      </c>
    </row>
    <row r="67" spans="1:7" x14ac:dyDescent="0.25">
      <c r="A67" t="s">
        <v>54</v>
      </c>
      <c r="B67" t="s">
        <v>46</v>
      </c>
      <c r="C6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7" t="s">
        <v>57</v>
      </c>
      <c r="E67" t="s">
        <v>39</v>
      </c>
      <c r="F6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7">
        <f>Таблица2[[#This Row],[team-1-win]]+Таблица2[[#This Row],[team-2-win]]</f>
        <v>0</v>
      </c>
    </row>
    <row r="68" spans="1:7" x14ac:dyDescent="0.25">
      <c r="A68" t="s">
        <v>54</v>
      </c>
      <c r="B68" t="s">
        <v>46</v>
      </c>
      <c r="C6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8" t="s">
        <v>49</v>
      </c>
      <c r="E68" t="s">
        <v>34</v>
      </c>
      <c r="F6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8">
        <f>Таблица2[[#This Row],[team-1-win]]+Таблица2[[#This Row],[team-2-win]]</f>
        <v>0</v>
      </c>
    </row>
    <row r="69" spans="1:7" x14ac:dyDescent="0.25">
      <c r="A69" t="s">
        <v>54</v>
      </c>
      <c r="B69" t="s">
        <v>46</v>
      </c>
      <c r="C6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9" t="s">
        <v>49</v>
      </c>
      <c r="E69" t="s">
        <v>44</v>
      </c>
      <c r="F6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9">
        <f>Таблица2[[#This Row],[team-1-win]]+Таблица2[[#This Row],[team-2-win]]</f>
        <v>0</v>
      </c>
    </row>
    <row r="70" spans="1:7" x14ac:dyDescent="0.25">
      <c r="A70" t="s">
        <v>54</v>
      </c>
      <c r="B70" t="s">
        <v>46</v>
      </c>
      <c r="C7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0" t="s">
        <v>49</v>
      </c>
      <c r="E70" t="s">
        <v>64</v>
      </c>
      <c r="F7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0">
        <f>Таблица2[[#This Row],[team-1-win]]+Таблица2[[#This Row],[team-2-win]]</f>
        <v>0</v>
      </c>
    </row>
    <row r="71" spans="1:7" x14ac:dyDescent="0.25">
      <c r="A71" t="s">
        <v>54</v>
      </c>
      <c r="B71" t="s">
        <v>46</v>
      </c>
      <c r="C7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1" t="s">
        <v>49</v>
      </c>
      <c r="E71" t="s">
        <v>39</v>
      </c>
      <c r="F7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1">
        <f>Таблица2[[#This Row],[team-1-win]]+Таблица2[[#This Row],[team-2-win]]</f>
        <v>0</v>
      </c>
    </row>
    <row r="72" spans="1:7" x14ac:dyDescent="0.25">
      <c r="A72" t="s">
        <v>54</v>
      </c>
      <c r="B72" t="s">
        <v>46</v>
      </c>
      <c r="C7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2" t="s">
        <v>34</v>
      </c>
      <c r="E72" t="s">
        <v>44</v>
      </c>
      <c r="F7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2">
        <f>Таблица2[[#This Row],[team-1-win]]+Таблица2[[#This Row],[team-2-win]]</f>
        <v>0</v>
      </c>
    </row>
    <row r="73" spans="1:7" x14ac:dyDescent="0.25">
      <c r="A73" t="s">
        <v>54</v>
      </c>
      <c r="B73" t="s">
        <v>46</v>
      </c>
      <c r="C7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3" t="s">
        <v>34</v>
      </c>
      <c r="E73" t="s">
        <v>64</v>
      </c>
      <c r="F7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3">
        <f>Таблица2[[#This Row],[team-1-win]]+Таблица2[[#This Row],[team-2-win]]</f>
        <v>0</v>
      </c>
    </row>
    <row r="74" spans="1:7" x14ac:dyDescent="0.25">
      <c r="A74" t="s">
        <v>54</v>
      </c>
      <c r="B74" t="s">
        <v>46</v>
      </c>
      <c r="C7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4" t="s">
        <v>34</v>
      </c>
      <c r="E74" t="s">
        <v>39</v>
      </c>
      <c r="F7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4">
        <f>Таблица2[[#This Row],[team-1-win]]+Таблица2[[#This Row],[team-2-win]]</f>
        <v>0</v>
      </c>
    </row>
    <row r="75" spans="1:7" x14ac:dyDescent="0.25">
      <c r="A75" t="s">
        <v>54</v>
      </c>
      <c r="B75" t="s">
        <v>46</v>
      </c>
      <c r="C7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5" t="s">
        <v>44</v>
      </c>
      <c r="E75" t="s">
        <v>64</v>
      </c>
      <c r="F7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5">
        <f>Таблица2[[#This Row],[team-1-win]]+Таблица2[[#This Row],[team-2-win]]</f>
        <v>0</v>
      </c>
    </row>
    <row r="76" spans="1:7" x14ac:dyDescent="0.25">
      <c r="A76" t="s">
        <v>54</v>
      </c>
      <c r="B76" t="s">
        <v>46</v>
      </c>
      <c r="C7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6" t="s">
        <v>44</v>
      </c>
      <c r="E76" t="s">
        <v>39</v>
      </c>
      <c r="F7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6">
        <f>Таблица2[[#This Row],[team-1-win]]+Таблица2[[#This Row],[team-2-win]]</f>
        <v>0</v>
      </c>
    </row>
    <row r="77" spans="1:7" x14ac:dyDescent="0.25">
      <c r="A77" t="s">
        <v>54</v>
      </c>
      <c r="B77" t="s">
        <v>46</v>
      </c>
      <c r="C7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7" t="s">
        <v>64</v>
      </c>
      <c r="E77" t="s">
        <v>39</v>
      </c>
      <c r="F7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7">
        <f>Таблица2[[#This Row],[team-1-win]]+Таблица2[[#This Row],[team-2-win]]</f>
        <v>0</v>
      </c>
    </row>
    <row r="78" spans="1:7" x14ac:dyDescent="0.25">
      <c r="A78" t="s">
        <v>54</v>
      </c>
      <c r="B78" t="s">
        <v>64</v>
      </c>
      <c r="C7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8" t="s">
        <v>57</v>
      </c>
      <c r="E78" t="s">
        <v>49</v>
      </c>
      <c r="F7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8">
        <f>Таблица2[[#This Row],[team-1-win]]+Таблица2[[#This Row],[team-2-win]]</f>
        <v>0</v>
      </c>
    </row>
    <row r="79" spans="1:7" x14ac:dyDescent="0.25">
      <c r="A79" t="s">
        <v>54</v>
      </c>
      <c r="B79" t="s">
        <v>64</v>
      </c>
      <c r="C7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9" t="s">
        <v>57</v>
      </c>
      <c r="E79" t="s">
        <v>34</v>
      </c>
      <c r="F7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9">
        <f>Таблица2[[#This Row],[team-1-win]]+Таблица2[[#This Row],[team-2-win]]</f>
        <v>0</v>
      </c>
    </row>
    <row r="80" spans="1:7" x14ac:dyDescent="0.25">
      <c r="A80" t="s">
        <v>54</v>
      </c>
      <c r="B80" t="s">
        <v>64</v>
      </c>
      <c r="C8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0" t="s">
        <v>57</v>
      </c>
      <c r="E80" t="s">
        <v>44</v>
      </c>
      <c r="F8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0">
        <f>Таблица2[[#This Row],[team-1-win]]+Таблица2[[#This Row],[team-2-win]]</f>
        <v>0</v>
      </c>
    </row>
    <row r="81" spans="1:7" x14ac:dyDescent="0.25">
      <c r="A81" t="s">
        <v>54</v>
      </c>
      <c r="B81" t="s">
        <v>64</v>
      </c>
      <c r="C8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1" t="s">
        <v>57</v>
      </c>
      <c r="E81" t="s">
        <v>46</v>
      </c>
      <c r="F8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1">
        <f>Таблица2[[#This Row],[team-1-win]]+Таблица2[[#This Row],[team-2-win]]</f>
        <v>0</v>
      </c>
    </row>
    <row r="82" spans="1:7" x14ac:dyDescent="0.25">
      <c r="A82" t="s">
        <v>54</v>
      </c>
      <c r="B82" t="s">
        <v>64</v>
      </c>
      <c r="C8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2" t="s">
        <v>57</v>
      </c>
      <c r="E82" t="s">
        <v>39</v>
      </c>
      <c r="F8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2">
        <f>Таблица2[[#This Row],[team-1-win]]+Таблица2[[#This Row],[team-2-win]]</f>
        <v>0</v>
      </c>
    </row>
    <row r="83" spans="1:7" x14ac:dyDescent="0.25">
      <c r="A83" t="s">
        <v>54</v>
      </c>
      <c r="B83" t="s">
        <v>64</v>
      </c>
      <c r="C8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3" t="s">
        <v>49</v>
      </c>
      <c r="E83" t="s">
        <v>34</v>
      </c>
      <c r="F8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3">
        <f>Таблица2[[#This Row],[team-1-win]]+Таблица2[[#This Row],[team-2-win]]</f>
        <v>0</v>
      </c>
    </row>
    <row r="84" spans="1:7" x14ac:dyDescent="0.25">
      <c r="A84" t="s">
        <v>54</v>
      </c>
      <c r="B84" t="s">
        <v>64</v>
      </c>
      <c r="C8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4" t="s">
        <v>49</v>
      </c>
      <c r="E84" t="s">
        <v>44</v>
      </c>
      <c r="F8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4">
        <f>Таблица2[[#This Row],[team-1-win]]+Таблица2[[#This Row],[team-2-win]]</f>
        <v>0</v>
      </c>
    </row>
    <row r="85" spans="1:7" x14ac:dyDescent="0.25">
      <c r="A85" t="s">
        <v>54</v>
      </c>
      <c r="B85" t="s">
        <v>64</v>
      </c>
      <c r="C8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5" t="s">
        <v>49</v>
      </c>
      <c r="E85" t="s">
        <v>46</v>
      </c>
      <c r="F8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5">
        <f>Таблица2[[#This Row],[team-1-win]]+Таблица2[[#This Row],[team-2-win]]</f>
        <v>0</v>
      </c>
    </row>
    <row r="86" spans="1:7" x14ac:dyDescent="0.25">
      <c r="A86" t="s">
        <v>54</v>
      </c>
      <c r="B86" t="s">
        <v>64</v>
      </c>
      <c r="C8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6" t="s">
        <v>49</v>
      </c>
      <c r="E86" t="s">
        <v>39</v>
      </c>
      <c r="F8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6">
        <f>Таблица2[[#This Row],[team-1-win]]+Таблица2[[#This Row],[team-2-win]]</f>
        <v>0</v>
      </c>
    </row>
    <row r="87" spans="1:7" x14ac:dyDescent="0.25">
      <c r="A87" t="s">
        <v>54</v>
      </c>
      <c r="B87" t="s">
        <v>64</v>
      </c>
      <c r="C8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7" t="s">
        <v>34</v>
      </c>
      <c r="E87" t="s">
        <v>44</v>
      </c>
      <c r="F8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7">
        <f>Таблица2[[#This Row],[team-1-win]]+Таблица2[[#This Row],[team-2-win]]</f>
        <v>0</v>
      </c>
    </row>
    <row r="88" spans="1:7" x14ac:dyDescent="0.25">
      <c r="A88" t="s">
        <v>54</v>
      </c>
      <c r="B88" t="s">
        <v>64</v>
      </c>
      <c r="C8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8" t="s">
        <v>34</v>
      </c>
      <c r="E88" t="s">
        <v>46</v>
      </c>
      <c r="F8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8">
        <f>Таблица2[[#This Row],[team-1-win]]+Таблица2[[#This Row],[team-2-win]]</f>
        <v>0</v>
      </c>
    </row>
    <row r="89" spans="1:7" x14ac:dyDescent="0.25">
      <c r="A89" t="s">
        <v>54</v>
      </c>
      <c r="B89" t="s">
        <v>64</v>
      </c>
      <c r="C8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9" t="s">
        <v>34</v>
      </c>
      <c r="E89" t="s">
        <v>39</v>
      </c>
      <c r="F8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9">
        <f>Таблица2[[#This Row],[team-1-win]]+Таблица2[[#This Row],[team-2-win]]</f>
        <v>0</v>
      </c>
    </row>
    <row r="90" spans="1:7" x14ac:dyDescent="0.25">
      <c r="A90" t="s">
        <v>54</v>
      </c>
      <c r="B90" t="s">
        <v>64</v>
      </c>
      <c r="C9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0" t="s">
        <v>44</v>
      </c>
      <c r="E90" t="s">
        <v>46</v>
      </c>
      <c r="F9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0">
        <f>Таблица2[[#This Row],[team-1-win]]+Таблица2[[#This Row],[team-2-win]]</f>
        <v>0</v>
      </c>
    </row>
    <row r="91" spans="1:7" x14ac:dyDescent="0.25">
      <c r="A91" t="s">
        <v>54</v>
      </c>
      <c r="B91" t="s">
        <v>64</v>
      </c>
      <c r="C9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1" t="s">
        <v>44</v>
      </c>
      <c r="E91" t="s">
        <v>39</v>
      </c>
      <c r="F9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1">
        <f>Таблица2[[#This Row],[team-1-win]]+Таблица2[[#This Row],[team-2-win]]</f>
        <v>0</v>
      </c>
    </row>
    <row r="92" spans="1:7" x14ac:dyDescent="0.25">
      <c r="A92" t="s">
        <v>54</v>
      </c>
      <c r="B92" t="s">
        <v>64</v>
      </c>
      <c r="C9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2" t="s">
        <v>46</v>
      </c>
      <c r="E92" t="s">
        <v>39</v>
      </c>
      <c r="F9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2">
        <f>Таблица2[[#This Row],[team-1-win]]+Таблица2[[#This Row],[team-2-win]]</f>
        <v>0</v>
      </c>
    </row>
    <row r="93" spans="1:7" x14ac:dyDescent="0.25">
      <c r="A93" t="s">
        <v>54</v>
      </c>
      <c r="B93" t="s">
        <v>39</v>
      </c>
      <c r="C9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3" t="s">
        <v>57</v>
      </c>
      <c r="E93" t="s">
        <v>49</v>
      </c>
      <c r="F9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3">
        <f>Таблица2[[#This Row],[team-1-win]]+Таблица2[[#This Row],[team-2-win]]</f>
        <v>0</v>
      </c>
    </row>
    <row r="94" spans="1:7" x14ac:dyDescent="0.25">
      <c r="A94" t="s">
        <v>54</v>
      </c>
      <c r="B94" t="s">
        <v>39</v>
      </c>
      <c r="C9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4" t="s">
        <v>57</v>
      </c>
      <c r="E94" t="s">
        <v>34</v>
      </c>
      <c r="F9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4">
        <f>Таблица2[[#This Row],[team-1-win]]+Таблица2[[#This Row],[team-2-win]]</f>
        <v>0</v>
      </c>
    </row>
    <row r="95" spans="1:7" x14ac:dyDescent="0.25">
      <c r="A95" t="s">
        <v>54</v>
      </c>
      <c r="B95" t="s">
        <v>39</v>
      </c>
      <c r="C9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5" t="s">
        <v>57</v>
      </c>
      <c r="E95" t="s">
        <v>44</v>
      </c>
      <c r="F9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5">
        <f>Таблица2[[#This Row],[team-1-win]]+Таблица2[[#This Row],[team-2-win]]</f>
        <v>0</v>
      </c>
    </row>
    <row r="96" spans="1:7" x14ac:dyDescent="0.25">
      <c r="A96" t="s">
        <v>54</v>
      </c>
      <c r="B96" t="s">
        <v>39</v>
      </c>
      <c r="C9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6" t="s">
        <v>57</v>
      </c>
      <c r="E96" t="s">
        <v>46</v>
      </c>
      <c r="F9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6">
        <f>Таблица2[[#This Row],[team-1-win]]+Таблица2[[#This Row],[team-2-win]]</f>
        <v>0</v>
      </c>
    </row>
    <row r="97" spans="1:7" x14ac:dyDescent="0.25">
      <c r="A97" t="s">
        <v>54</v>
      </c>
      <c r="B97" t="s">
        <v>39</v>
      </c>
      <c r="C9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7" t="s">
        <v>57</v>
      </c>
      <c r="E97" t="s">
        <v>64</v>
      </c>
      <c r="F9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7">
        <f>Таблица2[[#This Row],[team-1-win]]+Таблица2[[#This Row],[team-2-win]]</f>
        <v>0</v>
      </c>
    </row>
    <row r="98" spans="1:7" x14ac:dyDescent="0.25">
      <c r="A98" t="s">
        <v>54</v>
      </c>
      <c r="B98" t="s">
        <v>39</v>
      </c>
      <c r="C9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8" t="s">
        <v>49</v>
      </c>
      <c r="E98" t="s">
        <v>34</v>
      </c>
      <c r="F9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8">
        <f>Таблица2[[#This Row],[team-1-win]]+Таблица2[[#This Row],[team-2-win]]</f>
        <v>0</v>
      </c>
    </row>
    <row r="99" spans="1:7" x14ac:dyDescent="0.25">
      <c r="A99" t="s">
        <v>54</v>
      </c>
      <c r="B99" t="s">
        <v>39</v>
      </c>
      <c r="C9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9" t="s">
        <v>49</v>
      </c>
      <c r="E99" t="s">
        <v>44</v>
      </c>
      <c r="F9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9">
        <f>Таблица2[[#This Row],[team-1-win]]+Таблица2[[#This Row],[team-2-win]]</f>
        <v>0</v>
      </c>
    </row>
    <row r="100" spans="1:7" x14ac:dyDescent="0.25">
      <c r="A100" t="s">
        <v>54</v>
      </c>
      <c r="B100" t="s">
        <v>39</v>
      </c>
      <c r="C10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0" t="s">
        <v>49</v>
      </c>
      <c r="E100" t="s">
        <v>46</v>
      </c>
      <c r="F10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0">
        <f>Таблица2[[#This Row],[team-1-win]]+Таблица2[[#This Row],[team-2-win]]</f>
        <v>0</v>
      </c>
    </row>
    <row r="101" spans="1:7" x14ac:dyDescent="0.25">
      <c r="A101" t="s">
        <v>54</v>
      </c>
      <c r="B101" t="s">
        <v>39</v>
      </c>
      <c r="C10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1" t="s">
        <v>49</v>
      </c>
      <c r="E101" t="s">
        <v>64</v>
      </c>
      <c r="F10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1">
        <f>Таблица2[[#This Row],[team-1-win]]+Таблица2[[#This Row],[team-2-win]]</f>
        <v>0</v>
      </c>
    </row>
    <row r="102" spans="1:7" x14ac:dyDescent="0.25">
      <c r="A102" t="s">
        <v>54</v>
      </c>
      <c r="B102" t="s">
        <v>39</v>
      </c>
      <c r="C10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2" t="s">
        <v>34</v>
      </c>
      <c r="E102" t="s">
        <v>44</v>
      </c>
      <c r="F10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2">
        <f>Таблица2[[#This Row],[team-1-win]]+Таблица2[[#This Row],[team-2-win]]</f>
        <v>0</v>
      </c>
    </row>
    <row r="103" spans="1:7" x14ac:dyDescent="0.25">
      <c r="A103" t="s">
        <v>54</v>
      </c>
      <c r="B103" t="s">
        <v>39</v>
      </c>
      <c r="C10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3" t="s">
        <v>34</v>
      </c>
      <c r="E103" t="s">
        <v>46</v>
      </c>
      <c r="F10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3">
        <f>Таблица2[[#This Row],[team-1-win]]+Таблица2[[#This Row],[team-2-win]]</f>
        <v>0</v>
      </c>
    </row>
    <row r="104" spans="1:7" x14ac:dyDescent="0.25">
      <c r="A104" t="s">
        <v>54</v>
      </c>
      <c r="B104" t="s">
        <v>39</v>
      </c>
      <c r="C10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4" t="s">
        <v>34</v>
      </c>
      <c r="E104" t="s">
        <v>64</v>
      </c>
      <c r="F10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4">
        <f>Таблица2[[#This Row],[team-1-win]]+Таблица2[[#This Row],[team-2-win]]</f>
        <v>0</v>
      </c>
    </row>
    <row r="105" spans="1:7" x14ac:dyDescent="0.25">
      <c r="A105" t="s">
        <v>54</v>
      </c>
      <c r="B105" t="s">
        <v>39</v>
      </c>
      <c r="C10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5" t="s">
        <v>44</v>
      </c>
      <c r="E105" t="s">
        <v>46</v>
      </c>
      <c r="F10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5">
        <f>Таблица2[[#This Row],[team-1-win]]+Таблица2[[#This Row],[team-2-win]]</f>
        <v>0</v>
      </c>
    </row>
    <row r="106" spans="1:7" x14ac:dyDescent="0.25">
      <c r="A106" t="s">
        <v>54</v>
      </c>
      <c r="B106" t="s">
        <v>39</v>
      </c>
      <c r="C10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6" t="s">
        <v>44</v>
      </c>
      <c r="E106" t="s">
        <v>64</v>
      </c>
      <c r="F10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6">
        <f>Таблица2[[#This Row],[team-1-win]]+Таблица2[[#This Row],[team-2-win]]</f>
        <v>0</v>
      </c>
    </row>
    <row r="107" spans="1:7" x14ac:dyDescent="0.25">
      <c r="A107" t="s">
        <v>54</v>
      </c>
      <c r="B107" t="s">
        <v>39</v>
      </c>
      <c r="C10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7" t="s">
        <v>46</v>
      </c>
      <c r="E107" t="s">
        <v>64</v>
      </c>
      <c r="F10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7">
        <f>Таблица2[[#This Row],[team-1-win]]+Таблица2[[#This Row],[team-2-win]]</f>
        <v>0</v>
      </c>
    </row>
    <row r="108" spans="1:7" x14ac:dyDescent="0.25">
      <c r="A108" t="s">
        <v>57</v>
      </c>
      <c r="B108" t="s">
        <v>49</v>
      </c>
      <c r="C10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8" t="s">
        <v>34</v>
      </c>
      <c r="E108" t="s">
        <v>44</v>
      </c>
      <c r="F10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8">
        <f>Таблица2[[#This Row],[team-1-win]]+Таблица2[[#This Row],[team-2-win]]</f>
        <v>0</v>
      </c>
    </row>
    <row r="109" spans="1:7" x14ac:dyDescent="0.25">
      <c r="A109" t="s">
        <v>57</v>
      </c>
      <c r="B109" t="s">
        <v>49</v>
      </c>
      <c r="C10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9" t="s">
        <v>34</v>
      </c>
      <c r="E109" t="s">
        <v>46</v>
      </c>
      <c r="F10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9">
        <f>Таблица2[[#This Row],[team-1-win]]+Таблица2[[#This Row],[team-2-win]]</f>
        <v>0</v>
      </c>
    </row>
    <row r="110" spans="1:7" x14ac:dyDescent="0.25">
      <c r="A110" t="s">
        <v>57</v>
      </c>
      <c r="B110" t="s">
        <v>49</v>
      </c>
      <c r="C1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0" t="s">
        <v>34</v>
      </c>
      <c r="E110" t="s">
        <v>64</v>
      </c>
      <c r="F1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0">
        <f>Таблица2[[#This Row],[team-1-win]]+Таблица2[[#This Row],[team-2-win]]</f>
        <v>0</v>
      </c>
    </row>
    <row r="111" spans="1:7" x14ac:dyDescent="0.25">
      <c r="A111" t="s">
        <v>57</v>
      </c>
      <c r="B111" t="s">
        <v>49</v>
      </c>
      <c r="C1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1" t="s">
        <v>34</v>
      </c>
      <c r="E111" t="s">
        <v>39</v>
      </c>
      <c r="F1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1">
        <f>Таблица2[[#This Row],[team-1-win]]+Таблица2[[#This Row],[team-2-win]]</f>
        <v>0</v>
      </c>
    </row>
    <row r="112" spans="1:7" x14ac:dyDescent="0.25">
      <c r="A112" t="s">
        <v>57</v>
      </c>
      <c r="B112" t="s">
        <v>49</v>
      </c>
      <c r="C1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2" t="s">
        <v>44</v>
      </c>
      <c r="E112" t="s">
        <v>46</v>
      </c>
      <c r="F1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2">
        <f>Таблица2[[#This Row],[team-1-win]]+Таблица2[[#This Row],[team-2-win]]</f>
        <v>0</v>
      </c>
    </row>
    <row r="113" spans="1:7" x14ac:dyDescent="0.25">
      <c r="A113" t="s">
        <v>57</v>
      </c>
      <c r="B113" t="s">
        <v>49</v>
      </c>
      <c r="C11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3" t="s">
        <v>44</v>
      </c>
      <c r="E113" t="s">
        <v>64</v>
      </c>
      <c r="F11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3">
        <f>Таблица2[[#This Row],[team-1-win]]+Таблица2[[#This Row],[team-2-win]]</f>
        <v>0</v>
      </c>
    </row>
    <row r="114" spans="1:7" x14ac:dyDescent="0.25">
      <c r="A114" t="s">
        <v>57</v>
      </c>
      <c r="B114" t="s">
        <v>49</v>
      </c>
      <c r="C11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4" t="s">
        <v>44</v>
      </c>
      <c r="E114" t="s">
        <v>39</v>
      </c>
      <c r="F11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4">
        <f>Таблица2[[#This Row],[team-1-win]]+Таблица2[[#This Row],[team-2-win]]</f>
        <v>0</v>
      </c>
    </row>
    <row r="115" spans="1:7" x14ac:dyDescent="0.25">
      <c r="A115" t="s">
        <v>57</v>
      </c>
      <c r="B115" t="s">
        <v>49</v>
      </c>
      <c r="C11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5" t="s">
        <v>46</v>
      </c>
      <c r="E115" t="s">
        <v>64</v>
      </c>
      <c r="F11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5">
        <f>Таблица2[[#This Row],[team-1-win]]+Таблица2[[#This Row],[team-2-win]]</f>
        <v>0</v>
      </c>
    </row>
    <row r="116" spans="1:7" x14ac:dyDescent="0.25">
      <c r="A116" t="s">
        <v>57</v>
      </c>
      <c r="B116" t="s">
        <v>49</v>
      </c>
      <c r="C11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6" t="s">
        <v>46</v>
      </c>
      <c r="E116" t="s">
        <v>39</v>
      </c>
      <c r="F11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6">
        <f>Таблица2[[#This Row],[team-1-win]]+Таблица2[[#This Row],[team-2-win]]</f>
        <v>0</v>
      </c>
    </row>
    <row r="117" spans="1:7" x14ac:dyDescent="0.25">
      <c r="A117" t="s">
        <v>57</v>
      </c>
      <c r="B117" t="s">
        <v>49</v>
      </c>
      <c r="C11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7" t="s">
        <v>64</v>
      </c>
      <c r="E117" t="s">
        <v>39</v>
      </c>
      <c r="F11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7">
        <f>Таблица2[[#This Row],[team-1-win]]+Таблица2[[#This Row],[team-2-win]]</f>
        <v>0</v>
      </c>
    </row>
    <row r="118" spans="1:7" x14ac:dyDescent="0.25">
      <c r="A118" t="s">
        <v>57</v>
      </c>
      <c r="B118" t="s">
        <v>34</v>
      </c>
      <c r="C11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8" t="s">
        <v>49</v>
      </c>
      <c r="E118" t="s">
        <v>44</v>
      </c>
      <c r="F11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8">
        <f>Таблица2[[#This Row],[team-1-win]]+Таблица2[[#This Row],[team-2-win]]</f>
        <v>0</v>
      </c>
    </row>
    <row r="119" spans="1:7" x14ac:dyDescent="0.25">
      <c r="A119" t="s">
        <v>57</v>
      </c>
      <c r="B119" t="s">
        <v>34</v>
      </c>
      <c r="C11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9" t="s">
        <v>49</v>
      </c>
      <c r="E119" t="s">
        <v>46</v>
      </c>
      <c r="F11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9">
        <f>Таблица2[[#This Row],[team-1-win]]+Таблица2[[#This Row],[team-2-win]]</f>
        <v>0</v>
      </c>
    </row>
    <row r="120" spans="1:7" x14ac:dyDescent="0.25">
      <c r="A120" t="s">
        <v>57</v>
      </c>
      <c r="B120" t="s">
        <v>34</v>
      </c>
      <c r="C12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0" t="s">
        <v>49</v>
      </c>
      <c r="E120" t="s">
        <v>64</v>
      </c>
      <c r="F12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0">
        <f>Таблица2[[#This Row],[team-1-win]]+Таблица2[[#This Row],[team-2-win]]</f>
        <v>0</v>
      </c>
    </row>
    <row r="121" spans="1:7" x14ac:dyDescent="0.25">
      <c r="A121" t="s">
        <v>57</v>
      </c>
      <c r="B121" t="s">
        <v>34</v>
      </c>
      <c r="C12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1" t="s">
        <v>49</v>
      </c>
      <c r="E121" t="s">
        <v>39</v>
      </c>
      <c r="F12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1">
        <f>Таблица2[[#This Row],[team-1-win]]+Таблица2[[#This Row],[team-2-win]]</f>
        <v>0</v>
      </c>
    </row>
    <row r="122" spans="1:7" x14ac:dyDescent="0.25">
      <c r="A122" t="s">
        <v>57</v>
      </c>
      <c r="B122" t="s">
        <v>34</v>
      </c>
      <c r="C12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2" t="s">
        <v>44</v>
      </c>
      <c r="E122" t="s">
        <v>46</v>
      </c>
      <c r="F12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2">
        <f>Таблица2[[#This Row],[team-1-win]]+Таблица2[[#This Row],[team-2-win]]</f>
        <v>0</v>
      </c>
    </row>
    <row r="123" spans="1:7" x14ac:dyDescent="0.25">
      <c r="A123" t="s">
        <v>57</v>
      </c>
      <c r="B123" t="s">
        <v>34</v>
      </c>
      <c r="C12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3" t="s">
        <v>44</v>
      </c>
      <c r="E123" t="s">
        <v>64</v>
      </c>
      <c r="F12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3">
        <f>Таблица2[[#This Row],[team-1-win]]+Таблица2[[#This Row],[team-2-win]]</f>
        <v>0</v>
      </c>
    </row>
    <row r="124" spans="1:7" x14ac:dyDescent="0.25">
      <c r="A124" t="s">
        <v>57</v>
      </c>
      <c r="B124" t="s">
        <v>34</v>
      </c>
      <c r="C12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4" t="s">
        <v>44</v>
      </c>
      <c r="E124" t="s">
        <v>39</v>
      </c>
      <c r="F12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4">
        <f>Таблица2[[#This Row],[team-1-win]]+Таблица2[[#This Row],[team-2-win]]</f>
        <v>0</v>
      </c>
    </row>
    <row r="125" spans="1:7" x14ac:dyDescent="0.25">
      <c r="A125" t="s">
        <v>57</v>
      </c>
      <c r="B125" t="s">
        <v>34</v>
      </c>
      <c r="C12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5" t="s">
        <v>46</v>
      </c>
      <c r="E125" t="s">
        <v>64</v>
      </c>
      <c r="F12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5">
        <f>Таблица2[[#This Row],[team-1-win]]+Таблица2[[#This Row],[team-2-win]]</f>
        <v>0</v>
      </c>
    </row>
    <row r="126" spans="1:7" x14ac:dyDescent="0.25">
      <c r="A126" t="s">
        <v>57</v>
      </c>
      <c r="B126" t="s">
        <v>34</v>
      </c>
      <c r="C12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6" t="s">
        <v>46</v>
      </c>
      <c r="E126" t="s">
        <v>39</v>
      </c>
      <c r="F12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6">
        <f>Таблица2[[#This Row],[team-1-win]]+Таблица2[[#This Row],[team-2-win]]</f>
        <v>0</v>
      </c>
    </row>
    <row r="127" spans="1:7" x14ac:dyDescent="0.25">
      <c r="A127" t="s">
        <v>57</v>
      </c>
      <c r="B127" t="s">
        <v>34</v>
      </c>
      <c r="C12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7" t="s">
        <v>64</v>
      </c>
      <c r="E127" t="s">
        <v>39</v>
      </c>
      <c r="F12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7">
        <f>Таблица2[[#This Row],[team-1-win]]+Таблица2[[#This Row],[team-2-win]]</f>
        <v>0</v>
      </c>
    </row>
    <row r="128" spans="1:7" x14ac:dyDescent="0.25">
      <c r="A128" t="s">
        <v>57</v>
      </c>
      <c r="B128" t="s">
        <v>44</v>
      </c>
      <c r="C12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8" t="s">
        <v>49</v>
      </c>
      <c r="E128" t="s">
        <v>34</v>
      </c>
      <c r="F12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8">
        <f>Таблица2[[#This Row],[team-1-win]]+Таблица2[[#This Row],[team-2-win]]</f>
        <v>0</v>
      </c>
    </row>
    <row r="129" spans="1:7" x14ac:dyDescent="0.25">
      <c r="A129" t="s">
        <v>57</v>
      </c>
      <c r="B129" t="s">
        <v>44</v>
      </c>
      <c r="C12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9" t="s">
        <v>49</v>
      </c>
      <c r="E129" t="s">
        <v>46</v>
      </c>
      <c r="F12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9">
        <f>Таблица2[[#This Row],[team-1-win]]+Таблица2[[#This Row],[team-2-win]]</f>
        <v>0</v>
      </c>
    </row>
    <row r="130" spans="1:7" x14ac:dyDescent="0.25">
      <c r="A130" t="s">
        <v>57</v>
      </c>
      <c r="B130" t="s">
        <v>44</v>
      </c>
      <c r="C13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0" t="s">
        <v>49</v>
      </c>
      <c r="E130" t="s">
        <v>64</v>
      </c>
      <c r="F13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0">
        <f>Таблица2[[#This Row],[team-1-win]]+Таблица2[[#This Row],[team-2-win]]</f>
        <v>0</v>
      </c>
    </row>
    <row r="131" spans="1:7" x14ac:dyDescent="0.25">
      <c r="A131" t="s">
        <v>57</v>
      </c>
      <c r="B131" t="s">
        <v>44</v>
      </c>
      <c r="C13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1" t="s">
        <v>49</v>
      </c>
      <c r="E131" t="s">
        <v>39</v>
      </c>
      <c r="F13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1">
        <f>Таблица2[[#This Row],[team-1-win]]+Таблица2[[#This Row],[team-2-win]]</f>
        <v>0</v>
      </c>
    </row>
    <row r="132" spans="1:7" x14ac:dyDescent="0.25">
      <c r="A132" t="s">
        <v>57</v>
      </c>
      <c r="B132" t="s">
        <v>44</v>
      </c>
      <c r="C13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2" t="s">
        <v>34</v>
      </c>
      <c r="E132" t="s">
        <v>46</v>
      </c>
      <c r="F13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2">
        <f>Таблица2[[#This Row],[team-1-win]]+Таблица2[[#This Row],[team-2-win]]</f>
        <v>0</v>
      </c>
    </row>
    <row r="133" spans="1:7" x14ac:dyDescent="0.25">
      <c r="A133" t="s">
        <v>57</v>
      </c>
      <c r="B133" t="s">
        <v>44</v>
      </c>
      <c r="C13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3" t="s">
        <v>34</v>
      </c>
      <c r="E133" t="s">
        <v>64</v>
      </c>
      <c r="F13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3">
        <f>Таблица2[[#This Row],[team-1-win]]+Таблица2[[#This Row],[team-2-win]]</f>
        <v>0</v>
      </c>
    </row>
    <row r="134" spans="1:7" x14ac:dyDescent="0.25">
      <c r="A134" t="s">
        <v>57</v>
      </c>
      <c r="B134" t="s">
        <v>44</v>
      </c>
      <c r="C13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4" t="s">
        <v>34</v>
      </c>
      <c r="E134" t="s">
        <v>39</v>
      </c>
      <c r="F13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4">
        <f>Таблица2[[#This Row],[team-1-win]]+Таблица2[[#This Row],[team-2-win]]</f>
        <v>0</v>
      </c>
    </row>
    <row r="135" spans="1:7" x14ac:dyDescent="0.25">
      <c r="A135" t="s">
        <v>57</v>
      </c>
      <c r="B135" t="s">
        <v>44</v>
      </c>
      <c r="C13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5" t="s">
        <v>46</v>
      </c>
      <c r="E135" t="s">
        <v>64</v>
      </c>
      <c r="F13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5">
        <f>Таблица2[[#This Row],[team-1-win]]+Таблица2[[#This Row],[team-2-win]]</f>
        <v>0</v>
      </c>
    </row>
    <row r="136" spans="1:7" x14ac:dyDescent="0.25">
      <c r="A136" t="s">
        <v>57</v>
      </c>
      <c r="B136" t="s">
        <v>44</v>
      </c>
      <c r="C13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6" t="s">
        <v>46</v>
      </c>
      <c r="E136" t="s">
        <v>39</v>
      </c>
      <c r="F13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6">
        <f>Таблица2[[#This Row],[team-1-win]]+Таблица2[[#This Row],[team-2-win]]</f>
        <v>0</v>
      </c>
    </row>
    <row r="137" spans="1:7" x14ac:dyDescent="0.25">
      <c r="A137" t="s">
        <v>57</v>
      </c>
      <c r="B137" t="s">
        <v>44</v>
      </c>
      <c r="C13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7" t="s">
        <v>64</v>
      </c>
      <c r="E137" t="s">
        <v>39</v>
      </c>
      <c r="F13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7">
        <f>Таблица2[[#This Row],[team-1-win]]+Таблица2[[#This Row],[team-2-win]]</f>
        <v>0</v>
      </c>
    </row>
    <row r="138" spans="1:7" x14ac:dyDescent="0.25">
      <c r="A138" t="s">
        <v>57</v>
      </c>
      <c r="B138" t="s">
        <v>46</v>
      </c>
      <c r="C13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8" t="s">
        <v>49</v>
      </c>
      <c r="E138" t="s">
        <v>34</v>
      </c>
      <c r="F13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8">
        <f>Таблица2[[#This Row],[team-1-win]]+Таблица2[[#This Row],[team-2-win]]</f>
        <v>0</v>
      </c>
    </row>
    <row r="139" spans="1:7" x14ac:dyDescent="0.25">
      <c r="A139" t="s">
        <v>57</v>
      </c>
      <c r="B139" t="s">
        <v>46</v>
      </c>
      <c r="C13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9" t="s">
        <v>49</v>
      </c>
      <c r="E139" t="s">
        <v>44</v>
      </c>
      <c r="F13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9">
        <f>Таблица2[[#This Row],[team-1-win]]+Таблица2[[#This Row],[team-2-win]]</f>
        <v>0</v>
      </c>
    </row>
    <row r="140" spans="1:7" x14ac:dyDescent="0.25">
      <c r="A140" t="s">
        <v>57</v>
      </c>
      <c r="B140" t="s">
        <v>46</v>
      </c>
      <c r="C14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0" t="s">
        <v>49</v>
      </c>
      <c r="E140" t="s">
        <v>64</v>
      </c>
      <c r="F14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0">
        <f>Таблица2[[#This Row],[team-1-win]]+Таблица2[[#This Row],[team-2-win]]</f>
        <v>0</v>
      </c>
    </row>
    <row r="141" spans="1:7" x14ac:dyDescent="0.25">
      <c r="A141" t="s">
        <v>57</v>
      </c>
      <c r="B141" t="s">
        <v>46</v>
      </c>
      <c r="C14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1" t="s">
        <v>49</v>
      </c>
      <c r="E141" t="s">
        <v>39</v>
      </c>
      <c r="F14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1">
        <f>Таблица2[[#This Row],[team-1-win]]+Таблица2[[#This Row],[team-2-win]]</f>
        <v>0</v>
      </c>
    </row>
    <row r="142" spans="1:7" x14ac:dyDescent="0.25">
      <c r="A142" t="s">
        <v>57</v>
      </c>
      <c r="B142" t="s">
        <v>46</v>
      </c>
      <c r="C14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2" t="s">
        <v>34</v>
      </c>
      <c r="E142" t="s">
        <v>44</v>
      </c>
      <c r="F14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2">
        <f>Таблица2[[#This Row],[team-1-win]]+Таблица2[[#This Row],[team-2-win]]</f>
        <v>0</v>
      </c>
    </row>
    <row r="143" spans="1:7" x14ac:dyDescent="0.25">
      <c r="A143" t="s">
        <v>57</v>
      </c>
      <c r="B143" t="s">
        <v>46</v>
      </c>
      <c r="C14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3" t="s">
        <v>34</v>
      </c>
      <c r="E143" t="s">
        <v>64</v>
      </c>
      <c r="F14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3">
        <f>Таблица2[[#This Row],[team-1-win]]+Таблица2[[#This Row],[team-2-win]]</f>
        <v>0</v>
      </c>
    </row>
    <row r="144" spans="1:7" x14ac:dyDescent="0.25">
      <c r="A144" t="s">
        <v>57</v>
      </c>
      <c r="B144" t="s">
        <v>46</v>
      </c>
      <c r="C14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4" t="s">
        <v>34</v>
      </c>
      <c r="E144" t="s">
        <v>39</v>
      </c>
      <c r="F14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4">
        <f>Таблица2[[#This Row],[team-1-win]]+Таблица2[[#This Row],[team-2-win]]</f>
        <v>0</v>
      </c>
    </row>
    <row r="145" spans="1:7" x14ac:dyDescent="0.25">
      <c r="A145" t="s">
        <v>57</v>
      </c>
      <c r="B145" t="s">
        <v>46</v>
      </c>
      <c r="C14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5" t="s">
        <v>44</v>
      </c>
      <c r="E145" t="s">
        <v>64</v>
      </c>
      <c r="F14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5">
        <f>Таблица2[[#This Row],[team-1-win]]+Таблица2[[#This Row],[team-2-win]]</f>
        <v>0</v>
      </c>
    </row>
    <row r="146" spans="1:7" x14ac:dyDescent="0.25">
      <c r="A146" t="s">
        <v>57</v>
      </c>
      <c r="B146" t="s">
        <v>46</v>
      </c>
      <c r="C14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6" t="s">
        <v>44</v>
      </c>
      <c r="E146" t="s">
        <v>39</v>
      </c>
      <c r="F14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6">
        <f>Таблица2[[#This Row],[team-1-win]]+Таблица2[[#This Row],[team-2-win]]</f>
        <v>0</v>
      </c>
    </row>
    <row r="147" spans="1:7" x14ac:dyDescent="0.25">
      <c r="A147" t="s">
        <v>57</v>
      </c>
      <c r="B147" t="s">
        <v>46</v>
      </c>
      <c r="C14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7" t="s">
        <v>64</v>
      </c>
      <c r="E147" t="s">
        <v>39</v>
      </c>
      <c r="F14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7">
        <f>Таблица2[[#This Row],[team-1-win]]+Таблица2[[#This Row],[team-2-win]]</f>
        <v>0</v>
      </c>
    </row>
    <row r="148" spans="1:7" x14ac:dyDescent="0.25">
      <c r="A148" t="s">
        <v>57</v>
      </c>
      <c r="B148" t="s">
        <v>64</v>
      </c>
      <c r="C14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8" t="s">
        <v>49</v>
      </c>
      <c r="E148" t="s">
        <v>34</v>
      </c>
      <c r="F14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8">
        <f>Таблица2[[#This Row],[team-1-win]]+Таблица2[[#This Row],[team-2-win]]</f>
        <v>0</v>
      </c>
    </row>
    <row r="149" spans="1:7" x14ac:dyDescent="0.25">
      <c r="A149" t="s">
        <v>57</v>
      </c>
      <c r="B149" t="s">
        <v>64</v>
      </c>
      <c r="C14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9" t="s">
        <v>49</v>
      </c>
      <c r="E149" t="s">
        <v>44</v>
      </c>
      <c r="F14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9">
        <f>Таблица2[[#This Row],[team-1-win]]+Таблица2[[#This Row],[team-2-win]]</f>
        <v>0</v>
      </c>
    </row>
    <row r="150" spans="1:7" x14ac:dyDescent="0.25">
      <c r="A150" t="s">
        <v>57</v>
      </c>
      <c r="B150" t="s">
        <v>64</v>
      </c>
      <c r="C15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0" t="s">
        <v>49</v>
      </c>
      <c r="E150" t="s">
        <v>46</v>
      </c>
      <c r="F15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0">
        <f>Таблица2[[#This Row],[team-1-win]]+Таблица2[[#This Row],[team-2-win]]</f>
        <v>0</v>
      </c>
    </row>
    <row r="151" spans="1:7" x14ac:dyDescent="0.25">
      <c r="A151" t="s">
        <v>57</v>
      </c>
      <c r="B151" t="s">
        <v>64</v>
      </c>
      <c r="C15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1" t="s">
        <v>49</v>
      </c>
      <c r="E151" t="s">
        <v>39</v>
      </c>
      <c r="F15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1">
        <f>Таблица2[[#This Row],[team-1-win]]+Таблица2[[#This Row],[team-2-win]]</f>
        <v>0</v>
      </c>
    </row>
    <row r="152" spans="1:7" x14ac:dyDescent="0.25">
      <c r="A152" t="s">
        <v>57</v>
      </c>
      <c r="B152" t="s">
        <v>64</v>
      </c>
      <c r="C15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2" t="s">
        <v>34</v>
      </c>
      <c r="E152" t="s">
        <v>44</v>
      </c>
      <c r="F15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2">
        <f>Таблица2[[#This Row],[team-1-win]]+Таблица2[[#This Row],[team-2-win]]</f>
        <v>0</v>
      </c>
    </row>
    <row r="153" spans="1:7" x14ac:dyDescent="0.25">
      <c r="A153" t="s">
        <v>57</v>
      </c>
      <c r="B153" t="s">
        <v>64</v>
      </c>
      <c r="C15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3" t="s">
        <v>34</v>
      </c>
      <c r="E153" t="s">
        <v>46</v>
      </c>
      <c r="F15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3">
        <f>Таблица2[[#This Row],[team-1-win]]+Таблица2[[#This Row],[team-2-win]]</f>
        <v>0</v>
      </c>
    </row>
    <row r="154" spans="1:7" x14ac:dyDescent="0.25">
      <c r="A154" t="s">
        <v>57</v>
      </c>
      <c r="B154" t="s">
        <v>64</v>
      </c>
      <c r="C15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4" t="s">
        <v>34</v>
      </c>
      <c r="E154" t="s">
        <v>39</v>
      </c>
      <c r="F15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4">
        <f>Таблица2[[#This Row],[team-1-win]]+Таблица2[[#This Row],[team-2-win]]</f>
        <v>0</v>
      </c>
    </row>
    <row r="155" spans="1:7" x14ac:dyDescent="0.25">
      <c r="A155" t="s">
        <v>57</v>
      </c>
      <c r="B155" t="s">
        <v>64</v>
      </c>
      <c r="C15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5" t="s">
        <v>44</v>
      </c>
      <c r="E155" t="s">
        <v>46</v>
      </c>
      <c r="F15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5">
        <f>Таблица2[[#This Row],[team-1-win]]+Таблица2[[#This Row],[team-2-win]]</f>
        <v>0</v>
      </c>
    </row>
    <row r="156" spans="1:7" x14ac:dyDescent="0.25">
      <c r="A156" t="s">
        <v>57</v>
      </c>
      <c r="B156" t="s">
        <v>64</v>
      </c>
      <c r="C15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6" t="s">
        <v>44</v>
      </c>
      <c r="E156" t="s">
        <v>39</v>
      </c>
      <c r="F15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6">
        <f>Таблица2[[#This Row],[team-1-win]]+Таблица2[[#This Row],[team-2-win]]</f>
        <v>0</v>
      </c>
    </row>
    <row r="157" spans="1:7" x14ac:dyDescent="0.25">
      <c r="A157" t="s">
        <v>57</v>
      </c>
      <c r="B157" t="s">
        <v>64</v>
      </c>
      <c r="C15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7" t="s">
        <v>46</v>
      </c>
      <c r="E157" t="s">
        <v>39</v>
      </c>
      <c r="F15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7">
        <f>Таблица2[[#This Row],[team-1-win]]+Таблица2[[#This Row],[team-2-win]]</f>
        <v>0</v>
      </c>
    </row>
    <row r="158" spans="1:7" x14ac:dyDescent="0.25">
      <c r="A158" t="s">
        <v>57</v>
      </c>
      <c r="B158" t="s">
        <v>39</v>
      </c>
      <c r="C15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8" t="s">
        <v>49</v>
      </c>
      <c r="E158" t="s">
        <v>34</v>
      </c>
      <c r="F15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8">
        <f>Таблица2[[#This Row],[team-1-win]]+Таблица2[[#This Row],[team-2-win]]</f>
        <v>0</v>
      </c>
    </row>
    <row r="159" spans="1:7" x14ac:dyDescent="0.25">
      <c r="A159" t="s">
        <v>57</v>
      </c>
      <c r="B159" t="s">
        <v>39</v>
      </c>
      <c r="C15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9" t="s">
        <v>49</v>
      </c>
      <c r="E159" t="s">
        <v>44</v>
      </c>
      <c r="F15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9">
        <f>Таблица2[[#This Row],[team-1-win]]+Таблица2[[#This Row],[team-2-win]]</f>
        <v>0</v>
      </c>
    </row>
    <row r="160" spans="1:7" x14ac:dyDescent="0.25">
      <c r="A160" t="s">
        <v>57</v>
      </c>
      <c r="B160" t="s">
        <v>39</v>
      </c>
      <c r="C16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0" t="s">
        <v>49</v>
      </c>
      <c r="E160" t="s">
        <v>46</v>
      </c>
      <c r="F16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0">
        <f>Таблица2[[#This Row],[team-1-win]]+Таблица2[[#This Row],[team-2-win]]</f>
        <v>0</v>
      </c>
    </row>
    <row r="161" spans="1:7" x14ac:dyDescent="0.25">
      <c r="A161" t="s">
        <v>57</v>
      </c>
      <c r="B161" t="s">
        <v>39</v>
      </c>
      <c r="C16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1" t="s">
        <v>49</v>
      </c>
      <c r="E161" t="s">
        <v>64</v>
      </c>
      <c r="F16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1">
        <f>Таблица2[[#This Row],[team-1-win]]+Таблица2[[#This Row],[team-2-win]]</f>
        <v>0</v>
      </c>
    </row>
    <row r="162" spans="1:7" x14ac:dyDescent="0.25">
      <c r="A162" t="s">
        <v>57</v>
      </c>
      <c r="B162" t="s">
        <v>39</v>
      </c>
      <c r="C16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2" t="s">
        <v>34</v>
      </c>
      <c r="E162" t="s">
        <v>44</v>
      </c>
      <c r="F16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2">
        <f>Таблица2[[#This Row],[team-1-win]]+Таблица2[[#This Row],[team-2-win]]</f>
        <v>0</v>
      </c>
    </row>
    <row r="163" spans="1:7" x14ac:dyDescent="0.25">
      <c r="A163" t="s">
        <v>57</v>
      </c>
      <c r="B163" t="s">
        <v>39</v>
      </c>
      <c r="C16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3" t="s">
        <v>34</v>
      </c>
      <c r="E163" t="s">
        <v>46</v>
      </c>
      <c r="F16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3">
        <f>Таблица2[[#This Row],[team-1-win]]+Таблица2[[#This Row],[team-2-win]]</f>
        <v>0</v>
      </c>
    </row>
    <row r="164" spans="1:7" x14ac:dyDescent="0.25">
      <c r="A164" t="s">
        <v>57</v>
      </c>
      <c r="B164" t="s">
        <v>39</v>
      </c>
      <c r="C16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4" t="s">
        <v>34</v>
      </c>
      <c r="E164" t="s">
        <v>64</v>
      </c>
      <c r="F16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4">
        <f>Таблица2[[#This Row],[team-1-win]]+Таблица2[[#This Row],[team-2-win]]</f>
        <v>0</v>
      </c>
    </row>
    <row r="165" spans="1:7" x14ac:dyDescent="0.25">
      <c r="A165" t="s">
        <v>57</v>
      </c>
      <c r="B165" t="s">
        <v>39</v>
      </c>
      <c r="C16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5" t="s">
        <v>44</v>
      </c>
      <c r="E165" t="s">
        <v>46</v>
      </c>
      <c r="F16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5">
        <f>Таблица2[[#This Row],[team-1-win]]+Таблица2[[#This Row],[team-2-win]]</f>
        <v>0</v>
      </c>
    </row>
    <row r="166" spans="1:7" x14ac:dyDescent="0.25">
      <c r="A166" t="s">
        <v>57</v>
      </c>
      <c r="B166" t="s">
        <v>39</v>
      </c>
      <c r="C16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6" t="s">
        <v>44</v>
      </c>
      <c r="E166" t="s">
        <v>64</v>
      </c>
      <c r="F16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6">
        <f>Таблица2[[#This Row],[team-1-win]]+Таблица2[[#This Row],[team-2-win]]</f>
        <v>0</v>
      </c>
    </row>
    <row r="167" spans="1:7" x14ac:dyDescent="0.25">
      <c r="A167" t="s">
        <v>57</v>
      </c>
      <c r="B167" t="s">
        <v>39</v>
      </c>
      <c r="C16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7" t="s">
        <v>46</v>
      </c>
      <c r="E167" t="s">
        <v>64</v>
      </c>
      <c r="F16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7">
        <f>Таблица2[[#This Row],[team-1-win]]+Таблица2[[#This Row],[team-2-win]]</f>
        <v>0</v>
      </c>
    </row>
    <row r="168" spans="1:7" x14ac:dyDescent="0.25">
      <c r="A168" t="s">
        <v>49</v>
      </c>
      <c r="B168" t="s">
        <v>34</v>
      </c>
      <c r="C16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8" t="s">
        <v>44</v>
      </c>
      <c r="E168" t="s">
        <v>46</v>
      </c>
      <c r="F16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8">
        <f>Таблица2[[#This Row],[team-1-win]]+Таблица2[[#This Row],[team-2-win]]</f>
        <v>0</v>
      </c>
    </row>
    <row r="169" spans="1:7" x14ac:dyDescent="0.25">
      <c r="A169" t="s">
        <v>49</v>
      </c>
      <c r="B169" t="s">
        <v>34</v>
      </c>
      <c r="C16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9" t="s">
        <v>44</v>
      </c>
      <c r="E169" t="s">
        <v>64</v>
      </c>
      <c r="F16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9">
        <f>Таблица2[[#This Row],[team-1-win]]+Таблица2[[#This Row],[team-2-win]]</f>
        <v>0</v>
      </c>
    </row>
    <row r="170" spans="1:7" x14ac:dyDescent="0.25">
      <c r="A170" t="s">
        <v>49</v>
      </c>
      <c r="B170" t="s">
        <v>34</v>
      </c>
      <c r="C17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0" t="s">
        <v>44</v>
      </c>
      <c r="E170" t="s">
        <v>39</v>
      </c>
      <c r="F17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0">
        <f>Таблица2[[#This Row],[team-1-win]]+Таблица2[[#This Row],[team-2-win]]</f>
        <v>0</v>
      </c>
    </row>
    <row r="171" spans="1:7" x14ac:dyDescent="0.25">
      <c r="A171" t="s">
        <v>49</v>
      </c>
      <c r="B171" t="s">
        <v>34</v>
      </c>
      <c r="C17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1" t="s">
        <v>46</v>
      </c>
      <c r="E171" t="s">
        <v>64</v>
      </c>
      <c r="F17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1">
        <f>Таблица2[[#This Row],[team-1-win]]+Таблица2[[#This Row],[team-2-win]]</f>
        <v>0</v>
      </c>
    </row>
    <row r="172" spans="1:7" x14ac:dyDescent="0.25">
      <c r="A172" t="s">
        <v>49</v>
      </c>
      <c r="B172" t="s">
        <v>34</v>
      </c>
      <c r="C17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2" t="s">
        <v>46</v>
      </c>
      <c r="E172" t="s">
        <v>39</v>
      </c>
      <c r="F17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2">
        <f>Таблица2[[#This Row],[team-1-win]]+Таблица2[[#This Row],[team-2-win]]</f>
        <v>0</v>
      </c>
    </row>
    <row r="173" spans="1:7" x14ac:dyDescent="0.25">
      <c r="A173" t="s">
        <v>49</v>
      </c>
      <c r="B173" t="s">
        <v>34</v>
      </c>
      <c r="C17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3" t="s">
        <v>64</v>
      </c>
      <c r="E173" t="s">
        <v>39</v>
      </c>
      <c r="F17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3">
        <f>Таблица2[[#This Row],[team-1-win]]+Таблица2[[#This Row],[team-2-win]]</f>
        <v>0</v>
      </c>
    </row>
    <row r="174" spans="1:7" x14ac:dyDescent="0.25">
      <c r="A174" t="s">
        <v>49</v>
      </c>
      <c r="B174" t="s">
        <v>44</v>
      </c>
      <c r="C17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4" t="s">
        <v>34</v>
      </c>
      <c r="E174" t="s">
        <v>46</v>
      </c>
      <c r="F17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4">
        <f>Таблица2[[#This Row],[team-1-win]]+Таблица2[[#This Row],[team-2-win]]</f>
        <v>0</v>
      </c>
    </row>
    <row r="175" spans="1:7" x14ac:dyDescent="0.25">
      <c r="A175" t="s">
        <v>49</v>
      </c>
      <c r="B175" t="s">
        <v>44</v>
      </c>
      <c r="C17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5" t="s">
        <v>34</v>
      </c>
      <c r="E175" t="s">
        <v>64</v>
      </c>
      <c r="F17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5">
        <f>Таблица2[[#This Row],[team-1-win]]+Таблица2[[#This Row],[team-2-win]]</f>
        <v>0</v>
      </c>
    </row>
    <row r="176" spans="1:7" x14ac:dyDescent="0.25">
      <c r="A176" t="s">
        <v>49</v>
      </c>
      <c r="B176" t="s">
        <v>44</v>
      </c>
      <c r="C17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6" t="s">
        <v>34</v>
      </c>
      <c r="E176" t="s">
        <v>39</v>
      </c>
      <c r="F17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6">
        <f>Таблица2[[#This Row],[team-1-win]]+Таблица2[[#This Row],[team-2-win]]</f>
        <v>0</v>
      </c>
    </row>
    <row r="177" spans="1:7" x14ac:dyDescent="0.25">
      <c r="A177" t="s">
        <v>49</v>
      </c>
      <c r="B177" t="s">
        <v>44</v>
      </c>
      <c r="C17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7" t="s">
        <v>46</v>
      </c>
      <c r="E177" t="s">
        <v>64</v>
      </c>
      <c r="F17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7">
        <f>Таблица2[[#This Row],[team-1-win]]+Таблица2[[#This Row],[team-2-win]]</f>
        <v>0</v>
      </c>
    </row>
    <row r="178" spans="1:7" x14ac:dyDescent="0.25">
      <c r="A178" t="s">
        <v>49</v>
      </c>
      <c r="B178" t="s">
        <v>44</v>
      </c>
      <c r="C17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8" t="s">
        <v>46</v>
      </c>
      <c r="E178" t="s">
        <v>39</v>
      </c>
      <c r="F17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8">
        <f>Таблица2[[#This Row],[team-1-win]]+Таблица2[[#This Row],[team-2-win]]</f>
        <v>0</v>
      </c>
    </row>
    <row r="179" spans="1:7" x14ac:dyDescent="0.25">
      <c r="A179" t="s">
        <v>49</v>
      </c>
      <c r="B179" t="s">
        <v>44</v>
      </c>
      <c r="C17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9" t="s">
        <v>64</v>
      </c>
      <c r="E179" t="s">
        <v>39</v>
      </c>
      <c r="F17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9">
        <f>Таблица2[[#This Row],[team-1-win]]+Таблица2[[#This Row],[team-2-win]]</f>
        <v>0</v>
      </c>
    </row>
    <row r="180" spans="1:7" x14ac:dyDescent="0.25">
      <c r="A180" t="s">
        <v>49</v>
      </c>
      <c r="B180" t="s">
        <v>46</v>
      </c>
      <c r="C18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0" t="s">
        <v>34</v>
      </c>
      <c r="E180" t="s">
        <v>44</v>
      </c>
      <c r="F18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0">
        <f>Таблица2[[#This Row],[team-1-win]]+Таблица2[[#This Row],[team-2-win]]</f>
        <v>0</v>
      </c>
    </row>
    <row r="181" spans="1:7" x14ac:dyDescent="0.25">
      <c r="A181" t="s">
        <v>49</v>
      </c>
      <c r="B181" t="s">
        <v>46</v>
      </c>
      <c r="C18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1" t="s">
        <v>34</v>
      </c>
      <c r="E181" t="s">
        <v>64</v>
      </c>
      <c r="F18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1">
        <f>Таблица2[[#This Row],[team-1-win]]+Таблица2[[#This Row],[team-2-win]]</f>
        <v>0</v>
      </c>
    </row>
    <row r="182" spans="1:7" x14ac:dyDescent="0.25">
      <c r="A182" t="s">
        <v>49</v>
      </c>
      <c r="B182" t="s">
        <v>46</v>
      </c>
      <c r="C18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2" t="s">
        <v>34</v>
      </c>
      <c r="E182" t="s">
        <v>39</v>
      </c>
      <c r="F18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2">
        <f>Таблица2[[#This Row],[team-1-win]]+Таблица2[[#This Row],[team-2-win]]</f>
        <v>0</v>
      </c>
    </row>
    <row r="183" spans="1:7" x14ac:dyDescent="0.25">
      <c r="A183" t="s">
        <v>49</v>
      </c>
      <c r="B183" t="s">
        <v>46</v>
      </c>
      <c r="C18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3" t="s">
        <v>44</v>
      </c>
      <c r="E183" t="s">
        <v>64</v>
      </c>
      <c r="F18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3">
        <f>Таблица2[[#This Row],[team-1-win]]+Таблица2[[#This Row],[team-2-win]]</f>
        <v>0</v>
      </c>
    </row>
    <row r="184" spans="1:7" x14ac:dyDescent="0.25">
      <c r="A184" t="s">
        <v>49</v>
      </c>
      <c r="B184" t="s">
        <v>46</v>
      </c>
      <c r="C18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4" t="s">
        <v>44</v>
      </c>
      <c r="E184" t="s">
        <v>39</v>
      </c>
      <c r="F18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4">
        <f>Таблица2[[#This Row],[team-1-win]]+Таблица2[[#This Row],[team-2-win]]</f>
        <v>0</v>
      </c>
    </row>
    <row r="185" spans="1:7" x14ac:dyDescent="0.25">
      <c r="A185" t="s">
        <v>49</v>
      </c>
      <c r="B185" t="s">
        <v>46</v>
      </c>
      <c r="C18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5" t="s">
        <v>64</v>
      </c>
      <c r="E185" t="s">
        <v>39</v>
      </c>
      <c r="F18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5">
        <f>Таблица2[[#This Row],[team-1-win]]+Таблица2[[#This Row],[team-2-win]]</f>
        <v>0</v>
      </c>
    </row>
    <row r="186" spans="1:7" x14ac:dyDescent="0.25">
      <c r="A186" t="s">
        <v>49</v>
      </c>
      <c r="B186" t="s">
        <v>64</v>
      </c>
      <c r="C18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6" t="s">
        <v>34</v>
      </c>
      <c r="E186" t="s">
        <v>44</v>
      </c>
      <c r="F18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6">
        <f>Таблица2[[#This Row],[team-1-win]]+Таблица2[[#This Row],[team-2-win]]</f>
        <v>0</v>
      </c>
    </row>
    <row r="187" spans="1:7" x14ac:dyDescent="0.25">
      <c r="A187" t="s">
        <v>49</v>
      </c>
      <c r="B187" t="s">
        <v>64</v>
      </c>
      <c r="C18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7" t="s">
        <v>34</v>
      </c>
      <c r="E187" t="s">
        <v>46</v>
      </c>
      <c r="F18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7">
        <f>Таблица2[[#This Row],[team-1-win]]+Таблица2[[#This Row],[team-2-win]]</f>
        <v>0</v>
      </c>
    </row>
    <row r="188" spans="1:7" x14ac:dyDescent="0.25">
      <c r="A188" t="s">
        <v>49</v>
      </c>
      <c r="B188" t="s">
        <v>64</v>
      </c>
      <c r="C18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8" t="s">
        <v>34</v>
      </c>
      <c r="E188" t="s">
        <v>39</v>
      </c>
      <c r="F18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8">
        <f>Таблица2[[#This Row],[team-1-win]]+Таблица2[[#This Row],[team-2-win]]</f>
        <v>0</v>
      </c>
    </row>
    <row r="189" spans="1:7" x14ac:dyDescent="0.25">
      <c r="A189" t="s">
        <v>49</v>
      </c>
      <c r="B189" t="s">
        <v>64</v>
      </c>
      <c r="C18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9" t="s">
        <v>44</v>
      </c>
      <c r="E189" t="s">
        <v>46</v>
      </c>
      <c r="F18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9">
        <f>Таблица2[[#This Row],[team-1-win]]+Таблица2[[#This Row],[team-2-win]]</f>
        <v>0</v>
      </c>
    </row>
    <row r="190" spans="1:7" x14ac:dyDescent="0.25">
      <c r="A190" t="s">
        <v>49</v>
      </c>
      <c r="B190" t="s">
        <v>64</v>
      </c>
      <c r="C19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0" t="s">
        <v>44</v>
      </c>
      <c r="E190" t="s">
        <v>39</v>
      </c>
      <c r="F19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0">
        <f>Таблица2[[#This Row],[team-1-win]]+Таблица2[[#This Row],[team-2-win]]</f>
        <v>0</v>
      </c>
    </row>
    <row r="191" spans="1:7" x14ac:dyDescent="0.25">
      <c r="A191" t="s">
        <v>49</v>
      </c>
      <c r="B191" t="s">
        <v>64</v>
      </c>
      <c r="C19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1" t="s">
        <v>46</v>
      </c>
      <c r="E191" t="s">
        <v>39</v>
      </c>
      <c r="F19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1">
        <f>Таблица2[[#This Row],[team-1-win]]+Таблица2[[#This Row],[team-2-win]]</f>
        <v>0</v>
      </c>
    </row>
    <row r="192" spans="1:7" x14ac:dyDescent="0.25">
      <c r="A192" t="s">
        <v>49</v>
      </c>
      <c r="B192" t="s">
        <v>39</v>
      </c>
      <c r="C19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2" t="s">
        <v>34</v>
      </c>
      <c r="E192" t="s">
        <v>44</v>
      </c>
      <c r="F19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2">
        <f>Таблица2[[#This Row],[team-1-win]]+Таблица2[[#This Row],[team-2-win]]</f>
        <v>0</v>
      </c>
    </row>
    <row r="193" spans="1:7" x14ac:dyDescent="0.25">
      <c r="A193" t="s">
        <v>49</v>
      </c>
      <c r="B193" t="s">
        <v>39</v>
      </c>
      <c r="C19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3" t="s">
        <v>34</v>
      </c>
      <c r="E193" t="s">
        <v>46</v>
      </c>
      <c r="F19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3">
        <f>Таблица2[[#This Row],[team-1-win]]+Таблица2[[#This Row],[team-2-win]]</f>
        <v>0</v>
      </c>
    </row>
    <row r="194" spans="1:7" x14ac:dyDescent="0.25">
      <c r="A194" t="s">
        <v>49</v>
      </c>
      <c r="B194" t="s">
        <v>39</v>
      </c>
      <c r="C19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4" t="s">
        <v>34</v>
      </c>
      <c r="E194" t="s">
        <v>64</v>
      </c>
      <c r="F19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4">
        <f>Таблица2[[#This Row],[team-1-win]]+Таблица2[[#This Row],[team-2-win]]</f>
        <v>0</v>
      </c>
    </row>
    <row r="195" spans="1:7" x14ac:dyDescent="0.25">
      <c r="A195" t="s">
        <v>49</v>
      </c>
      <c r="B195" t="s">
        <v>39</v>
      </c>
      <c r="C19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5" t="s">
        <v>44</v>
      </c>
      <c r="E195" t="s">
        <v>46</v>
      </c>
      <c r="F19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5">
        <f>Таблица2[[#This Row],[team-1-win]]+Таблица2[[#This Row],[team-2-win]]</f>
        <v>0</v>
      </c>
    </row>
    <row r="196" spans="1:7" x14ac:dyDescent="0.25">
      <c r="A196" t="s">
        <v>49</v>
      </c>
      <c r="B196" t="s">
        <v>39</v>
      </c>
      <c r="C19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6" t="s">
        <v>44</v>
      </c>
      <c r="E196" t="s">
        <v>64</v>
      </c>
      <c r="F19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6">
        <f>Таблица2[[#This Row],[team-1-win]]+Таблица2[[#This Row],[team-2-win]]</f>
        <v>0</v>
      </c>
    </row>
    <row r="197" spans="1:7" x14ac:dyDescent="0.25">
      <c r="A197" t="s">
        <v>49</v>
      </c>
      <c r="B197" t="s">
        <v>39</v>
      </c>
      <c r="C19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7" t="s">
        <v>46</v>
      </c>
      <c r="E197" t="s">
        <v>64</v>
      </c>
      <c r="F19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7">
        <f>Таблица2[[#This Row],[team-1-win]]+Таблица2[[#This Row],[team-2-win]]</f>
        <v>0</v>
      </c>
    </row>
    <row r="198" spans="1:7" x14ac:dyDescent="0.25">
      <c r="A198" t="s">
        <v>34</v>
      </c>
      <c r="B198" t="s">
        <v>44</v>
      </c>
      <c r="C19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8" t="s">
        <v>46</v>
      </c>
      <c r="E198" t="s">
        <v>64</v>
      </c>
      <c r="F19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8">
        <f>Таблица2[[#This Row],[team-1-win]]+Таблица2[[#This Row],[team-2-win]]</f>
        <v>0</v>
      </c>
    </row>
    <row r="199" spans="1:7" x14ac:dyDescent="0.25">
      <c r="A199" t="s">
        <v>34</v>
      </c>
      <c r="B199" t="s">
        <v>44</v>
      </c>
      <c r="C19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9" t="s">
        <v>46</v>
      </c>
      <c r="E199" t="s">
        <v>39</v>
      </c>
      <c r="F19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9">
        <f>Таблица2[[#This Row],[team-1-win]]+Таблица2[[#This Row],[team-2-win]]</f>
        <v>0</v>
      </c>
    </row>
    <row r="200" spans="1:7" x14ac:dyDescent="0.25">
      <c r="A200" t="s">
        <v>34</v>
      </c>
      <c r="B200" t="s">
        <v>44</v>
      </c>
      <c r="C20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0" t="s">
        <v>64</v>
      </c>
      <c r="E200" t="s">
        <v>39</v>
      </c>
      <c r="F20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0">
        <f>Таблица2[[#This Row],[team-1-win]]+Таблица2[[#This Row],[team-2-win]]</f>
        <v>0</v>
      </c>
    </row>
    <row r="201" spans="1:7" x14ac:dyDescent="0.25">
      <c r="A201" t="s">
        <v>34</v>
      </c>
      <c r="B201" t="s">
        <v>46</v>
      </c>
      <c r="C20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1" t="s">
        <v>44</v>
      </c>
      <c r="E201" t="s">
        <v>64</v>
      </c>
      <c r="F20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1">
        <f>Таблица2[[#This Row],[team-1-win]]+Таблица2[[#This Row],[team-2-win]]</f>
        <v>0</v>
      </c>
    </row>
    <row r="202" spans="1:7" x14ac:dyDescent="0.25">
      <c r="A202" t="s">
        <v>34</v>
      </c>
      <c r="B202" t="s">
        <v>46</v>
      </c>
      <c r="C20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2" t="s">
        <v>44</v>
      </c>
      <c r="E202" t="s">
        <v>39</v>
      </c>
      <c r="F20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2">
        <f>Таблица2[[#This Row],[team-1-win]]+Таблица2[[#This Row],[team-2-win]]</f>
        <v>0</v>
      </c>
    </row>
    <row r="203" spans="1:7" x14ac:dyDescent="0.25">
      <c r="A203" t="s">
        <v>34</v>
      </c>
      <c r="B203" t="s">
        <v>46</v>
      </c>
      <c r="C20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3" t="s">
        <v>64</v>
      </c>
      <c r="E203" t="s">
        <v>39</v>
      </c>
      <c r="F20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3">
        <f>Таблица2[[#This Row],[team-1-win]]+Таблица2[[#This Row],[team-2-win]]</f>
        <v>0</v>
      </c>
    </row>
    <row r="204" spans="1:7" x14ac:dyDescent="0.25">
      <c r="A204" t="s">
        <v>34</v>
      </c>
      <c r="B204" t="s">
        <v>64</v>
      </c>
      <c r="C20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4" t="s">
        <v>44</v>
      </c>
      <c r="E204" t="s">
        <v>46</v>
      </c>
      <c r="F20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4">
        <f>Таблица2[[#This Row],[team-1-win]]+Таблица2[[#This Row],[team-2-win]]</f>
        <v>0</v>
      </c>
    </row>
    <row r="205" spans="1:7" x14ac:dyDescent="0.25">
      <c r="A205" t="s">
        <v>34</v>
      </c>
      <c r="B205" t="s">
        <v>64</v>
      </c>
      <c r="C20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5" t="s">
        <v>44</v>
      </c>
      <c r="E205" t="s">
        <v>39</v>
      </c>
      <c r="F20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5">
        <f>Таблица2[[#This Row],[team-1-win]]+Таблица2[[#This Row],[team-2-win]]</f>
        <v>0</v>
      </c>
    </row>
    <row r="206" spans="1:7" x14ac:dyDescent="0.25">
      <c r="A206" t="s">
        <v>34</v>
      </c>
      <c r="B206" t="s">
        <v>64</v>
      </c>
      <c r="C20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6" t="s">
        <v>46</v>
      </c>
      <c r="E206" t="s">
        <v>39</v>
      </c>
      <c r="F20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6">
        <f>Таблица2[[#This Row],[team-1-win]]+Таблица2[[#This Row],[team-2-win]]</f>
        <v>0</v>
      </c>
    </row>
    <row r="207" spans="1:7" x14ac:dyDescent="0.25">
      <c r="A207" t="s">
        <v>34</v>
      </c>
      <c r="B207" t="s">
        <v>39</v>
      </c>
      <c r="C20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7" t="s">
        <v>44</v>
      </c>
      <c r="E207" t="s">
        <v>46</v>
      </c>
      <c r="F20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7">
        <f>Таблица2[[#This Row],[team-1-win]]+Таблица2[[#This Row],[team-2-win]]</f>
        <v>0</v>
      </c>
    </row>
    <row r="208" spans="1:7" x14ac:dyDescent="0.25">
      <c r="A208" t="s">
        <v>34</v>
      </c>
      <c r="B208" t="s">
        <v>39</v>
      </c>
      <c r="C20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8" t="s">
        <v>44</v>
      </c>
      <c r="E208" t="s">
        <v>64</v>
      </c>
      <c r="F20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8">
        <f>Таблица2[[#This Row],[team-1-win]]+Таблица2[[#This Row],[team-2-win]]</f>
        <v>0</v>
      </c>
    </row>
    <row r="209" spans="1:7" x14ac:dyDescent="0.25">
      <c r="A209" t="s">
        <v>34</v>
      </c>
      <c r="B209" t="s">
        <v>39</v>
      </c>
      <c r="C20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9" t="s">
        <v>46</v>
      </c>
      <c r="E209" t="s">
        <v>64</v>
      </c>
      <c r="F20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9">
        <f>Таблица2[[#This Row],[team-1-win]]+Таблица2[[#This Row],[team-2-win]]</f>
        <v>0</v>
      </c>
    </row>
    <row r="210" spans="1:7" x14ac:dyDescent="0.25">
      <c r="A210" t="s">
        <v>44</v>
      </c>
      <c r="B210" t="s">
        <v>46</v>
      </c>
      <c r="C2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0" t="s">
        <v>64</v>
      </c>
      <c r="E210" t="s">
        <v>39</v>
      </c>
      <c r="F2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10">
        <f>Таблица2[[#This Row],[team-1-win]]+Таблица2[[#This Row],[team-2-win]]</f>
        <v>0</v>
      </c>
    </row>
    <row r="211" spans="1:7" x14ac:dyDescent="0.25">
      <c r="A211" t="s">
        <v>44</v>
      </c>
      <c r="B211" t="s">
        <v>64</v>
      </c>
      <c r="C2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1" t="s">
        <v>46</v>
      </c>
      <c r="E211" t="s">
        <v>39</v>
      </c>
      <c r="F2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11">
        <f>Таблица2[[#This Row],[team-1-win]]+Таблица2[[#This Row],[team-2-win]]</f>
        <v>0</v>
      </c>
    </row>
    <row r="212" spans="1:7" x14ac:dyDescent="0.25">
      <c r="A212" t="s">
        <v>44</v>
      </c>
      <c r="B212" t="s">
        <v>39</v>
      </c>
      <c r="C2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2" t="s">
        <v>46</v>
      </c>
      <c r="E212" t="s">
        <v>64</v>
      </c>
      <c r="F2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12">
        <f>Таблица2[[#This Row],[team-1-win]]+Таблица2[[#This Row],[team-2-win]]</f>
        <v>0</v>
      </c>
    </row>
  </sheetData>
  <mergeCells count="2">
    <mergeCell ref="A1:G1"/>
    <mergeCell ref="I1:M1"/>
  </mergeCells>
  <phoneticPr fontId="3" type="noConversion"/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885E-AA77-4085-866A-0C5D013A86CB}">
  <dimension ref="A1:D9"/>
  <sheetViews>
    <sheetView workbookViewId="0">
      <selection activeCell="C15" sqref="C15"/>
    </sheetView>
  </sheetViews>
  <sheetFormatPr defaultRowHeight="15" x14ac:dyDescent="0.25"/>
  <cols>
    <col min="1" max="1" width="16" bestFit="1" customWidth="1"/>
    <col min="2" max="2" width="9.42578125" bestFit="1" customWidth="1"/>
    <col min="3" max="3" width="7.42578125" bestFit="1" customWidth="1"/>
    <col min="4" max="4" width="10.85546875" style="6" bestFit="1" customWidth="1"/>
    <col min="7" max="7" width="23.140625" bestFit="1" customWidth="1"/>
    <col min="8" max="8" width="8" bestFit="1" customWidth="1"/>
    <col min="9" max="9" width="7.42578125" bestFit="1" customWidth="1"/>
    <col min="10" max="10" width="18.42578125" bestFit="1" customWidth="1"/>
    <col min="11" max="11" width="15.5703125" bestFit="1" customWidth="1"/>
  </cols>
  <sheetData>
    <row r="1" spans="1:4" x14ac:dyDescent="0.25">
      <c r="A1" t="s">
        <v>124</v>
      </c>
      <c r="B1" t="s">
        <v>59</v>
      </c>
      <c r="C1" t="s">
        <v>80</v>
      </c>
      <c r="D1" s="6" t="s">
        <v>81</v>
      </c>
    </row>
    <row r="2" spans="1:4" x14ac:dyDescent="0.25">
      <c r="A2" t="s">
        <v>54</v>
      </c>
      <c r="B2">
        <f>COUNTIF(Таблица1[winner1],Table4[[#This Row],[hero]])+COUNTIF(Таблица1[winner2],Table4[[#This Row],[hero]])+COUNTIF(Таблица1[loser1],Table4[[#This Row],[hero]])+COUNTIF(Таблица1[loser2],Table4[[#This Row],[hero]])</f>
        <v>20</v>
      </c>
      <c r="C2">
        <f>COUNTIF(Таблица1[winner1],Table4[[#This Row],[hero]])+COUNTIF(Таблица1[winner2],Table4[[#This Row],[hero]])</f>
        <v>16</v>
      </c>
      <c r="D2" s="6">
        <f>Table4[[#This Row],[wins]]/Table4[[#This Row],[battles]]</f>
        <v>0.8</v>
      </c>
    </row>
    <row r="3" spans="1:4" x14ac:dyDescent="0.25">
      <c r="A3" t="s">
        <v>57</v>
      </c>
      <c r="B3">
        <f>COUNTIF(Таблица1[winner1],Table4[[#This Row],[hero]])+COUNTIF(Таблица1[winner2],Table4[[#This Row],[hero]])+COUNTIF(Таблица1[loser1],Table4[[#This Row],[hero]])+COUNTIF(Таблица1[loser2],Table4[[#This Row],[hero]])</f>
        <v>20</v>
      </c>
      <c r="C3">
        <f>COUNTIF(Таблица1[winner1],Table4[[#This Row],[hero]])+COUNTIF(Таблица1[winner2],Table4[[#This Row],[hero]])</f>
        <v>15</v>
      </c>
      <c r="D3" s="6">
        <f>Table4[[#This Row],[wins]]/Table4[[#This Row],[battles]]</f>
        <v>0.75</v>
      </c>
    </row>
    <row r="4" spans="1:4" x14ac:dyDescent="0.25">
      <c r="A4" t="s">
        <v>49</v>
      </c>
      <c r="B4">
        <f>COUNTIF(Таблица1[winner1],Table4[[#This Row],[hero]])+COUNTIF(Таблица1[winner2],Table4[[#This Row],[hero]])+COUNTIF(Таблица1[loser1],Table4[[#This Row],[hero]])+COUNTIF(Таблица1[loser2],Table4[[#This Row],[hero]])</f>
        <v>10</v>
      </c>
      <c r="C4">
        <f>COUNTIF(Таблица1[winner1],Table4[[#This Row],[hero]])+COUNTIF(Таблица1[winner2],Table4[[#This Row],[hero]])</f>
        <v>3</v>
      </c>
      <c r="D4" s="6">
        <f>Table4[[#This Row],[wins]]/Table4[[#This Row],[battles]]</f>
        <v>0.3</v>
      </c>
    </row>
    <row r="5" spans="1:4" x14ac:dyDescent="0.25">
      <c r="A5" t="s">
        <v>34</v>
      </c>
      <c r="B5">
        <f>COUNTIF(Таблица1[winner1],Table4[[#This Row],[hero]])+COUNTIF(Таблица1[winner2],Table4[[#This Row],[hero]])+COUNTIF(Таблица1[loser1],Table4[[#This Row],[hero]])+COUNTIF(Таблица1[loser2],Table4[[#This Row],[hero]])</f>
        <v>6</v>
      </c>
      <c r="C5">
        <f>COUNTIF(Таблица1[winner1],Table4[[#This Row],[hero]])+COUNTIF(Таблица1[winner2],Table4[[#This Row],[hero]])</f>
        <v>3</v>
      </c>
      <c r="D5" s="6">
        <f>Table4[[#This Row],[wins]]/Table4[[#This Row],[battles]]</f>
        <v>0.5</v>
      </c>
    </row>
    <row r="6" spans="1:4" x14ac:dyDescent="0.25">
      <c r="A6" t="s">
        <v>44</v>
      </c>
      <c r="B6">
        <f>COUNTIF(Таблица1[winner1],Table4[[#This Row],[hero]])+COUNTIF(Таблица1[winner2],Table4[[#This Row],[hero]])+COUNTIF(Таблица1[loser1],Table4[[#This Row],[hero]])+COUNTIF(Таблица1[loser2],Table4[[#This Row],[hero]])</f>
        <v>6</v>
      </c>
      <c r="C6">
        <f>COUNTIF(Таблица1[winner1],Table4[[#This Row],[hero]])+COUNTIF(Таблица1[winner2],Table4[[#This Row],[hero]])</f>
        <v>1</v>
      </c>
      <c r="D6" s="6">
        <f>Table4[[#This Row],[wins]]/Table4[[#This Row],[battles]]</f>
        <v>0.16666666666666666</v>
      </c>
    </row>
    <row r="7" spans="1:4" x14ac:dyDescent="0.25">
      <c r="A7" t="s">
        <v>46</v>
      </c>
      <c r="B7">
        <f>COUNTIF(Таблица1[winner1],Table4[[#This Row],[hero]])+COUNTIF(Таблица1[winner2],Table4[[#This Row],[hero]])+COUNTIF(Таблица1[loser1],Table4[[#This Row],[hero]])+COUNTIF(Таблица1[loser2],Table4[[#This Row],[hero]])</f>
        <v>6</v>
      </c>
      <c r="C7">
        <f>COUNTIF(Таблица1[winner1],Table4[[#This Row],[hero]])+COUNTIF(Таблица1[winner2],Table4[[#This Row],[hero]])</f>
        <v>1</v>
      </c>
      <c r="D7" s="6">
        <f>Table4[[#This Row],[wins]]/Table4[[#This Row],[battles]]</f>
        <v>0.16666666666666666</v>
      </c>
    </row>
    <row r="8" spans="1:4" x14ac:dyDescent="0.25">
      <c r="A8" t="s">
        <v>64</v>
      </c>
      <c r="B8">
        <f>COUNTIF(Таблица1[winner1],Table4[[#This Row],[hero]])+COUNTIF(Таблица1[winner2],Table4[[#This Row],[hero]])+COUNTIF(Таблица1[loser1],Table4[[#This Row],[hero]])+COUNTIF(Таблица1[loser2],Table4[[#This Row],[hero]])</f>
        <v>6</v>
      </c>
      <c r="C8">
        <f>COUNTIF(Таблица1[winner1],Table4[[#This Row],[hero]])+COUNTIF(Таблица1[winner2],Table4[[#This Row],[hero]])</f>
        <v>0</v>
      </c>
      <c r="D8" s="6">
        <f>Table4[[#This Row],[wins]]/Table4[[#This Row],[battles]]</f>
        <v>0</v>
      </c>
    </row>
    <row r="9" spans="1:4" x14ac:dyDescent="0.25">
      <c r="A9" t="s">
        <v>39</v>
      </c>
      <c r="B9">
        <f>COUNTIF(Таблица1[winner1],Table4[[#This Row],[hero]])+COUNTIF(Таблица1[winner2],Table4[[#This Row],[hero]])+COUNTIF(Таблица1[loser1],Table4[[#This Row],[hero]])+COUNTIF(Таблица1[loser2],Table4[[#This Row],[hero]])</f>
        <v>6</v>
      </c>
      <c r="C9">
        <f>COUNTIF(Таблица1[winner1],Table4[[#This Row],[hero]])+COUNTIF(Таблица1[winner2],Table4[[#This Row],[hero]])</f>
        <v>1</v>
      </c>
      <c r="D9" s="6">
        <f>Table4[[#This Row],[wins]]/Table4[[#This Row],[battles]]</f>
        <v>0.16666666666666666</v>
      </c>
    </row>
  </sheetData>
  <conditionalFormatting sqref="D2:D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0B43-A2BB-4CF9-9C6C-55527BC15CFA}">
  <dimension ref="A1:E19"/>
  <sheetViews>
    <sheetView workbookViewId="0">
      <selection activeCell="D18" sqref="D18"/>
    </sheetView>
  </sheetViews>
  <sheetFormatPr defaultRowHeight="15" x14ac:dyDescent="0.25"/>
  <cols>
    <col min="1" max="1" width="23.140625" bestFit="1" customWidth="1"/>
    <col min="2" max="2" width="8" bestFit="1" customWidth="1"/>
    <col min="4" max="4" width="18.42578125" style="6" bestFit="1" customWidth="1"/>
    <col min="5" max="5" width="15.5703125" style="6" bestFit="1" customWidth="1"/>
  </cols>
  <sheetData>
    <row r="1" spans="1:5" x14ac:dyDescent="0.25">
      <c r="A1" t="s">
        <v>131</v>
      </c>
      <c r="B1" t="s">
        <v>132</v>
      </c>
      <c r="C1" t="s">
        <v>80</v>
      </c>
      <c r="D1" s="6" t="s">
        <v>139</v>
      </c>
      <c r="E1" s="6" t="s">
        <v>140</v>
      </c>
    </row>
    <row r="2" spans="1:5" x14ac:dyDescent="0.25">
      <c r="A2" t="s">
        <v>55</v>
      </c>
      <c r="B2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</f>
        <v>20</v>
      </c>
      <c r="C2">
        <f>COUNTIF(Таблица1[winner1-ability1],Table7[[#This Row],[ability]])+COUNTIF(Таблица1[winner2-ability1],Table7[[#This Row],[ability]])</f>
        <v>16</v>
      </c>
      <c r="D2" s="6">
        <f>IF(SUM(Table7[[#This Row],[takes]]) &gt; 0,Table7[[#This Row],[takes]]/SUM(Table7[takes]),0)</f>
        <v>1</v>
      </c>
      <c r="E2" s="6">
        <f>IF(Table7[[#This Row],[takes]]&gt;0,Table7[[#This Row],[wins]]/Table7[[#This Row],[takes]],0)</f>
        <v>0.8</v>
      </c>
    </row>
    <row r="3" spans="1:5" x14ac:dyDescent="0.25">
      <c r="A3" t="s">
        <v>133</v>
      </c>
      <c r="B3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</f>
        <v>0</v>
      </c>
      <c r="C3">
        <f>COUNTIF(Таблица1[winner1-ability1],Table7[[#This Row],[ability]])+COUNTIF(Таблица1[winner2-ability1],Table7[[#This Row],[ability]])</f>
        <v>0</v>
      </c>
      <c r="D3" s="6">
        <f>IF(SUM(Table7[[#This Row],[takes]]) &gt; 0,Table7[[#This Row],[takes]]/SUM(Table7[takes]),0)</f>
        <v>0</v>
      </c>
      <c r="E3" s="6">
        <f>IF(Table7[[#This Row],[takes]]&gt;0,Table7[[#This Row],[wins]]/Table7[[#This Row],[takes]],0)</f>
        <v>0</v>
      </c>
    </row>
    <row r="4" spans="1:5" x14ac:dyDescent="0.25">
      <c r="A4" t="s">
        <v>134</v>
      </c>
      <c r="B4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</f>
        <v>0</v>
      </c>
      <c r="C4">
        <f>COUNTIF(Таблица1[winner1-ability1],Table7[[#This Row],[ability]])+COUNTIF(Таблица1[winner2-ability1],Table7[[#This Row],[ability]])</f>
        <v>0</v>
      </c>
      <c r="D4" s="6">
        <f>IF(SUM(Table7[[#This Row],[takes]]) &gt; 0,Table7[[#This Row],[takes]]/SUM(Table7[takes]),0)</f>
        <v>0</v>
      </c>
      <c r="E4" s="6">
        <f>IF(Table7[[#This Row],[takes]]&gt;0,Table7[[#This Row],[wins]]/Table7[[#This Row],[takes]],0)</f>
        <v>0</v>
      </c>
    </row>
    <row r="6" spans="1:5" x14ac:dyDescent="0.25">
      <c r="A6" s="14" t="s">
        <v>131</v>
      </c>
      <c r="B6" s="15" t="s">
        <v>132</v>
      </c>
      <c r="C6" s="15" t="s">
        <v>80</v>
      </c>
      <c r="D6" s="16" t="s">
        <v>139</v>
      </c>
      <c r="E6" s="16" t="s">
        <v>140</v>
      </c>
    </row>
    <row r="7" spans="1:5" x14ac:dyDescent="0.25">
      <c r="A7" s="2" t="s">
        <v>56</v>
      </c>
      <c r="B7" s="2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</f>
        <v>4</v>
      </c>
      <c r="C7" s="2">
        <f>COUNTIF(Таблица1[winner1-ability2],Table8[[#This Row],[ability]])+COUNTIF(Таблица1[winner2-ability2],Table8[[#This Row],[ability]])</f>
        <v>4</v>
      </c>
      <c r="D7" s="19">
        <f>IF(SUM(Table8[[#This Row],[takes]]) &gt; 0,Table8[[#This Row],[takes]]/SUM(Table8[takes]),0)</f>
        <v>0.2857142857142857</v>
      </c>
      <c r="E7" s="19">
        <f>IF(Table8[[#This Row],[takes]]&gt;0,Table8[[#This Row],[wins]]/Table8[[#This Row],[takes]],0)</f>
        <v>1</v>
      </c>
    </row>
    <row r="8" spans="1:5" x14ac:dyDescent="0.25">
      <c r="A8" t="s">
        <v>85</v>
      </c>
      <c r="B8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</f>
        <v>10</v>
      </c>
      <c r="C8">
        <f>COUNTIF(Таблица1[winner1-ability2],Table8[[#This Row],[ability]])+COUNTIF(Таблица1[winner2-ability2],Table8[[#This Row],[ability]])</f>
        <v>8</v>
      </c>
      <c r="D8" s="6">
        <f>IF(SUM(Table8[[#This Row],[takes]]) &gt; 0,Table8[[#This Row],[takes]]/SUM(Table8[takes]),0)</f>
        <v>0.7142857142857143</v>
      </c>
      <c r="E8" s="6">
        <f>IF(Table8[[#This Row],[takes]]&gt;0,Table8[[#This Row],[wins]]/Table8[[#This Row],[takes]],0)</f>
        <v>0.8</v>
      </c>
    </row>
    <row r="9" spans="1:5" x14ac:dyDescent="0.25">
      <c r="A9" s="17" t="s">
        <v>135</v>
      </c>
      <c r="B9" s="17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</f>
        <v>0</v>
      </c>
      <c r="C9" s="17">
        <f>COUNTIF(Таблица1[winner1-ability2],Table8[[#This Row],[ability]])+COUNTIF(Таблица1[winner2-ability2],Table8[[#This Row],[ability]])</f>
        <v>0</v>
      </c>
      <c r="D9" s="20">
        <f>IF(SUM(Table8[[#This Row],[takes]]) &gt; 0,Table8[[#This Row],[takes]]/SUM(Table8[takes]),0)</f>
        <v>0</v>
      </c>
      <c r="E9" s="20">
        <f>IF(Table8[[#This Row],[takes]]&gt;0,Table8[[#This Row],[wins]]/Table8[[#This Row],[takes]],0)</f>
        <v>0</v>
      </c>
    </row>
    <row r="11" spans="1:5" x14ac:dyDescent="0.25">
      <c r="A11" s="14" t="s">
        <v>131</v>
      </c>
      <c r="B11" s="15" t="s">
        <v>132</v>
      </c>
      <c r="C11" s="15" t="s">
        <v>80</v>
      </c>
      <c r="D11" s="16" t="s">
        <v>139</v>
      </c>
      <c r="E11" s="16" t="s">
        <v>140</v>
      </c>
    </row>
    <row r="12" spans="1:5" x14ac:dyDescent="0.25">
      <c r="A12" s="1" t="s">
        <v>136</v>
      </c>
      <c r="B12" s="1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</f>
        <v>0</v>
      </c>
      <c r="C12" s="1">
        <f>COUNTIF(Таблица1[winner1-ability3],Table9[[#This Row],[ability]])+COUNTIF(Таблица1[winner2-ability3],Table9[[#This Row],[ability]])</f>
        <v>0</v>
      </c>
      <c r="D12" s="21">
        <f>IF(SUM(Table9[[#This Row],[takes]]) &gt; 0,Table9[[#This Row],[takes]]/SUM(Table9[takes]),0)</f>
        <v>0</v>
      </c>
      <c r="E12" s="21">
        <f>IF(Table9[[#This Row],[takes]]&gt;0,Table9[[#This Row],[wins]]/Table9[[#This Row],[takes]],0)</f>
        <v>0</v>
      </c>
    </row>
    <row r="13" spans="1:5" x14ac:dyDescent="0.25">
      <c r="A13" s="2" t="s">
        <v>123</v>
      </c>
      <c r="B13" s="2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</f>
        <v>1</v>
      </c>
      <c r="C13" s="2">
        <f>COUNTIF(Таблица1[winner1-ability3],Table9[[#This Row],[ability]])+COUNTIF(Таблица1[winner2-ability3],Table9[[#This Row],[ability]])</f>
        <v>1</v>
      </c>
      <c r="D13" s="19">
        <f>IF(SUM(Table9[[#This Row],[takes]]) &gt; 0,Table9[[#This Row],[takes]]/SUM(Table9[takes]),0)</f>
        <v>0.5</v>
      </c>
      <c r="E13" s="19">
        <f>IF(Table9[[#This Row],[takes]]&gt;0,Table9[[#This Row],[wins]]/Table9[[#This Row],[takes]],0)</f>
        <v>1</v>
      </c>
    </row>
    <row r="14" spans="1:5" x14ac:dyDescent="0.25">
      <c r="A14" s="18" t="s">
        <v>109</v>
      </c>
      <c r="B14" s="18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</f>
        <v>1</v>
      </c>
      <c r="C14" s="18">
        <f>COUNTIF(Таблица1[winner1-ability3],Table9[[#This Row],[ability]])+COUNTIF(Таблица1[winner2-ability3],Table9[[#This Row],[ability]])</f>
        <v>1</v>
      </c>
      <c r="D14" s="22">
        <f>IF(SUM(Table9[[#This Row],[takes]]) &gt; 0,Table9[[#This Row],[takes]]/SUM(Table9[takes]),0)</f>
        <v>0.5</v>
      </c>
      <c r="E14" s="22">
        <f>IF(Table9[[#This Row],[takes]]&gt;0,Table9[[#This Row],[wins]]/Table9[[#This Row],[takes]],0)</f>
        <v>1</v>
      </c>
    </row>
    <row r="16" spans="1:5" x14ac:dyDescent="0.25">
      <c r="A16" s="14" t="s">
        <v>131</v>
      </c>
      <c r="B16" s="15" t="s">
        <v>132</v>
      </c>
      <c r="C16" s="15" t="s">
        <v>80</v>
      </c>
      <c r="D16" s="16" t="s">
        <v>139</v>
      </c>
      <c r="E16" s="16" t="s">
        <v>140</v>
      </c>
    </row>
    <row r="17" spans="1:5" x14ac:dyDescent="0.25">
      <c r="A17" s="2" t="s">
        <v>110</v>
      </c>
      <c r="B17" s="2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</f>
        <v>2</v>
      </c>
      <c r="C17" s="2">
        <f>COUNTIF(Таблица1[winner1-ability4],Table10[[#This Row],[ability]])+COUNTIF(Таблица1[winner2-ability4],Table10[[#This Row],[ability]])</f>
        <v>2</v>
      </c>
      <c r="D17" s="19">
        <f>IF(SUM(Table10[[#This Row],[takes]]) &gt; 0,Table10[[#This Row],[takes]]/SUM(Table10[takes]),0)</f>
        <v>1</v>
      </c>
      <c r="E17" s="19">
        <f>IF(Table10[[#This Row],[takes]]&gt;0,Table10[[#This Row],[wins]]/Table10[[#This Row],[takes]],0)</f>
        <v>1</v>
      </c>
    </row>
    <row r="18" spans="1:5" x14ac:dyDescent="0.25">
      <c r="A18" s="2" t="s">
        <v>137</v>
      </c>
      <c r="B18" s="2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</f>
        <v>0</v>
      </c>
      <c r="C18" s="2">
        <f>COUNTIF(Таблица1[winner1-ability4],Table10[[#This Row],[ability]])+COUNTIF(Таблица1[winner2-ability4],Table10[[#This Row],[ability]])</f>
        <v>0</v>
      </c>
      <c r="D18" s="19">
        <f>IF(SUM(Table10[[#This Row],[takes]]) &gt; 0,Table10[[#This Row],[takes]]/SUM(Table10[takes]),0)</f>
        <v>0</v>
      </c>
      <c r="E18" s="19">
        <f>IF(Table10[[#This Row],[takes]]&gt;0,Table10[[#This Row],[wins]]/Table10[[#This Row],[takes]],0)</f>
        <v>0</v>
      </c>
    </row>
    <row r="19" spans="1:5" x14ac:dyDescent="0.25">
      <c r="A19" s="17" t="s">
        <v>138</v>
      </c>
      <c r="B19" s="17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</f>
        <v>0</v>
      </c>
      <c r="C19" s="17">
        <f>COUNTIF(Таблица1[winner1-ability4],Table10[[#This Row],[ability]])+COUNTIF(Таблица1[winner2-ability4],Table10[[#This Row],[ability]])</f>
        <v>0</v>
      </c>
      <c r="D19" s="20">
        <f>IF(SUM(Table10[[#This Row],[takes]]) &gt; 0,Table10[[#This Row],[takes]]/SUM(Table10[takes]),0)</f>
        <v>0</v>
      </c>
      <c r="E19" s="20">
        <f>IF(Table10[[#This Row],[takes]]&gt;0,Table10[[#This Row],[wins]]/Table10[[#This Row],[takes]],0)</f>
        <v>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CCE0E-6D00-4D3D-AC55-B99D03669447}">
  <dimension ref="A1:E19"/>
  <sheetViews>
    <sheetView workbookViewId="0">
      <selection activeCell="D18" sqref="D18"/>
    </sheetView>
  </sheetViews>
  <sheetFormatPr defaultRowHeight="15" x14ac:dyDescent="0.25"/>
  <cols>
    <col min="1" max="1" width="23.140625" bestFit="1" customWidth="1"/>
    <col min="2" max="2" width="8" bestFit="1" customWidth="1"/>
    <col min="4" max="4" width="18.42578125" style="6" bestFit="1" customWidth="1"/>
    <col min="5" max="5" width="15.5703125" style="6" bestFit="1" customWidth="1"/>
  </cols>
  <sheetData>
    <row r="1" spans="1:5" x14ac:dyDescent="0.25">
      <c r="A1" t="s">
        <v>131</v>
      </c>
      <c r="B1" t="s">
        <v>132</v>
      </c>
      <c r="C1" t="s">
        <v>80</v>
      </c>
      <c r="D1" s="6" t="s">
        <v>139</v>
      </c>
      <c r="E1" s="6" t="s">
        <v>140</v>
      </c>
    </row>
    <row r="2" spans="1:5" x14ac:dyDescent="0.25">
      <c r="A2" t="s">
        <v>69</v>
      </c>
      <c r="B2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</f>
        <v>17</v>
      </c>
      <c r="C2">
        <f>COUNTIF(Таблица1[winner1-ability1],Table712[[#This Row],[ability]])+COUNTIF(Таблица1[winner2-ability1],Table712[[#This Row],[ability]])</f>
        <v>12</v>
      </c>
      <c r="D2" s="6">
        <f>IF(SUM(Table712[[#This Row],[takes]]) &gt; 0,Table712[[#This Row],[takes]]/SUM(Table712[takes]),0)</f>
        <v>0.85</v>
      </c>
      <c r="E2" s="6">
        <f>IF(Table712[[#This Row],[takes]]&gt;0,Table712[[#This Row],[wins]]/Table712[[#This Row],[takes]],0)</f>
        <v>0.70588235294117652</v>
      </c>
    </row>
    <row r="3" spans="1:5" x14ac:dyDescent="0.25">
      <c r="A3" t="s">
        <v>142</v>
      </c>
      <c r="B3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</f>
        <v>1</v>
      </c>
      <c r="C3">
        <f>COUNTIF(Таблица1[winner1-ability1],Table712[[#This Row],[ability]])+COUNTIF(Таблица1[winner2-ability1],Table712[[#This Row],[ability]])</f>
        <v>1</v>
      </c>
      <c r="D3" s="6">
        <f>IF(SUM(Table712[[#This Row],[takes]]) &gt; 0,Table712[[#This Row],[takes]]/SUM(Table712[takes]),0)</f>
        <v>0.05</v>
      </c>
      <c r="E3" s="6">
        <f>IF(Table712[[#This Row],[takes]]&gt;0,Table712[[#This Row],[wins]]/Table712[[#This Row],[takes]],0)</f>
        <v>1</v>
      </c>
    </row>
    <row r="4" spans="1:5" x14ac:dyDescent="0.25">
      <c r="A4" t="s">
        <v>58</v>
      </c>
      <c r="B4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</f>
        <v>2</v>
      </c>
      <c r="C4">
        <f>COUNTIF(Таблица1[winner1-ability1],Table712[[#This Row],[ability]])+COUNTIF(Таблица1[winner2-ability1],Table712[[#This Row],[ability]])</f>
        <v>2</v>
      </c>
      <c r="D4" s="6">
        <f>IF(SUM(Table712[[#This Row],[takes]]) &gt; 0,Table712[[#This Row],[takes]]/SUM(Table712[takes]),0)</f>
        <v>0.1</v>
      </c>
      <c r="E4" s="6">
        <f>IF(Table712[[#This Row],[takes]]&gt;0,Table712[[#This Row],[wins]]/Table712[[#This Row],[takes]],0)</f>
        <v>1</v>
      </c>
    </row>
    <row r="6" spans="1:5" x14ac:dyDescent="0.25">
      <c r="A6" s="14" t="s">
        <v>131</v>
      </c>
      <c r="B6" s="15" t="s">
        <v>132</v>
      </c>
      <c r="C6" s="15" t="s">
        <v>80</v>
      </c>
      <c r="D6" s="16" t="s">
        <v>139</v>
      </c>
      <c r="E6" s="16" t="s">
        <v>140</v>
      </c>
    </row>
    <row r="7" spans="1:5" x14ac:dyDescent="0.25">
      <c r="A7" s="2" t="s">
        <v>70</v>
      </c>
      <c r="B7" s="2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</f>
        <v>9</v>
      </c>
      <c r="C7" s="2">
        <f>COUNTIF(Таблица1[winner1-ability2],Table813[[#This Row],[ability]])+COUNTIF(Таблица1[winner2-ability2],Table813[[#This Row],[ability]])</f>
        <v>6</v>
      </c>
      <c r="D7" s="19">
        <f>IF(SUM(Table813[[#This Row],[takes]]) &gt; 0,Table813[[#This Row],[takes]]/SUM(Table813[takes]),0)</f>
        <v>1</v>
      </c>
      <c r="E7" s="19">
        <f>IF(Table813[[#This Row],[takes]]&gt;0,Table813[[#This Row],[wins]]/Table813[[#This Row],[takes]],0)</f>
        <v>0.66666666666666663</v>
      </c>
    </row>
    <row r="8" spans="1:5" x14ac:dyDescent="0.25">
      <c r="A8" t="s">
        <v>143</v>
      </c>
      <c r="B8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</f>
        <v>0</v>
      </c>
      <c r="C8">
        <f>COUNTIF(Таблица1[winner1-ability2],Table813[[#This Row],[ability]])+COUNTIF(Таблица1[winner2-ability2],Table813[[#This Row],[ability]])</f>
        <v>0</v>
      </c>
      <c r="D8" s="6">
        <f>IF(SUM(Table813[[#This Row],[takes]]) &gt; 0,Table813[[#This Row],[takes]]/SUM(Table813[takes]),0)</f>
        <v>0</v>
      </c>
      <c r="E8" s="6">
        <f>IF(Table813[[#This Row],[takes]]&gt;0,Table813[[#This Row],[wins]]/Table813[[#This Row],[takes]],0)</f>
        <v>0</v>
      </c>
    </row>
    <row r="9" spans="1:5" x14ac:dyDescent="0.25">
      <c r="A9" s="17" t="s">
        <v>144</v>
      </c>
      <c r="B9" s="17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</f>
        <v>0</v>
      </c>
      <c r="C9" s="17">
        <f>COUNTIF(Таблица1[winner1-ability2],Table813[[#This Row],[ability]])+COUNTIF(Таблица1[winner2-ability2],Table813[[#This Row],[ability]])</f>
        <v>0</v>
      </c>
      <c r="D9" s="20">
        <f>IF(SUM(Table813[[#This Row],[takes]]) &gt; 0,Table813[[#This Row],[takes]]/SUM(Table813[takes]),0)</f>
        <v>0</v>
      </c>
      <c r="E9" s="20">
        <f>IF(Table813[[#This Row],[takes]]&gt;0,Table813[[#This Row],[wins]]/Table813[[#This Row],[takes]],0)</f>
        <v>0</v>
      </c>
    </row>
    <row r="11" spans="1:5" x14ac:dyDescent="0.25">
      <c r="A11" s="14" t="s">
        <v>131</v>
      </c>
      <c r="B11" s="15" t="s">
        <v>132</v>
      </c>
      <c r="C11" s="15" t="s">
        <v>80</v>
      </c>
      <c r="D11" s="16" t="s">
        <v>139</v>
      </c>
      <c r="E11" s="16" t="s">
        <v>140</v>
      </c>
    </row>
    <row r="12" spans="1:5" x14ac:dyDescent="0.25">
      <c r="A12" s="1" t="s">
        <v>145</v>
      </c>
      <c r="B12" s="1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</f>
        <v>0</v>
      </c>
      <c r="C12" s="1">
        <f>COUNTIF(Таблица1[winner1-ability3],Table914[[#This Row],[ability]])+COUNTIF(Таблица1[winner2-ability3],Table914[[#This Row],[ability]])</f>
        <v>0</v>
      </c>
      <c r="D12" s="21">
        <f>IF(SUM(Table914[[#This Row],[takes]]) &gt; 0,Table914[[#This Row],[takes]]/SUM(Table914[takes]),0)</f>
        <v>0</v>
      </c>
      <c r="E12" s="21">
        <f>IF(Table914[[#This Row],[takes]]&gt;0,Table914[[#This Row],[wins]]/Table914[[#This Row],[takes]],0)</f>
        <v>0</v>
      </c>
    </row>
    <row r="13" spans="1:5" x14ac:dyDescent="0.25">
      <c r="A13" s="2" t="s">
        <v>92</v>
      </c>
      <c r="B13" s="2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</f>
        <v>3</v>
      </c>
      <c r="C13" s="2">
        <f>COUNTIF(Таблица1[winner1-ability3],Table914[[#This Row],[ability]])+COUNTIF(Таблица1[winner2-ability3],Table914[[#This Row],[ability]])</f>
        <v>3</v>
      </c>
      <c r="D13" s="19">
        <f>IF(SUM(Table914[[#This Row],[takes]]) &gt; 0,Table914[[#This Row],[takes]]/SUM(Table914[takes]),0)</f>
        <v>0.75</v>
      </c>
      <c r="E13" s="19">
        <f>IF(Table914[[#This Row],[takes]]&gt;0,Table914[[#This Row],[wins]]/Table914[[#This Row],[takes]],0)</f>
        <v>1</v>
      </c>
    </row>
    <row r="14" spans="1:5" x14ac:dyDescent="0.25">
      <c r="A14" s="18" t="s">
        <v>88</v>
      </c>
      <c r="B14" s="18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</f>
        <v>1</v>
      </c>
      <c r="C14" s="18">
        <f>COUNTIF(Таблица1[winner1-ability3],Table914[[#This Row],[ability]])+COUNTIF(Таблица1[winner2-ability3],Table914[[#This Row],[ability]])</f>
        <v>1</v>
      </c>
      <c r="D14" s="22">
        <f>IF(SUM(Table914[[#This Row],[takes]]) &gt; 0,Table914[[#This Row],[takes]]/SUM(Table914[takes]),0)</f>
        <v>0.25</v>
      </c>
      <c r="E14" s="22">
        <f>IF(Table914[[#This Row],[takes]]&gt;0,Table914[[#This Row],[wins]]/Table914[[#This Row],[takes]],0)</f>
        <v>1</v>
      </c>
    </row>
    <row r="16" spans="1:5" x14ac:dyDescent="0.25">
      <c r="A16" s="14" t="s">
        <v>131</v>
      </c>
      <c r="B16" s="15" t="s">
        <v>132</v>
      </c>
      <c r="C16" s="15" t="s">
        <v>80</v>
      </c>
      <c r="D16" s="16" t="s">
        <v>139</v>
      </c>
      <c r="E16" s="16" t="s">
        <v>140</v>
      </c>
    </row>
    <row r="17" spans="1:5" x14ac:dyDescent="0.25">
      <c r="A17" s="2" t="s">
        <v>93</v>
      </c>
      <c r="B17" s="2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</f>
        <v>1</v>
      </c>
      <c r="C17" s="2">
        <f>COUNTIF(Таблица1[winner1-ability4],Table1015[[#This Row],[ability]])+COUNTIF(Таблица1[winner2-ability4],Table1015[[#This Row],[ability]])</f>
        <v>1</v>
      </c>
      <c r="D17" s="19">
        <f>IF(SUM(Table1015[[#This Row],[takes]]) &gt; 0,Table1015[[#This Row],[takes]]/SUM(Table1015[takes]),0)</f>
        <v>1</v>
      </c>
      <c r="E17" s="19">
        <f>IF(Table1015[[#This Row],[takes]]&gt;0,Table1015[[#This Row],[wins]]/Table1015[[#This Row],[takes]],0)</f>
        <v>1</v>
      </c>
    </row>
    <row r="18" spans="1:5" x14ac:dyDescent="0.25">
      <c r="A18" s="2" t="s">
        <v>146</v>
      </c>
      <c r="B18" s="2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</f>
        <v>0</v>
      </c>
      <c r="C18" s="2">
        <f>COUNTIF(Таблица1[winner1-ability4],Table1015[[#This Row],[ability]])+COUNTIF(Таблица1[winner2-ability4],Table1015[[#This Row],[ability]])</f>
        <v>0</v>
      </c>
      <c r="D18" s="19">
        <f>IF(SUM(Table1015[[#This Row],[takes]]) &gt; 0,Table1015[[#This Row],[takes]]/SUM(Table1015[takes]),0)</f>
        <v>0</v>
      </c>
      <c r="E18" s="19">
        <f>IF(Table1015[[#This Row],[takes]]&gt;0,Table1015[[#This Row],[wins]]/Table1015[[#This Row],[takes]],0)</f>
        <v>0</v>
      </c>
    </row>
    <row r="19" spans="1:5" x14ac:dyDescent="0.25">
      <c r="A19" s="17" t="s">
        <v>147</v>
      </c>
      <c r="B19" s="17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</f>
        <v>0</v>
      </c>
      <c r="C19" s="17">
        <f>COUNTIF(Таблица1[winner1-ability4],Table1015[[#This Row],[ability]])+COUNTIF(Таблица1[winner2-ability4],Table1015[[#This Row],[ability]])</f>
        <v>0</v>
      </c>
      <c r="D19" s="20">
        <f>IF(SUM(Table1015[[#This Row],[takes]]) &gt; 0,Table1015[[#This Row],[takes]]/SUM(Table1015[takes]),0)</f>
        <v>0</v>
      </c>
      <c r="E19" s="20">
        <f>IF(Table1015[[#This Row],[takes]]&gt;0,Table1015[[#This Row],[wins]]/Table1015[[#This Row],[takes]],0)</f>
        <v>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0DE2-EB6A-482A-AC9B-5515EB8CC8CE}">
  <dimension ref="A1:E19"/>
  <sheetViews>
    <sheetView workbookViewId="0">
      <selection activeCell="I17" sqref="I17"/>
    </sheetView>
  </sheetViews>
  <sheetFormatPr defaultRowHeight="15" x14ac:dyDescent="0.25"/>
  <cols>
    <col min="1" max="1" width="23.140625" bestFit="1" customWidth="1"/>
    <col min="2" max="2" width="8" bestFit="1" customWidth="1"/>
    <col min="4" max="4" width="18.42578125" style="6" bestFit="1" customWidth="1"/>
    <col min="5" max="5" width="15.5703125" style="6" bestFit="1" customWidth="1"/>
  </cols>
  <sheetData>
    <row r="1" spans="1:5" x14ac:dyDescent="0.25">
      <c r="A1" t="s">
        <v>131</v>
      </c>
      <c r="B1" t="s">
        <v>132</v>
      </c>
      <c r="C1" t="s">
        <v>80</v>
      </c>
      <c r="D1" s="6" t="s">
        <v>139</v>
      </c>
      <c r="E1" s="6" t="s">
        <v>140</v>
      </c>
    </row>
    <row r="2" spans="1:5" x14ac:dyDescent="0.25">
      <c r="A2" t="s">
        <v>50</v>
      </c>
      <c r="B2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</f>
        <v>9</v>
      </c>
      <c r="C2">
        <f>COUNTIF(Таблица1[winner1-ability1],Table71216[[#This Row],[ability]])+COUNTIF(Таблица1[winner2-ability1],Table71216[[#This Row],[ability]])</f>
        <v>3</v>
      </c>
      <c r="D2" s="6">
        <f>IF(SUM(Table71216[[#This Row],[takes]]) &gt; 0,Table71216[[#This Row],[takes]]/SUM(Table71216[takes]),0)</f>
        <v>0.9</v>
      </c>
      <c r="E2" s="6">
        <f>IF(Table71216[[#This Row],[takes]]&gt;0,Table71216[[#This Row],[wins]]/Table71216[[#This Row],[takes]],0)</f>
        <v>0.33333333333333331</v>
      </c>
    </row>
    <row r="3" spans="1:5" x14ac:dyDescent="0.25">
      <c r="A3" t="s">
        <v>94</v>
      </c>
      <c r="B3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</f>
        <v>1</v>
      </c>
      <c r="C3">
        <f>COUNTIF(Таблица1[winner1-ability1],Table71216[[#This Row],[ability]])+COUNTIF(Таблица1[winner2-ability1],Table71216[[#This Row],[ability]])</f>
        <v>0</v>
      </c>
      <c r="D3" s="6">
        <f>IF(SUM(Table71216[[#This Row],[takes]]) &gt; 0,Table71216[[#This Row],[takes]]/SUM(Table71216[takes]),0)</f>
        <v>0.1</v>
      </c>
      <c r="E3" s="6">
        <f>IF(Table71216[[#This Row],[takes]]&gt;0,Table71216[[#This Row],[wins]]/Table71216[[#This Row],[takes]],0)</f>
        <v>0</v>
      </c>
    </row>
    <row r="4" spans="1:5" x14ac:dyDescent="0.25">
      <c r="A4" t="s">
        <v>148</v>
      </c>
      <c r="B4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</f>
        <v>0</v>
      </c>
      <c r="C4">
        <f>COUNTIF(Таблица1[winner1-ability1],Table71216[[#This Row],[ability]])+COUNTIF(Таблица1[winner2-ability1],Table71216[[#This Row],[ability]])</f>
        <v>0</v>
      </c>
      <c r="D4" s="6">
        <f>IF(SUM(Table71216[[#This Row],[takes]]) &gt; 0,Table71216[[#This Row],[takes]]/SUM(Table71216[takes]),0)</f>
        <v>0</v>
      </c>
      <c r="E4" s="6">
        <f>IF(Table71216[[#This Row],[takes]]&gt;0,Table71216[[#This Row],[wins]]/Table71216[[#This Row],[takes]],0)</f>
        <v>0</v>
      </c>
    </row>
    <row r="6" spans="1:5" x14ac:dyDescent="0.25">
      <c r="A6" s="14" t="s">
        <v>131</v>
      </c>
      <c r="B6" s="15" t="s">
        <v>132</v>
      </c>
      <c r="C6" s="15" t="s">
        <v>80</v>
      </c>
      <c r="D6" s="16" t="s">
        <v>139</v>
      </c>
      <c r="E6" s="16" t="s">
        <v>140</v>
      </c>
    </row>
    <row r="7" spans="1:5" x14ac:dyDescent="0.25">
      <c r="A7" s="2" t="s">
        <v>72</v>
      </c>
      <c r="B7" s="2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</f>
        <v>2</v>
      </c>
      <c r="C7" s="2">
        <f>COUNTIF(Таблица1[winner1-ability2],Table81317[[#This Row],[ability]])+COUNTIF(Таблица1[winner2-ability2],Table81317[[#This Row],[ability]])</f>
        <v>1</v>
      </c>
      <c r="D7" s="19">
        <f>IF(SUM(Table81317[[#This Row],[takes]]) &gt; 0,Table81317[[#This Row],[takes]]/SUM(Table81317[takes]),0)</f>
        <v>0.25</v>
      </c>
      <c r="E7" s="19">
        <f>IF(Table81317[[#This Row],[takes]]&gt;0,Table81317[[#This Row],[wins]]/Table81317[[#This Row],[takes]],0)</f>
        <v>0.5</v>
      </c>
    </row>
    <row r="8" spans="1:5" x14ac:dyDescent="0.25">
      <c r="A8" t="s">
        <v>51</v>
      </c>
      <c r="B8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</f>
        <v>3</v>
      </c>
      <c r="C8">
        <f>COUNTIF(Таблица1[winner1-ability2],Table81317[[#This Row],[ability]])+COUNTIF(Таблица1[winner2-ability2],Table81317[[#This Row],[ability]])</f>
        <v>1</v>
      </c>
      <c r="D8" s="6">
        <f>IF(SUM(Table81317[[#This Row],[takes]]) &gt; 0,Table81317[[#This Row],[takes]]/SUM(Table81317[takes]),0)</f>
        <v>0.375</v>
      </c>
      <c r="E8" s="6">
        <f>IF(Table81317[[#This Row],[takes]]&gt;0,Table81317[[#This Row],[wins]]/Table81317[[#This Row],[takes]],0)</f>
        <v>0.33333333333333331</v>
      </c>
    </row>
    <row r="9" spans="1:5" x14ac:dyDescent="0.25">
      <c r="A9" s="17" t="s">
        <v>86</v>
      </c>
      <c r="B9" s="17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</f>
        <v>3</v>
      </c>
      <c r="C9" s="17">
        <f>COUNTIF(Таблица1[winner1-ability2],Table81317[[#This Row],[ability]])+COUNTIF(Таблица1[winner2-ability2],Table81317[[#This Row],[ability]])</f>
        <v>0</v>
      </c>
      <c r="D9" s="20">
        <f>IF(SUM(Table81317[[#This Row],[takes]]) &gt; 0,Table81317[[#This Row],[takes]]/SUM(Table81317[takes]),0)</f>
        <v>0.375</v>
      </c>
      <c r="E9" s="20">
        <f>IF(Table81317[[#This Row],[takes]]&gt;0,Table81317[[#This Row],[wins]]/Table81317[[#This Row],[takes]],0)</f>
        <v>0</v>
      </c>
    </row>
    <row r="11" spans="1:5" x14ac:dyDescent="0.25">
      <c r="A11" s="14" t="s">
        <v>131</v>
      </c>
      <c r="B11" s="15" t="s">
        <v>132</v>
      </c>
      <c r="C11" s="15" t="s">
        <v>80</v>
      </c>
      <c r="D11" s="16" t="s">
        <v>139</v>
      </c>
      <c r="E11" s="16" t="s">
        <v>140</v>
      </c>
    </row>
    <row r="12" spans="1:5" x14ac:dyDescent="0.25">
      <c r="A12" s="1" t="s">
        <v>52</v>
      </c>
      <c r="B12" s="1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</f>
        <v>2</v>
      </c>
      <c r="C12" s="1">
        <f>COUNTIF(Таблица1[winner1-ability3],Table91418[[#This Row],[ability]])+COUNTIF(Таблица1[winner2-ability3],Table91418[[#This Row],[ability]])</f>
        <v>1</v>
      </c>
      <c r="D12" s="21">
        <f>IF(SUM(Table91418[[#This Row],[takes]]) &gt; 0,Table91418[[#This Row],[takes]]/SUM(Table91418[takes]),0)</f>
        <v>0.66666666666666663</v>
      </c>
      <c r="E12" s="21">
        <f>IF(Table91418[[#This Row],[takes]]&gt;0,Table91418[[#This Row],[wins]]/Table91418[[#This Row],[takes]],0)</f>
        <v>0.5</v>
      </c>
    </row>
    <row r="13" spans="1:5" x14ac:dyDescent="0.25">
      <c r="A13" s="2" t="s">
        <v>149</v>
      </c>
      <c r="B13" s="2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</f>
        <v>0</v>
      </c>
      <c r="C13" s="2">
        <f>COUNTIF(Таблица1[winner1-ability3],Table91418[[#This Row],[ability]])+COUNTIF(Таблица1[winner2-ability3],Table91418[[#This Row],[ability]])</f>
        <v>0</v>
      </c>
      <c r="D13" s="19">
        <f>IF(SUM(Table91418[[#This Row],[takes]]) &gt; 0,Table91418[[#This Row],[takes]]/SUM(Table91418[takes]),0)</f>
        <v>0</v>
      </c>
      <c r="E13" s="19">
        <f>IF(Table91418[[#This Row],[takes]]&gt;0,Table91418[[#This Row],[wins]]/Table91418[[#This Row],[takes]],0)</f>
        <v>0</v>
      </c>
    </row>
    <row r="14" spans="1:5" x14ac:dyDescent="0.25">
      <c r="A14" s="18" t="s">
        <v>95</v>
      </c>
      <c r="B14" s="18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</f>
        <v>1</v>
      </c>
      <c r="C14" s="18">
        <f>COUNTIF(Таблица1[winner1-ability3],Table91418[[#This Row],[ability]])+COUNTIF(Таблица1[winner2-ability3],Table91418[[#This Row],[ability]])</f>
        <v>0</v>
      </c>
      <c r="D14" s="22">
        <f>IF(SUM(Table91418[[#This Row],[takes]]) &gt; 0,Table91418[[#This Row],[takes]]/SUM(Table91418[takes]),0)</f>
        <v>0.33333333333333331</v>
      </c>
      <c r="E14" s="22">
        <f>IF(Table91418[[#This Row],[takes]]&gt;0,Table91418[[#This Row],[wins]]/Table91418[[#This Row],[takes]],0)</f>
        <v>0</v>
      </c>
    </row>
    <row r="16" spans="1:5" x14ac:dyDescent="0.25">
      <c r="A16" s="14" t="s">
        <v>131</v>
      </c>
      <c r="B16" s="15" t="s">
        <v>132</v>
      </c>
      <c r="C16" s="15" t="s">
        <v>80</v>
      </c>
      <c r="D16" s="16" t="s">
        <v>139</v>
      </c>
      <c r="E16" s="16" t="s">
        <v>140</v>
      </c>
    </row>
    <row r="17" spans="1:5" x14ac:dyDescent="0.25">
      <c r="A17" s="2" t="s">
        <v>150</v>
      </c>
      <c r="B17" s="2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</f>
        <v>0</v>
      </c>
      <c r="C17" s="2">
        <f>COUNTIF(Таблица1[winner1-ability4],Table101519[[#This Row],[ability]])+COUNTIF(Таблица1[winner2-ability4],Table101519[[#This Row],[ability]])</f>
        <v>0</v>
      </c>
      <c r="D17" s="19">
        <f>IF(SUM(Table101519[[#This Row],[takes]]) &gt; 0,Table101519[[#This Row],[takes]]/SUM(Table101519[takes]),0)</f>
        <v>0</v>
      </c>
      <c r="E17" s="19">
        <f>IF(Table101519[[#This Row],[takes]]&gt;0,Table101519[[#This Row],[wins]]/Table101519[[#This Row],[takes]],0)</f>
        <v>0</v>
      </c>
    </row>
    <row r="18" spans="1:5" x14ac:dyDescent="0.25">
      <c r="A18" s="2" t="s">
        <v>53</v>
      </c>
      <c r="B18" s="2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</f>
        <v>1</v>
      </c>
      <c r="C18" s="2">
        <f>COUNTIF(Таблица1[winner1-ability4],Table101519[[#This Row],[ability]])+COUNTIF(Таблица1[winner2-ability4],Table101519[[#This Row],[ability]])</f>
        <v>0</v>
      </c>
      <c r="D18" s="19">
        <f>IF(SUM(Table101519[[#This Row],[takes]]) &gt; 0,Table101519[[#This Row],[takes]]/SUM(Table101519[takes]),0)</f>
        <v>1</v>
      </c>
      <c r="E18" s="19">
        <f>IF(Table101519[[#This Row],[takes]]&gt;0,Table101519[[#This Row],[wins]]/Table101519[[#This Row],[takes]],0)</f>
        <v>0</v>
      </c>
    </row>
    <row r="19" spans="1:5" x14ac:dyDescent="0.25">
      <c r="A19" s="17" t="s">
        <v>151</v>
      </c>
      <c r="B19" s="17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</f>
        <v>0</v>
      </c>
      <c r="C19" s="17">
        <f>COUNTIF(Таблица1[winner1-ability4],Table101519[[#This Row],[ability]])+COUNTIF(Таблица1[winner2-ability4],Table101519[[#This Row],[ability]])</f>
        <v>0</v>
      </c>
      <c r="D19" s="20">
        <f>IF(SUM(Table101519[[#This Row],[takes]]) &gt; 0,Table101519[[#This Row],[takes]]/SUM(Table101519[takes]),0)</f>
        <v>0</v>
      </c>
      <c r="E19" s="20">
        <f>IF(Table101519[[#This Row],[takes]]&gt;0,Table101519[[#This Row],[wins]]/Table101519[[#This Row],[takes]],0)</f>
        <v>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99E26-DF89-4884-B150-0C0BE369FE45}">
  <dimension ref="A1:E19"/>
  <sheetViews>
    <sheetView workbookViewId="0">
      <selection activeCell="G21" sqref="G21"/>
    </sheetView>
  </sheetViews>
  <sheetFormatPr defaultRowHeight="15" x14ac:dyDescent="0.25"/>
  <cols>
    <col min="1" max="1" width="23.140625" bestFit="1" customWidth="1"/>
    <col min="2" max="2" width="8" bestFit="1" customWidth="1"/>
    <col min="4" max="4" width="18.42578125" style="6" bestFit="1" customWidth="1"/>
    <col min="5" max="5" width="15.5703125" style="6" bestFit="1" customWidth="1"/>
  </cols>
  <sheetData>
    <row r="1" spans="1:5" x14ac:dyDescent="0.25">
      <c r="A1" t="s">
        <v>131</v>
      </c>
      <c r="B1" t="s">
        <v>132</v>
      </c>
      <c r="C1" t="s">
        <v>80</v>
      </c>
      <c r="D1" s="6" t="s">
        <v>139</v>
      </c>
      <c r="E1" s="6" t="s">
        <v>140</v>
      </c>
    </row>
    <row r="2" spans="1:5" x14ac:dyDescent="0.25">
      <c r="A2" t="s">
        <v>47</v>
      </c>
      <c r="B2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</f>
        <v>3</v>
      </c>
      <c r="C2">
        <f>COUNTIF(Таблица1[winner1-ability1],Table7121620[[#This Row],[ability]])+COUNTIF(Таблица1[winner2-ability1],Table7121620[[#This Row],[ability]])</f>
        <v>1</v>
      </c>
      <c r="D2" s="6">
        <f>IF(SUM(Table7121620[[#This Row],[takes]]) &gt; 0,Table7121620[[#This Row],[takes]]/SUM(Table7121620[takes]),0)</f>
        <v>0.5</v>
      </c>
      <c r="E2" s="6">
        <f>IF(Table7121620[[#This Row],[takes]]&gt;0,Table7121620[[#This Row],[wins]]/Table7121620[[#This Row],[takes]],0)</f>
        <v>0.33333333333333331</v>
      </c>
    </row>
    <row r="3" spans="1:5" x14ac:dyDescent="0.25">
      <c r="A3" t="s">
        <v>66</v>
      </c>
      <c r="B3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</f>
        <v>3</v>
      </c>
      <c r="C3">
        <f>COUNTIF(Таблица1[winner1-ability1],Table7121620[[#This Row],[ability]])+COUNTIF(Таблица1[winner2-ability1],Table7121620[[#This Row],[ability]])</f>
        <v>2</v>
      </c>
      <c r="D3" s="6">
        <f>IF(SUM(Table7121620[[#This Row],[takes]]) &gt; 0,Table7121620[[#This Row],[takes]]/SUM(Table7121620[takes]),0)</f>
        <v>0.5</v>
      </c>
      <c r="E3" s="6">
        <f>IF(Table7121620[[#This Row],[takes]]&gt;0,Table7121620[[#This Row],[wins]]/Table7121620[[#This Row],[takes]],0)</f>
        <v>0.66666666666666663</v>
      </c>
    </row>
    <row r="4" spans="1:5" x14ac:dyDescent="0.25">
      <c r="A4" t="s">
        <v>35</v>
      </c>
      <c r="B4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</f>
        <v>0</v>
      </c>
      <c r="C4">
        <f>COUNTIF(Таблица1[winner1-ability1],Table7121620[[#This Row],[ability]])+COUNTIF(Таблица1[winner2-ability1],Table7121620[[#This Row],[ability]])</f>
        <v>0</v>
      </c>
      <c r="D4" s="6">
        <f>IF(SUM(Table7121620[[#This Row],[takes]]) &gt; 0,Table7121620[[#This Row],[takes]]/SUM(Table7121620[takes]),0)</f>
        <v>0</v>
      </c>
      <c r="E4" s="6">
        <f>IF(Table7121620[[#This Row],[takes]]&gt;0,Table7121620[[#This Row],[wins]]/Table7121620[[#This Row],[takes]],0)</f>
        <v>0</v>
      </c>
    </row>
    <row r="6" spans="1:5" x14ac:dyDescent="0.25">
      <c r="A6" s="14" t="s">
        <v>131</v>
      </c>
      <c r="B6" s="15" t="s">
        <v>132</v>
      </c>
      <c r="C6" s="15" t="s">
        <v>80</v>
      </c>
      <c r="D6" s="16" t="s">
        <v>139</v>
      </c>
      <c r="E6" s="16" t="s">
        <v>140</v>
      </c>
    </row>
    <row r="7" spans="1:5" x14ac:dyDescent="0.25">
      <c r="A7" s="2" t="s">
        <v>67</v>
      </c>
      <c r="B7" s="2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</f>
        <v>0</v>
      </c>
      <c r="C7" s="2">
        <f>COUNTIF(Таблица1[winner1-ability2],Table8131721[[#This Row],[ability]])+COUNTIF(Таблица1[winner2-ability2],Table8131721[[#This Row],[ability]])</f>
        <v>0</v>
      </c>
      <c r="D7" s="19">
        <f>IF(SUM(Table8131721[[#This Row],[takes]]) &gt; 0,Table8131721[[#This Row],[takes]]/SUM(Table8131721[takes]),0)</f>
        <v>0</v>
      </c>
      <c r="E7" s="19">
        <f>IF(Table8131721[[#This Row],[takes]]&gt;0,Table8131721[[#This Row],[wins]]/Table8131721[[#This Row],[takes]],0)</f>
        <v>0</v>
      </c>
    </row>
    <row r="8" spans="1:5" x14ac:dyDescent="0.25">
      <c r="A8" t="s">
        <v>152</v>
      </c>
      <c r="B8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</f>
        <v>0</v>
      </c>
      <c r="C8">
        <f>COUNTIF(Таблица1[winner1-ability2],Table8131721[[#This Row],[ability]])+COUNTIF(Таблица1[winner2-ability2],Table8131721[[#This Row],[ability]])</f>
        <v>0</v>
      </c>
      <c r="D8" s="6">
        <f>IF(SUM(Table8131721[[#This Row],[takes]]) &gt; 0,Table8131721[[#This Row],[takes]]/SUM(Table8131721[takes]),0)</f>
        <v>0</v>
      </c>
      <c r="E8" s="6">
        <f>IF(Table8131721[[#This Row],[takes]]&gt;0,Table8131721[[#This Row],[wins]]/Table8131721[[#This Row],[takes]],0)</f>
        <v>0</v>
      </c>
    </row>
    <row r="9" spans="1:5" x14ac:dyDescent="0.25">
      <c r="A9" s="17" t="s">
        <v>36</v>
      </c>
      <c r="B9" s="17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</f>
        <v>6</v>
      </c>
      <c r="C9" s="17">
        <f>COUNTIF(Таблица1[winner1-ability2],Table8131721[[#This Row],[ability]])+COUNTIF(Таблица1[winner2-ability2],Table8131721[[#This Row],[ability]])</f>
        <v>3</v>
      </c>
      <c r="D9" s="20">
        <f>IF(SUM(Table8131721[[#This Row],[takes]]) &gt; 0,Table8131721[[#This Row],[takes]]/SUM(Table8131721[takes]),0)</f>
        <v>1</v>
      </c>
      <c r="E9" s="20">
        <f>IF(Table8131721[[#This Row],[takes]]&gt;0,Table8131721[[#This Row],[wins]]/Table8131721[[#This Row],[takes]],0)</f>
        <v>0.5</v>
      </c>
    </row>
    <row r="11" spans="1:5" x14ac:dyDescent="0.25">
      <c r="A11" s="14" t="s">
        <v>131</v>
      </c>
      <c r="B11" s="15" t="s">
        <v>132</v>
      </c>
      <c r="C11" s="15" t="s">
        <v>80</v>
      </c>
      <c r="D11" s="16" t="s">
        <v>139</v>
      </c>
      <c r="E11" s="16" t="s">
        <v>140</v>
      </c>
    </row>
    <row r="12" spans="1:5" x14ac:dyDescent="0.25">
      <c r="A12" s="1" t="s">
        <v>37</v>
      </c>
      <c r="B12" s="1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</f>
        <v>2</v>
      </c>
      <c r="C12" s="1">
        <f>COUNTIF(Таблица1[winner1-ability3],Table9141822[[#This Row],[ability]])+COUNTIF(Таблица1[winner2-ability3],Table9141822[[#This Row],[ability]])</f>
        <v>2</v>
      </c>
      <c r="D12" s="21">
        <f>IF(SUM(Table9141822[[#This Row],[takes]]) &gt; 0,Table9141822[[#This Row],[takes]]/SUM(Table9141822[takes]),0)</f>
        <v>1</v>
      </c>
      <c r="E12" s="21">
        <f>IF(Table9141822[[#This Row],[takes]]&gt;0,Table9141822[[#This Row],[wins]]/Table9141822[[#This Row],[takes]],0)</f>
        <v>1</v>
      </c>
    </row>
    <row r="13" spans="1:5" x14ac:dyDescent="0.25">
      <c r="A13" s="2" t="s">
        <v>153</v>
      </c>
      <c r="B13" s="2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</f>
        <v>0</v>
      </c>
      <c r="C13" s="2">
        <f>COUNTIF(Таблица1[winner1-ability3],Table9141822[[#This Row],[ability]])+COUNTIF(Таблица1[winner2-ability3],Table9141822[[#This Row],[ability]])</f>
        <v>0</v>
      </c>
      <c r="D13" s="19">
        <f>IF(SUM(Table9141822[[#This Row],[takes]]) &gt; 0,Table9141822[[#This Row],[takes]]/SUM(Table9141822[takes]),0)</f>
        <v>0</v>
      </c>
      <c r="E13" s="19">
        <f>IF(Table9141822[[#This Row],[takes]]&gt;0,Table9141822[[#This Row],[wins]]/Table9141822[[#This Row],[takes]],0)</f>
        <v>0</v>
      </c>
    </row>
    <row r="14" spans="1:5" x14ac:dyDescent="0.25">
      <c r="A14" s="18" t="s">
        <v>154</v>
      </c>
      <c r="B14" s="18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</f>
        <v>0</v>
      </c>
      <c r="C14" s="18">
        <f>COUNTIF(Таблица1[winner1-ability3],Table9141822[[#This Row],[ability]])+COUNTIF(Таблица1[winner2-ability3],Table9141822[[#This Row],[ability]])</f>
        <v>0</v>
      </c>
      <c r="D14" s="22">
        <f>IF(SUM(Table9141822[[#This Row],[takes]]) &gt; 0,Table9141822[[#This Row],[takes]]/SUM(Table9141822[takes]),0)</f>
        <v>0</v>
      </c>
      <c r="E14" s="22">
        <f>IF(Table9141822[[#This Row],[takes]]&gt;0,Table9141822[[#This Row],[wins]]/Table9141822[[#This Row],[takes]],0)</f>
        <v>0</v>
      </c>
    </row>
    <row r="16" spans="1:5" x14ac:dyDescent="0.25">
      <c r="A16" s="14" t="s">
        <v>131</v>
      </c>
      <c r="B16" s="15" t="s">
        <v>132</v>
      </c>
      <c r="C16" s="15" t="s">
        <v>80</v>
      </c>
      <c r="D16" s="16" t="s">
        <v>139</v>
      </c>
      <c r="E16" s="16" t="s">
        <v>140</v>
      </c>
    </row>
    <row r="17" spans="1:5" x14ac:dyDescent="0.25">
      <c r="A17" s="2" t="s">
        <v>155</v>
      </c>
      <c r="B17" s="2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</f>
        <v>0</v>
      </c>
      <c r="C17" s="2">
        <f>COUNTIF(Таблица1[winner1-ability4],Table10151923[[#This Row],[ability]])+COUNTIF(Таблица1[winner2-ability4],Table10151923[[#This Row],[ability]])</f>
        <v>0</v>
      </c>
      <c r="D17" s="19">
        <f>IF(SUM(Table10151923[[#This Row],[takes]]) &gt; 0,Table10151923[[#This Row],[takes]]/SUM(Table10151923[takes]),0)</f>
        <v>0</v>
      </c>
      <c r="E17" s="19">
        <f>IF(Table10151923[[#This Row],[takes]]&gt;0,Table10151923[[#This Row],[wins]]/Table10151923[[#This Row],[takes]],0)</f>
        <v>0</v>
      </c>
    </row>
    <row r="18" spans="1:5" x14ac:dyDescent="0.25">
      <c r="A18" s="2" t="s">
        <v>38</v>
      </c>
      <c r="B18" s="2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</f>
        <v>0</v>
      </c>
      <c r="C18" s="2">
        <f>COUNTIF(Таблица1[winner1-ability4],Table10151923[[#This Row],[ability]])+COUNTIF(Таблица1[winner2-ability4],Table10151923[[#This Row],[ability]])</f>
        <v>0</v>
      </c>
      <c r="D18" s="19">
        <f>IF(SUM(Table10151923[[#This Row],[takes]]) &gt; 0,Table10151923[[#This Row],[takes]]/SUM(Table10151923[takes]),0)</f>
        <v>0</v>
      </c>
      <c r="E18" s="19">
        <f>IF(Table10151923[[#This Row],[takes]]&gt;0,Table10151923[[#This Row],[wins]]/Table10151923[[#This Row],[takes]],0)</f>
        <v>0</v>
      </c>
    </row>
    <row r="19" spans="1:5" x14ac:dyDescent="0.25">
      <c r="A19" s="17" t="s">
        <v>156</v>
      </c>
      <c r="B19" s="17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</f>
        <v>0</v>
      </c>
      <c r="C19" s="17">
        <f>COUNTIF(Таблица1[winner1-ability4],Table10151923[[#This Row],[ability]])+COUNTIF(Таблица1[winner2-ability4],Table10151923[[#This Row],[ability]])</f>
        <v>0</v>
      </c>
      <c r="D19" s="20">
        <f>IF(SUM(Table10151923[[#This Row],[takes]]) &gt; 0,Table10151923[[#This Row],[takes]]/SUM(Table10151923[takes]),0)</f>
        <v>0</v>
      </c>
      <c r="E19" s="20">
        <f>IF(Table10151923[[#This Row],[takes]]&gt;0,Table10151923[[#This Row],[wins]]/Table10151923[[#This Row],[takes]],0)</f>
        <v>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240A-A136-4B24-9AF5-5F5BC7708E70}">
  <dimension ref="A1:E19"/>
  <sheetViews>
    <sheetView workbookViewId="0">
      <selection activeCell="G17" sqref="G17"/>
    </sheetView>
  </sheetViews>
  <sheetFormatPr defaultRowHeight="15" x14ac:dyDescent="0.25"/>
  <cols>
    <col min="1" max="1" width="23.140625" bestFit="1" customWidth="1"/>
    <col min="2" max="2" width="8" bestFit="1" customWidth="1"/>
    <col min="4" max="4" width="18.42578125" style="6" bestFit="1" customWidth="1"/>
    <col min="5" max="5" width="15.5703125" style="6" bestFit="1" customWidth="1"/>
  </cols>
  <sheetData>
    <row r="1" spans="1:5" x14ac:dyDescent="0.25">
      <c r="A1" t="s">
        <v>131</v>
      </c>
      <c r="B1" t="s">
        <v>132</v>
      </c>
      <c r="C1" t="s">
        <v>80</v>
      </c>
      <c r="D1" s="6" t="s">
        <v>139</v>
      </c>
      <c r="E1" s="6" t="s">
        <v>140</v>
      </c>
    </row>
    <row r="2" spans="1:5" x14ac:dyDescent="0.25">
      <c r="A2" t="s">
        <v>45</v>
      </c>
      <c r="B2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</f>
        <v>0</v>
      </c>
      <c r="C2">
        <f>COUNTIF(Таблица1[winner1-ability1],Table712162024[[#This Row],[ability]])+COUNTIF(Таблица1[winner2-ability1],Table712162024[[#This Row],[ability]])</f>
        <v>0</v>
      </c>
      <c r="D2" s="6">
        <f>IF(SUM(Table712162024[[#This Row],[takes]]) &gt; 0,Table712162024[[#This Row],[takes]]/SUM(Table712162024[takes]),0)</f>
        <v>0</v>
      </c>
      <c r="E2" s="6">
        <f>IF(Table712162024[[#This Row],[takes]]&gt;0,Table712162024[[#This Row],[wins]]/Table712162024[[#This Row],[takes]],0)</f>
        <v>0</v>
      </c>
    </row>
    <row r="3" spans="1:5" x14ac:dyDescent="0.25">
      <c r="A3" t="s">
        <v>157</v>
      </c>
      <c r="B3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</f>
        <v>0</v>
      </c>
      <c r="C3">
        <f>COUNTIF(Таблица1[winner1-ability1],Table712162024[[#This Row],[ability]])+COUNTIF(Таблица1[winner2-ability1],Table712162024[[#This Row],[ability]])</f>
        <v>0</v>
      </c>
      <c r="D3" s="6">
        <f>IF(SUM(Table712162024[[#This Row],[takes]]) &gt; 0,Table712162024[[#This Row],[takes]]/SUM(Table712162024[takes]),0)</f>
        <v>0</v>
      </c>
      <c r="E3" s="6">
        <f>IF(Table712162024[[#This Row],[takes]]&gt;0,Table712162024[[#This Row],[wins]]/Table712162024[[#This Row],[takes]],0)</f>
        <v>0</v>
      </c>
    </row>
    <row r="4" spans="1:5" x14ac:dyDescent="0.25">
      <c r="A4" t="s">
        <v>74</v>
      </c>
      <c r="B4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</f>
        <v>6</v>
      </c>
      <c r="C4">
        <f>COUNTIF(Таблица1[winner1-ability1],Table712162024[[#This Row],[ability]])+COUNTIF(Таблица1[winner2-ability1],Table712162024[[#This Row],[ability]])</f>
        <v>1</v>
      </c>
      <c r="D4" s="6">
        <f>IF(SUM(Table712162024[[#This Row],[takes]]) &gt; 0,Table712162024[[#This Row],[takes]]/SUM(Table712162024[takes]),0)</f>
        <v>1</v>
      </c>
      <c r="E4" s="6">
        <f>IF(Table712162024[[#This Row],[takes]]&gt;0,Table712162024[[#This Row],[wins]]/Table712162024[[#This Row],[takes]],0)</f>
        <v>0.16666666666666666</v>
      </c>
    </row>
    <row r="6" spans="1:5" x14ac:dyDescent="0.25">
      <c r="A6" s="14" t="s">
        <v>131</v>
      </c>
      <c r="B6" s="15" t="s">
        <v>132</v>
      </c>
      <c r="C6" s="15" t="s">
        <v>80</v>
      </c>
      <c r="D6" s="16" t="s">
        <v>139</v>
      </c>
      <c r="E6" s="16" t="s">
        <v>140</v>
      </c>
    </row>
    <row r="7" spans="1:5" x14ac:dyDescent="0.25">
      <c r="A7" s="2" t="s">
        <v>75</v>
      </c>
      <c r="B7" s="2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</f>
        <v>5</v>
      </c>
      <c r="C7" s="2">
        <f>COUNTIF(Таблица1[winner1-ability2],Table813172125[[#This Row],[ability]])+COUNTIF(Таблица1[winner2-ability2],Table813172125[[#This Row],[ability]])</f>
        <v>1</v>
      </c>
      <c r="D7" s="19">
        <f>IF(SUM(Table813172125[[#This Row],[takes]]) &gt; 0,Table813172125[[#This Row],[takes]]/SUM(Table813172125[takes]),0)</f>
        <v>0.83333333333333337</v>
      </c>
      <c r="E7" s="19">
        <f>IF(Table813172125[[#This Row],[takes]]&gt;0,Table813172125[[#This Row],[wins]]/Table813172125[[#This Row],[takes]],0)</f>
        <v>0.2</v>
      </c>
    </row>
    <row r="8" spans="1:5" x14ac:dyDescent="0.25">
      <c r="A8" t="s">
        <v>158</v>
      </c>
      <c r="B8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</f>
        <v>0</v>
      </c>
      <c r="C8">
        <f>COUNTIF(Таблица1[winner1-ability2],Table813172125[[#This Row],[ability]])+COUNTIF(Таблица1[winner2-ability2],Table813172125[[#This Row],[ability]])</f>
        <v>0</v>
      </c>
      <c r="D8" s="6">
        <f>IF(SUM(Table813172125[[#This Row],[takes]]) &gt; 0,Table813172125[[#This Row],[takes]]/SUM(Table813172125[takes]),0)</f>
        <v>0</v>
      </c>
      <c r="E8" s="6">
        <f>IF(Table813172125[[#This Row],[takes]]&gt;0,Table813172125[[#This Row],[wins]]/Table813172125[[#This Row],[takes]],0)</f>
        <v>0</v>
      </c>
    </row>
    <row r="9" spans="1:5" x14ac:dyDescent="0.25">
      <c r="A9" s="17" t="s">
        <v>111</v>
      </c>
      <c r="B9" s="17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</f>
        <v>1</v>
      </c>
      <c r="C9" s="17">
        <f>COUNTIF(Таблица1[winner1-ability2],Table813172125[[#This Row],[ability]])+COUNTIF(Таблица1[winner2-ability2],Table813172125[[#This Row],[ability]])</f>
        <v>0</v>
      </c>
      <c r="D9" s="20">
        <f>IF(SUM(Table813172125[[#This Row],[takes]]) &gt; 0,Table813172125[[#This Row],[takes]]/SUM(Table813172125[takes]),0)</f>
        <v>0.16666666666666666</v>
      </c>
      <c r="E9" s="20">
        <f>IF(Table813172125[[#This Row],[takes]]&gt;0,Table813172125[[#This Row],[wins]]/Table813172125[[#This Row],[takes]],0)</f>
        <v>0</v>
      </c>
    </row>
    <row r="11" spans="1:5" x14ac:dyDescent="0.25">
      <c r="A11" s="14" t="s">
        <v>131</v>
      </c>
      <c r="B11" s="15" t="s">
        <v>132</v>
      </c>
      <c r="C11" s="15" t="s">
        <v>80</v>
      </c>
      <c r="D11" s="16" t="s">
        <v>139</v>
      </c>
      <c r="E11" s="16" t="s">
        <v>140</v>
      </c>
    </row>
    <row r="12" spans="1:5" x14ac:dyDescent="0.25">
      <c r="A12" s="1" t="s">
        <v>159</v>
      </c>
      <c r="B12" s="1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</f>
        <v>0</v>
      </c>
      <c r="C12" s="1">
        <f>COUNTIF(Таблица1[winner1-ability3],Table914182226[[#This Row],[ability]])+COUNTIF(Таблица1[winner2-ability3],Table914182226[[#This Row],[ability]])</f>
        <v>0</v>
      </c>
      <c r="D12" s="21">
        <f>IF(SUM(Table914182226[[#This Row],[takes]]) &gt; 0,Table914182226[[#This Row],[takes]]/SUM(Table914182226[takes]),0)</f>
        <v>0</v>
      </c>
      <c r="E12" s="21">
        <f>IF(Table914182226[[#This Row],[takes]]&gt;0,Table914182226[[#This Row],[wins]]/Table914182226[[#This Row],[takes]],0)</f>
        <v>0</v>
      </c>
    </row>
    <row r="13" spans="1:5" x14ac:dyDescent="0.25">
      <c r="A13" s="2" t="s">
        <v>112</v>
      </c>
      <c r="B13" s="2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</f>
        <v>1</v>
      </c>
      <c r="C13" s="2">
        <f>COUNTIF(Таблица1[winner1-ability3],Table914182226[[#This Row],[ability]])+COUNTIF(Таблица1[winner2-ability3],Table914182226[[#This Row],[ability]])</f>
        <v>0</v>
      </c>
      <c r="D13" s="19">
        <f>IF(SUM(Table914182226[[#This Row],[takes]]) &gt; 0,Table914182226[[#This Row],[takes]]/SUM(Table914182226[takes]),0)</f>
        <v>0.5</v>
      </c>
      <c r="E13" s="19">
        <f>IF(Table914182226[[#This Row],[takes]]&gt;0,Table914182226[[#This Row],[wins]]/Table914182226[[#This Row],[takes]],0)</f>
        <v>0</v>
      </c>
    </row>
    <row r="14" spans="1:5" x14ac:dyDescent="0.25">
      <c r="A14" s="18" t="s">
        <v>76</v>
      </c>
      <c r="B14" s="18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</f>
        <v>1</v>
      </c>
      <c r="C14" s="18">
        <f>COUNTIF(Таблица1[winner1-ability3],Table914182226[[#This Row],[ability]])+COUNTIF(Таблица1[winner2-ability3],Table914182226[[#This Row],[ability]])</f>
        <v>1</v>
      </c>
      <c r="D14" s="22">
        <f>IF(SUM(Table914182226[[#This Row],[takes]]) &gt; 0,Table914182226[[#This Row],[takes]]/SUM(Table914182226[takes]),0)</f>
        <v>0.5</v>
      </c>
      <c r="E14" s="22">
        <f>IF(Table914182226[[#This Row],[takes]]&gt;0,Table914182226[[#This Row],[wins]]/Table914182226[[#This Row],[takes]],0)</f>
        <v>1</v>
      </c>
    </row>
    <row r="16" spans="1:5" x14ac:dyDescent="0.25">
      <c r="A16" s="14" t="s">
        <v>131</v>
      </c>
      <c r="B16" s="15" t="s">
        <v>132</v>
      </c>
      <c r="C16" s="15" t="s">
        <v>80</v>
      </c>
      <c r="D16" s="16" t="s">
        <v>139</v>
      </c>
      <c r="E16" s="16" t="s">
        <v>140</v>
      </c>
    </row>
    <row r="17" spans="1:5" x14ac:dyDescent="0.25">
      <c r="A17" s="2" t="s">
        <v>160</v>
      </c>
      <c r="B17" s="2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</f>
        <v>0</v>
      </c>
      <c r="C17" s="2">
        <f>COUNTIF(Таблица1[winner1-ability4],Table1015192327[[#This Row],[ability]])+COUNTIF(Таблица1[winner2-ability4],Table1015192327[[#This Row],[ability]])</f>
        <v>0</v>
      </c>
      <c r="D17" s="19">
        <f>IF(SUM(Table1015192327[[#This Row],[takes]]) &gt; 0,Table1015192327[[#This Row],[takes]]/SUM(Table1015192327[takes]),0)</f>
        <v>0</v>
      </c>
      <c r="E17" s="19">
        <f>IF(Table1015192327[[#This Row],[takes]]&gt;0,Table1015192327[[#This Row],[wins]]/Table1015192327[[#This Row],[takes]],0)</f>
        <v>0</v>
      </c>
    </row>
    <row r="18" spans="1:5" x14ac:dyDescent="0.25">
      <c r="A18" s="2" t="s">
        <v>113</v>
      </c>
      <c r="B18" s="2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</f>
        <v>1</v>
      </c>
      <c r="C18" s="2">
        <f>COUNTIF(Таблица1[winner1-ability4],Table1015192327[[#This Row],[ability]])+COUNTIF(Таблица1[winner2-ability4],Table1015192327[[#This Row],[ability]])</f>
        <v>0</v>
      </c>
      <c r="D18" s="19">
        <f>IF(SUM(Table1015192327[[#This Row],[takes]]) &gt; 0,Table1015192327[[#This Row],[takes]]/SUM(Table1015192327[takes]),0)</f>
        <v>1</v>
      </c>
      <c r="E18" s="19">
        <f>IF(Table1015192327[[#This Row],[takes]]&gt;0,Table1015192327[[#This Row],[wins]]/Table1015192327[[#This Row],[takes]],0)</f>
        <v>0</v>
      </c>
    </row>
    <row r="19" spans="1:5" x14ac:dyDescent="0.25">
      <c r="A19" s="17" t="s">
        <v>161</v>
      </c>
      <c r="B19" s="17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</f>
        <v>0</v>
      </c>
      <c r="C19" s="17">
        <f>COUNTIF(Таблица1[winner1-ability4],Table1015192327[[#This Row],[ability]])+COUNTIF(Таблица1[winner2-ability4],Table1015192327[[#This Row],[ability]])</f>
        <v>0</v>
      </c>
      <c r="D19" s="20">
        <f>IF(SUM(Table1015192327[[#This Row],[takes]]) &gt; 0,Table1015192327[[#This Row],[takes]]/SUM(Table1015192327[takes]),0)</f>
        <v>0</v>
      </c>
      <c r="E19" s="20">
        <f>IF(Table1015192327[[#This Row],[takes]]&gt;0,Table1015192327[[#This Row],[wins]]/Table1015192327[[#This Row],[takes]],0)</f>
        <v>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C3B4-4E08-42E0-A271-7BBE7E7BF6D2}">
  <dimension ref="A1:E19"/>
  <sheetViews>
    <sheetView workbookViewId="0">
      <selection activeCell="F25" sqref="F25"/>
    </sheetView>
  </sheetViews>
  <sheetFormatPr defaultRowHeight="15" x14ac:dyDescent="0.25"/>
  <cols>
    <col min="1" max="1" width="23.140625" bestFit="1" customWidth="1"/>
    <col min="2" max="2" width="8" bestFit="1" customWidth="1"/>
    <col min="4" max="4" width="18.42578125" style="6" bestFit="1" customWidth="1"/>
    <col min="5" max="5" width="15.5703125" style="6" bestFit="1" customWidth="1"/>
  </cols>
  <sheetData>
    <row r="1" spans="1:5" x14ac:dyDescent="0.25">
      <c r="A1" t="s">
        <v>131</v>
      </c>
      <c r="B1" t="s">
        <v>132</v>
      </c>
      <c r="C1" t="s">
        <v>80</v>
      </c>
      <c r="D1" s="6" t="s">
        <v>139</v>
      </c>
      <c r="E1" s="6" t="s">
        <v>140</v>
      </c>
    </row>
    <row r="2" spans="1:5" x14ac:dyDescent="0.25">
      <c r="A2" t="s">
        <v>48</v>
      </c>
      <c r="B2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</f>
        <v>4</v>
      </c>
      <c r="C2">
        <f>COUNTIF(Таблица1[winner1-ability1],Table71216202428[[#This Row],[ability]])+COUNTIF(Таблица1[winner2-ability1],Table71216202428[[#This Row],[ability]])</f>
        <v>1</v>
      </c>
      <c r="D2" s="6">
        <f>IF(SUM(Table71216202428[[#This Row],[takes]]) &gt; 0,Table71216202428[[#This Row],[takes]]/SUM(Table71216202428[takes]),0)</f>
        <v>0.66666666666666663</v>
      </c>
      <c r="E2" s="6">
        <f>IF(Table71216202428[[#This Row],[takes]]&gt;0,Table71216202428[[#This Row],[wins]]/Table71216202428[[#This Row],[takes]],0)</f>
        <v>0.25</v>
      </c>
    </row>
    <row r="3" spans="1:5" x14ac:dyDescent="0.25">
      <c r="A3" t="s">
        <v>90</v>
      </c>
      <c r="B3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</f>
        <v>2</v>
      </c>
      <c r="C3">
        <f>COUNTIF(Таблица1[winner1-ability1],Table71216202428[[#This Row],[ability]])+COUNTIF(Таблица1[winner2-ability1],Table71216202428[[#This Row],[ability]])</f>
        <v>0</v>
      </c>
      <c r="D3" s="6">
        <f>IF(SUM(Table71216202428[[#This Row],[takes]]) &gt; 0,Table71216202428[[#This Row],[takes]]/SUM(Table71216202428[takes]),0)</f>
        <v>0.33333333333333331</v>
      </c>
      <c r="E3" s="6">
        <f>IF(Table71216202428[[#This Row],[takes]]&gt;0,Table71216202428[[#This Row],[wins]]/Table71216202428[[#This Row],[takes]],0)</f>
        <v>0</v>
      </c>
    </row>
    <row r="4" spans="1:5" x14ac:dyDescent="0.25">
      <c r="A4" t="s">
        <v>162</v>
      </c>
      <c r="B4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</f>
        <v>0</v>
      </c>
      <c r="C4">
        <f>COUNTIF(Таблица1[winner1-ability1],Table71216202428[[#This Row],[ability]])+COUNTIF(Таблица1[winner2-ability1],Table71216202428[[#This Row],[ability]])</f>
        <v>0</v>
      </c>
      <c r="D4" s="6">
        <f>IF(SUM(Table71216202428[[#This Row],[takes]]) &gt; 0,Table71216202428[[#This Row],[takes]]/SUM(Table71216202428[takes]),0)</f>
        <v>0</v>
      </c>
      <c r="E4" s="6">
        <f>IF(Table71216202428[[#This Row],[takes]]&gt;0,Table71216202428[[#This Row],[wins]]/Table71216202428[[#This Row],[takes]],0)</f>
        <v>0</v>
      </c>
    </row>
    <row r="6" spans="1:5" x14ac:dyDescent="0.25">
      <c r="A6" s="14" t="s">
        <v>131</v>
      </c>
      <c r="B6" s="15" t="s">
        <v>132</v>
      </c>
      <c r="C6" s="15" t="s">
        <v>80</v>
      </c>
      <c r="D6" s="16" t="s">
        <v>139</v>
      </c>
      <c r="E6" s="16" t="s">
        <v>140</v>
      </c>
    </row>
    <row r="7" spans="1:5" x14ac:dyDescent="0.25">
      <c r="A7" s="2" t="s">
        <v>163</v>
      </c>
      <c r="B7" s="2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</f>
        <v>0</v>
      </c>
      <c r="C7" s="2">
        <f>COUNTIF(Таблица1[winner1-ability2],Table81317212529[[#This Row],[ability]])+COUNTIF(Таблица1[winner2-ability2],Table81317212529[[#This Row],[ability]])</f>
        <v>0</v>
      </c>
      <c r="D7" s="19">
        <f>IF(SUM(Table81317212529[[#This Row],[takes]]) &gt; 0,Table81317212529[[#This Row],[takes]]/SUM(Table81317212529[takes]),0)</f>
        <v>0</v>
      </c>
      <c r="E7" s="19">
        <f>IF(Table81317212529[[#This Row],[takes]]&gt;0,Table81317212529[[#This Row],[wins]]/Table81317212529[[#This Row],[takes]],0)</f>
        <v>0</v>
      </c>
    </row>
    <row r="8" spans="1:5" x14ac:dyDescent="0.25">
      <c r="A8" t="s">
        <v>100</v>
      </c>
      <c r="B8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</f>
        <v>1</v>
      </c>
      <c r="C8">
        <f>COUNTIF(Таблица1[winner1-ability2],Table81317212529[[#This Row],[ability]])+COUNTIF(Таблица1[winner2-ability2],Table81317212529[[#This Row],[ability]])</f>
        <v>1</v>
      </c>
      <c r="D8" s="6">
        <f>IF(SUM(Table81317212529[[#This Row],[takes]]) &gt; 0,Table81317212529[[#This Row],[takes]]/SUM(Table81317212529[takes]),0)</f>
        <v>0.25</v>
      </c>
      <c r="E8" s="6">
        <f>IF(Table81317212529[[#This Row],[takes]]&gt;0,Table81317212529[[#This Row],[wins]]/Table81317212529[[#This Row],[takes]],0)</f>
        <v>1</v>
      </c>
    </row>
    <row r="9" spans="1:5" x14ac:dyDescent="0.25">
      <c r="A9" s="17" t="s">
        <v>77</v>
      </c>
      <c r="B9" s="17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</f>
        <v>3</v>
      </c>
      <c r="C9" s="17">
        <f>COUNTIF(Таблица1[winner1-ability2],Table81317212529[[#This Row],[ability]])+COUNTIF(Таблица1[winner2-ability2],Table81317212529[[#This Row],[ability]])</f>
        <v>0</v>
      </c>
      <c r="D9" s="20">
        <f>IF(SUM(Table81317212529[[#This Row],[takes]]) &gt; 0,Table81317212529[[#This Row],[takes]]/SUM(Table81317212529[takes]),0)</f>
        <v>0.75</v>
      </c>
      <c r="E9" s="20">
        <f>IF(Table81317212529[[#This Row],[takes]]&gt;0,Table81317212529[[#This Row],[wins]]/Table81317212529[[#This Row],[takes]],0)</f>
        <v>0</v>
      </c>
    </row>
    <row r="11" spans="1:5" x14ac:dyDescent="0.25">
      <c r="A11" s="14" t="s">
        <v>131</v>
      </c>
      <c r="B11" s="15" t="s">
        <v>132</v>
      </c>
      <c r="C11" s="15" t="s">
        <v>80</v>
      </c>
      <c r="D11" s="16" t="s">
        <v>139</v>
      </c>
      <c r="E11" s="16" t="s">
        <v>140</v>
      </c>
    </row>
    <row r="12" spans="1:5" x14ac:dyDescent="0.25">
      <c r="A12" s="1" t="s">
        <v>116</v>
      </c>
      <c r="B12" s="1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</f>
        <v>1</v>
      </c>
      <c r="C12" s="1">
        <f>COUNTIF(Таблица1[winner1-ability3],Table91418222630[[#This Row],[ability]])+COUNTIF(Таблица1[winner2-ability3],Table91418222630[[#This Row],[ability]])</f>
        <v>0</v>
      </c>
      <c r="D12" s="21">
        <f>IF(SUM(Table91418222630[[#This Row],[takes]]) &gt; 0,Table91418222630[[#This Row],[takes]]/SUM(Table91418222630[takes]),0)</f>
        <v>0.5</v>
      </c>
      <c r="E12" s="21">
        <f>IF(Table91418222630[[#This Row],[takes]]&gt;0,Table91418222630[[#This Row],[wins]]/Table91418222630[[#This Row],[takes]],0)</f>
        <v>0</v>
      </c>
    </row>
    <row r="13" spans="1:5" x14ac:dyDescent="0.25">
      <c r="A13" s="2" t="s">
        <v>164</v>
      </c>
      <c r="B13" s="2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</f>
        <v>0</v>
      </c>
      <c r="C13" s="2">
        <f>COUNTIF(Таблица1[winner1-ability3],Table91418222630[[#This Row],[ability]])+COUNTIF(Таблица1[winner2-ability3],Table91418222630[[#This Row],[ability]])</f>
        <v>0</v>
      </c>
      <c r="D13" s="19">
        <f>IF(SUM(Table91418222630[[#This Row],[takes]]) &gt; 0,Table91418222630[[#This Row],[takes]]/SUM(Table91418222630[takes]),0)</f>
        <v>0</v>
      </c>
      <c r="E13" s="19">
        <f>IF(Table91418222630[[#This Row],[takes]]&gt;0,Table91418222630[[#This Row],[wins]]/Table91418222630[[#This Row],[takes]],0)</f>
        <v>0</v>
      </c>
    </row>
    <row r="14" spans="1:5" x14ac:dyDescent="0.25">
      <c r="A14" s="18" t="s">
        <v>101</v>
      </c>
      <c r="B14" s="18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</f>
        <v>1</v>
      </c>
      <c r="C14" s="18">
        <f>COUNTIF(Таблица1[winner1-ability3],Table91418222630[[#This Row],[ability]])+COUNTIF(Таблица1[winner2-ability3],Table91418222630[[#This Row],[ability]])</f>
        <v>1</v>
      </c>
      <c r="D14" s="22">
        <f>IF(SUM(Table91418222630[[#This Row],[takes]]) &gt; 0,Table91418222630[[#This Row],[takes]]/SUM(Table91418222630[takes]),0)</f>
        <v>0.5</v>
      </c>
      <c r="E14" s="22">
        <f>IF(Table91418222630[[#This Row],[takes]]&gt;0,Table91418222630[[#This Row],[wins]]/Table91418222630[[#This Row],[takes]],0)</f>
        <v>1</v>
      </c>
    </row>
    <row r="16" spans="1:5" x14ac:dyDescent="0.25">
      <c r="A16" s="14" t="s">
        <v>131</v>
      </c>
      <c r="B16" s="15" t="s">
        <v>132</v>
      </c>
      <c r="C16" s="15" t="s">
        <v>80</v>
      </c>
      <c r="D16" s="16" t="s">
        <v>139</v>
      </c>
      <c r="E16" s="16" t="s">
        <v>140</v>
      </c>
    </row>
    <row r="17" spans="1:5" x14ac:dyDescent="0.25">
      <c r="A17" s="2" t="s">
        <v>165</v>
      </c>
      <c r="B17" s="2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</f>
        <v>0</v>
      </c>
      <c r="C17" s="2">
        <f>COUNTIF(Таблица1[winner1-ability4],Table101519232731[[#This Row],[ability]])+COUNTIF(Таблица1[winner2-ability4],Table101519232731[[#This Row],[ability]])</f>
        <v>0</v>
      </c>
      <c r="D17" s="19">
        <f>IF(SUM(Table101519232731[[#This Row],[takes]]) &gt; 0,Table101519232731[[#This Row],[takes]]/SUM(Table101519232731[takes]),0)</f>
        <v>0</v>
      </c>
      <c r="E17" s="19">
        <f>IF(Table101519232731[[#This Row],[takes]]&gt;0,Table101519232731[[#This Row],[wins]]/Table101519232731[[#This Row],[takes]],0)</f>
        <v>0</v>
      </c>
    </row>
    <row r="18" spans="1:5" x14ac:dyDescent="0.25">
      <c r="A18" s="2" t="s">
        <v>166</v>
      </c>
      <c r="B18" s="2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</f>
        <v>0</v>
      </c>
      <c r="C18" s="2">
        <f>COUNTIF(Таблица1[winner1-ability4],Table101519232731[[#This Row],[ability]])+COUNTIF(Таблица1[winner2-ability4],Table101519232731[[#This Row],[ability]])</f>
        <v>0</v>
      </c>
      <c r="D18" s="19">
        <f>IF(SUM(Table101519232731[[#This Row],[takes]]) &gt; 0,Table101519232731[[#This Row],[takes]]/SUM(Table101519232731[takes]),0)</f>
        <v>0</v>
      </c>
      <c r="E18" s="19">
        <f>IF(Table101519232731[[#This Row],[takes]]&gt;0,Table101519232731[[#This Row],[wins]]/Table101519232731[[#This Row],[takes]],0)</f>
        <v>0</v>
      </c>
    </row>
    <row r="19" spans="1:5" x14ac:dyDescent="0.25">
      <c r="A19" s="17" t="s">
        <v>102</v>
      </c>
      <c r="B19" s="17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</f>
        <v>1</v>
      </c>
      <c r="C19" s="17">
        <f>COUNTIF(Таблица1[winner1-ability4],Table101519232731[[#This Row],[ability]])+COUNTIF(Таблица1[winner2-ability4],Table101519232731[[#This Row],[ability]])</f>
        <v>1</v>
      </c>
      <c r="D19" s="20">
        <f>IF(SUM(Table101519232731[[#This Row],[takes]]) &gt; 0,Table101519232731[[#This Row],[takes]]/SUM(Table101519232731[takes]),0)</f>
        <v>1</v>
      </c>
      <c r="E19" s="20">
        <f>IF(Table101519232731[[#This Row],[takes]]&gt;0,Table101519232731[[#This Row],[wins]]/Table101519232731[[#This Row],[takes]],0)</f>
        <v>1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0</vt:lpstr>
      <vt:lpstr>0-statistics</vt:lpstr>
      <vt:lpstr>statistics</vt:lpstr>
      <vt:lpstr>paragon</vt:lpstr>
      <vt:lpstr>highlander</vt:lpstr>
      <vt:lpstr>druid</vt:lpstr>
      <vt:lpstr>oracle</vt:lpstr>
      <vt:lpstr>avatar</vt:lpstr>
      <vt:lpstr>shadow</vt:lpstr>
      <vt:lpstr>lightbringer</vt:lpstr>
      <vt:lpstr>avenger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2021-08-24T15:09:38Z</dcterms:modified>
</cp:coreProperties>
</file>