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13_ncr:1_{C8DD1411-E0D5-47C1-96D6-A8740CF76529}" xr6:coauthVersionLast="47" xr6:coauthVersionMax="47" xr10:uidLastSave="{00000000-0000-0000-0000-000000000000}"/>
  <bookViews>
    <workbookView xWindow="-120" yWindow="-120" windowWidth="29040" windowHeight="15840" activeTab="9" xr2:uid="{00000000-000D-0000-FFFF-FFFF00000000}"/>
  </bookViews>
  <sheets>
    <sheet name="0" sheetId="1" r:id="rId1"/>
    <sheet name="0-statistics" sheetId="2" r:id="rId2"/>
    <sheet name="1" sheetId="13" r:id="rId3"/>
    <sheet name="1-statistics" sheetId="12" r:id="rId4"/>
    <sheet name="statistics" sheetId="3" r:id="rId5"/>
    <sheet name="paragon" sheetId="4" r:id="rId6"/>
    <sheet name="highlander" sheetId="5" r:id="rId7"/>
    <sheet name="druid" sheetId="6" r:id="rId8"/>
    <sheet name="oracle" sheetId="7" r:id="rId9"/>
    <sheet name="avatar" sheetId="8" r:id="rId10"/>
    <sheet name="shadow" sheetId="9" r:id="rId11"/>
    <sheet name="lightbringer" sheetId="10" r:id="rId12"/>
    <sheet name="avenger" sheetId="1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1" l="1"/>
  <c r="J3" i="11"/>
  <c r="J4" i="11"/>
  <c r="I2" i="11"/>
  <c r="I3" i="11"/>
  <c r="I4" i="11"/>
  <c r="H2" i="11"/>
  <c r="H3" i="11"/>
  <c r="H4" i="11"/>
  <c r="I2" i="10"/>
  <c r="I3" i="10"/>
  <c r="I4" i="10"/>
  <c r="H2" i="10"/>
  <c r="H3" i="10"/>
  <c r="H4" i="10"/>
  <c r="I2" i="9"/>
  <c r="I3" i="9"/>
  <c r="I4" i="9"/>
  <c r="H3" i="9"/>
  <c r="H2" i="9"/>
  <c r="H4" i="9"/>
  <c r="I2" i="8"/>
  <c r="I3" i="8"/>
  <c r="I4" i="8"/>
  <c r="H2" i="8"/>
  <c r="H3" i="8"/>
  <c r="H4" i="8"/>
  <c r="I2" i="7"/>
  <c r="I3" i="7"/>
  <c r="I4" i="7"/>
  <c r="H2" i="7"/>
  <c r="H3" i="7"/>
  <c r="H4" i="7"/>
  <c r="I2" i="6"/>
  <c r="I3" i="6"/>
  <c r="I4" i="6"/>
  <c r="H2" i="6"/>
  <c r="H3" i="6"/>
  <c r="H4" i="6"/>
  <c r="I2" i="5"/>
  <c r="I3" i="5"/>
  <c r="I4" i="5"/>
  <c r="H2" i="5"/>
  <c r="H3" i="5"/>
  <c r="H4" i="5"/>
  <c r="J2" i="4"/>
  <c r="J3" i="4"/>
  <c r="J4" i="4"/>
  <c r="I2" i="4"/>
  <c r="I3" i="4"/>
  <c r="I4" i="4"/>
  <c r="H2" i="4"/>
  <c r="H3" i="4"/>
  <c r="H4" i="4"/>
  <c r="S5" i="12"/>
  <c r="C17" i="11"/>
  <c r="C18" i="11"/>
  <c r="C19" i="11"/>
  <c r="C17" i="10"/>
  <c r="C18" i="10"/>
  <c r="C19" i="10"/>
  <c r="C17" i="9"/>
  <c r="C18" i="9"/>
  <c r="C19" i="9"/>
  <c r="C17" i="8"/>
  <c r="C18" i="8"/>
  <c r="C19" i="8"/>
  <c r="C17" i="7"/>
  <c r="C18" i="7"/>
  <c r="C19" i="7"/>
  <c r="C17" i="6"/>
  <c r="C18" i="6"/>
  <c r="C19" i="6"/>
  <c r="C17" i="5"/>
  <c r="C18" i="5"/>
  <c r="C19" i="5"/>
  <c r="C17" i="4"/>
  <c r="C18" i="4"/>
  <c r="C19" i="4"/>
  <c r="B17" i="11"/>
  <c r="B18" i="11"/>
  <c r="B19" i="11"/>
  <c r="B17" i="10"/>
  <c r="E17" i="10" s="1"/>
  <c r="B18" i="10"/>
  <c r="E18" i="10" s="1"/>
  <c r="B19" i="10"/>
  <c r="E19" i="10" s="1"/>
  <c r="B17" i="9"/>
  <c r="B18" i="9"/>
  <c r="E18" i="9" s="1"/>
  <c r="B19" i="9"/>
  <c r="E19" i="9" s="1"/>
  <c r="B17" i="8"/>
  <c r="E17" i="8" s="1"/>
  <c r="B18" i="8"/>
  <c r="B19" i="8"/>
  <c r="E19" i="8" s="1"/>
  <c r="B17" i="7"/>
  <c r="B18" i="7"/>
  <c r="B19" i="7"/>
  <c r="E19" i="7" s="1"/>
  <c r="B17" i="6"/>
  <c r="E17" i="6" s="1"/>
  <c r="B18" i="6"/>
  <c r="B19" i="6"/>
  <c r="E19" i="6" s="1"/>
  <c r="B17" i="5"/>
  <c r="B18" i="5"/>
  <c r="B19" i="5"/>
  <c r="E19" i="5" s="1"/>
  <c r="B17" i="4"/>
  <c r="B18" i="4"/>
  <c r="D18" i="4" s="1"/>
  <c r="B19" i="4"/>
  <c r="C12" i="11"/>
  <c r="C13" i="11"/>
  <c r="C14" i="11"/>
  <c r="C12" i="10"/>
  <c r="C13" i="10"/>
  <c r="C14" i="10"/>
  <c r="C12" i="9"/>
  <c r="C13" i="9"/>
  <c r="C14" i="9"/>
  <c r="C12" i="8"/>
  <c r="C13" i="8"/>
  <c r="C14" i="8"/>
  <c r="C12" i="7"/>
  <c r="C13" i="7"/>
  <c r="C14" i="7"/>
  <c r="C12" i="6"/>
  <c r="C13" i="6"/>
  <c r="C14" i="6"/>
  <c r="C12" i="5"/>
  <c r="C13" i="5"/>
  <c r="C14" i="5"/>
  <c r="C12" i="4"/>
  <c r="C13" i="4"/>
  <c r="C14" i="4"/>
  <c r="B12" i="11"/>
  <c r="B13" i="11"/>
  <c r="E13" i="11" s="1"/>
  <c r="B14" i="11"/>
  <c r="B12" i="10"/>
  <c r="B13" i="10"/>
  <c r="B14" i="10"/>
  <c r="B12" i="9"/>
  <c r="B13" i="9"/>
  <c r="E13" i="9" s="1"/>
  <c r="B14" i="9"/>
  <c r="B12" i="8"/>
  <c r="B13" i="8"/>
  <c r="B14" i="8"/>
  <c r="B12" i="7"/>
  <c r="B13" i="7"/>
  <c r="E13" i="7" s="1"/>
  <c r="B14" i="7"/>
  <c r="E14" i="7" s="1"/>
  <c r="B12" i="6"/>
  <c r="B13" i="6"/>
  <c r="B14" i="6"/>
  <c r="B12" i="5"/>
  <c r="B13" i="5"/>
  <c r="E13" i="5" s="1"/>
  <c r="B14" i="5"/>
  <c r="B12" i="4"/>
  <c r="E12" i="4" s="1"/>
  <c r="B13" i="4"/>
  <c r="B14" i="4"/>
  <c r="C7" i="11"/>
  <c r="C8" i="11"/>
  <c r="C9" i="11"/>
  <c r="C7" i="10"/>
  <c r="C8" i="10"/>
  <c r="C9" i="10"/>
  <c r="C7" i="9"/>
  <c r="C8" i="9"/>
  <c r="C9" i="9"/>
  <c r="C7" i="8"/>
  <c r="C8" i="8"/>
  <c r="C9" i="8"/>
  <c r="C7" i="7"/>
  <c r="C8" i="7"/>
  <c r="C9" i="7"/>
  <c r="C7" i="6"/>
  <c r="C8" i="6"/>
  <c r="C9" i="6"/>
  <c r="C7" i="5"/>
  <c r="C8" i="5"/>
  <c r="C9" i="5"/>
  <c r="C7" i="4"/>
  <c r="C8" i="4"/>
  <c r="C9" i="4"/>
  <c r="B7" i="11"/>
  <c r="B8" i="11"/>
  <c r="B9" i="11"/>
  <c r="E9" i="11" s="1"/>
  <c r="B7" i="10"/>
  <c r="B8" i="10"/>
  <c r="B9" i="10"/>
  <c r="E9" i="10" s="1"/>
  <c r="B7" i="9"/>
  <c r="B8" i="9"/>
  <c r="B9" i="9"/>
  <c r="B7" i="8"/>
  <c r="B8" i="8"/>
  <c r="B9" i="8"/>
  <c r="E9" i="8" s="1"/>
  <c r="B7" i="7"/>
  <c r="B8" i="7"/>
  <c r="B9" i="7"/>
  <c r="E9" i="7" s="1"/>
  <c r="B7" i="6"/>
  <c r="B8" i="6"/>
  <c r="B9" i="6"/>
  <c r="E9" i="6" s="1"/>
  <c r="B7" i="5"/>
  <c r="E7" i="5" s="1"/>
  <c r="B8" i="5"/>
  <c r="B9" i="5"/>
  <c r="E9" i="5" s="1"/>
  <c r="B7" i="4"/>
  <c r="B8" i="4"/>
  <c r="E8" i="4" s="1"/>
  <c r="B9" i="4"/>
  <c r="C2" i="11"/>
  <c r="C3" i="11"/>
  <c r="C4" i="11"/>
  <c r="C2" i="10"/>
  <c r="C3" i="10"/>
  <c r="C4" i="10"/>
  <c r="C2" i="9"/>
  <c r="C3" i="9"/>
  <c r="C4" i="9"/>
  <c r="C2" i="8"/>
  <c r="C3" i="8"/>
  <c r="C4" i="8"/>
  <c r="C2" i="7"/>
  <c r="C3" i="7"/>
  <c r="C4" i="7"/>
  <c r="C2" i="6"/>
  <c r="C3" i="6"/>
  <c r="C4" i="6"/>
  <c r="C2" i="5"/>
  <c r="C3" i="5"/>
  <c r="C4" i="5"/>
  <c r="C2" i="4"/>
  <c r="C3" i="4"/>
  <c r="C4" i="4"/>
  <c r="B2" i="11"/>
  <c r="B3" i="11"/>
  <c r="E3" i="11" s="1"/>
  <c r="B4" i="11"/>
  <c r="E4" i="11" s="1"/>
  <c r="B2" i="10"/>
  <c r="B3" i="10"/>
  <c r="E3" i="10" s="1"/>
  <c r="B4" i="10"/>
  <c r="B2" i="9"/>
  <c r="B3" i="9"/>
  <c r="B4" i="9"/>
  <c r="E4" i="9" s="1"/>
  <c r="B2" i="8"/>
  <c r="E2" i="8" s="1"/>
  <c r="B3" i="8"/>
  <c r="E3" i="8" s="1"/>
  <c r="B4" i="8"/>
  <c r="B2" i="7"/>
  <c r="B3" i="7"/>
  <c r="E3" i="7" s="1"/>
  <c r="B4" i="7"/>
  <c r="B2" i="6"/>
  <c r="B3" i="6"/>
  <c r="E3" i="6" s="1"/>
  <c r="B4" i="6"/>
  <c r="B2" i="5"/>
  <c r="B3" i="5"/>
  <c r="B4" i="5"/>
  <c r="B2" i="4"/>
  <c r="B3" i="4"/>
  <c r="D3" i="4" s="1"/>
  <c r="B4" i="4"/>
  <c r="E4" i="4" s="1"/>
  <c r="C2" i="3"/>
  <c r="C3" i="3"/>
  <c r="C4" i="3"/>
  <c r="C5" i="3"/>
  <c r="C6" i="3"/>
  <c r="C7" i="3"/>
  <c r="C8" i="3"/>
  <c r="C9" i="3"/>
  <c r="B2" i="3"/>
  <c r="B3" i="3"/>
  <c r="B4" i="3"/>
  <c r="B5" i="3"/>
  <c r="B6" i="3"/>
  <c r="B7" i="3"/>
  <c r="B8" i="3"/>
  <c r="B9" i="3"/>
  <c r="S7" i="12"/>
  <c r="S6" i="12"/>
  <c r="V2" i="12" s="1"/>
  <c r="S3" i="12"/>
  <c r="S1" i="12"/>
  <c r="S2" i="12"/>
  <c r="P7" i="2"/>
  <c r="P3" i="2"/>
  <c r="P5" i="2"/>
  <c r="P1" i="2"/>
  <c r="P6" i="2"/>
  <c r="S5" i="2" s="1"/>
  <c r="P2" i="2"/>
  <c r="D282" i="12"/>
  <c r="H282" i="12"/>
  <c r="D281" i="12"/>
  <c r="H281" i="12"/>
  <c r="D280" i="12"/>
  <c r="H280" i="12"/>
  <c r="D279" i="12"/>
  <c r="H279" i="12"/>
  <c r="D278" i="12"/>
  <c r="H278" i="12"/>
  <c r="D277" i="12"/>
  <c r="H277" i="12"/>
  <c r="D276" i="12"/>
  <c r="H276" i="12"/>
  <c r="D275" i="12"/>
  <c r="H275" i="12"/>
  <c r="D274" i="12"/>
  <c r="H274" i="12"/>
  <c r="D273" i="12"/>
  <c r="H273" i="12"/>
  <c r="D270" i="12"/>
  <c r="D271" i="12"/>
  <c r="D272" i="12"/>
  <c r="H270" i="12"/>
  <c r="H271" i="12"/>
  <c r="H272" i="12"/>
  <c r="D269" i="12"/>
  <c r="H269" i="12"/>
  <c r="D266" i="12"/>
  <c r="D267" i="12"/>
  <c r="D268" i="12"/>
  <c r="H266" i="12"/>
  <c r="H267" i="12"/>
  <c r="H268" i="12"/>
  <c r="D265" i="12"/>
  <c r="H265" i="12"/>
  <c r="D262" i="12"/>
  <c r="D263" i="12"/>
  <c r="D264" i="12"/>
  <c r="H262" i="12"/>
  <c r="H263" i="12"/>
  <c r="H264" i="12"/>
  <c r="D261" i="12"/>
  <c r="H261" i="12"/>
  <c r="D258" i="12"/>
  <c r="D259" i="12"/>
  <c r="D260" i="12"/>
  <c r="H258" i="12"/>
  <c r="H259" i="12"/>
  <c r="H260" i="12"/>
  <c r="D257" i="12"/>
  <c r="H257" i="12"/>
  <c r="D254" i="12"/>
  <c r="D255" i="12"/>
  <c r="D256" i="12"/>
  <c r="H254" i="12"/>
  <c r="H255" i="12"/>
  <c r="H256" i="12"/>
  <c r="D253" i="12"/>
  <c r="H253" i="12"/>
  <c r="D250" i="12"/>
  <c r="D251" i="12"/>
  <c r="D252" i="12"/>
  <c r="H250" i="12"/>
  <c r="H251" i="12"/>
  <c r="H252" i="12"/>
  <c r="D249" i="12"/>
  <c r="H249" i="12"/>
  <c r="D246" i="12"/>
  <c r="D247" i="12"/>
  <c r="D248" i="12"/>
  <c r="H246" i="12"/>
  <c r="H247" i="12"/>
  <c r="H248" i="12"/>
  <c r="D245" i="12"/>
  <c r="H245" i="12"/>
  <c r="D242" i="12"/>
  <c r="D243" i="12"/>
  <c r="D244" i="12"/>
  <c r="H242" i="12"/>
  <c r="H243" i="12"/>
  <c r="H244" i="12"/>
  <c r="D241" i="12"/>
  <c r="H241" i="12"/>
  <c r="D238" i="12"/>
  <c r="D239" i="12"/>
  <c r="D240" i="12"/>
  <c r="H238" i="12"/>
  <c r="H239" i="12"/>
  <c r="H240" i="12"/>
  <c r="D237" i="12"/>
  <c r="H237" i="12"/>
  <c r="D236" i="12"/>
  <c r="H236" i="12"/>
  <c r="D235" i="12"/>
  <c r="H235" i="12"/>
  <c r="D234" i="12"/>
  <c r="H234" i="12"/>
  <c r="D233" i="12"/>
  <c r="H233" i="12"/>
  <c r="D230" i="12"/>
  <c r="D231" i="12"/>
  <c r="D232" i="12"/>
  <c r="H230" i="12"/>
  <c r="H231" i="12"/>
  <c r="H232" i="12"/>
  <c r="D229" i="12"/>
  <c r="H229" i="12"/>
  <c r="D226" i="12"/>
  <c r="D227" i="12"/>
  <c r="D228" i="12"/>
  <c r="H226" i="12"/>
  <c r="H227" i="12"/>
  <c r="H228" i="12"/>
  <c r="D225" i="12"/>
  <c r="H225" i="12"/>
  <c r="D222" i="12"/>
  <c r="D223" i="12"/>
  <c r="D224" i="12"/>
  <c r="H222" i="12"/>
  <c r="H223" i="12"/>
  <c r="H224" i="12"/>
  <c r="D221" i="12"/>
  <c r="H221" i="12"/>
  <c r="D220" i="12"/>
  <c r="H220" i="12"/>
  <c r="D219" i="12"/>
  <c r="H219" i="12"/>
  <c r="D218" i="12"/>
  <c r="H218" i="12"/>
  <c r="D217" i="12"/>
  <c r="H217" i="12"/>
  <c r="D216" i="12"/>
  <c r="H216" i="12"/>
  <c r="D215" i="12"/>
  <c r="H215" i="12"/>
  <c r="D214" i="12"/>
  <c r="H214" i="12"/>
  <c r="D213" i="12"/>
  <c r="H213" i="12"/>
  <c r="D204" i="12"/>
  <c r="D205" i="12"/>
  <c r="D206" i="12"/>
  <c r="D207" i="12"/>
  <c r="D208" i="12"/>
  <c r="D209" i="12"/>
  <c r="D210" i="12"/>
  <c r="D211" i="12"/>
  <c r="D212" i="12"/>
  <c r="H204" i="12"/>
  <c r="H205" i="12"/>
  <c r="H206" i="12"/>
  <c r="H207" i="12"/>
  <c r="H208" i="12"/>
  <c r="H209" i="12"/>
  <c r="H210" i="12"/>
  <c r="H211" i="12"/>
  <c r="H212" i="12"/>
  <c r="D203" i="12"/>
  <c r="H203" i="12"/>
  <c r="D194" i="12"/>
  <c r="D195" i="12"/>
  <c r="D196" i="12"/>
  <c r="D197" i="12"/>
  <c r="D198" i="12"/>
  <c r="D199" i="12"/>
  <c r="D200" i="12"/>
  <c r="D201" i="12"/>
  <c r="D202" i="12"/>
  <c r="H194" i="12"/>
  <c r="H195" i="12"/>
  <c r="H196" i="12"/>
  <c r="H197" i="12"/>
  <c r="H198" i="12"/>
  <c r="H199" i="12"/>
  <c r="H200" i="12"/>
  <c r="H201" i="12"/>
  <c r="H202" i="12"/>
  <c r="D193" i="12"/>
  <c r="H193" i="12"/>
  <c r="D184" i="12"/>
  <c r="D185" i="12"/>
  <c r="D186" i="12"/>
  <c r="D187" i="12"/>
  <c r="D188" i="12"/>
  <c r="D189" i="12"/>
  <c r="D190" i="12"/>
  <c r="D191" i="12"/>
  <c r="D192" i="12"/>
  <c r="H184" i="12"/>
  <c r="H185" i="12"/>
  <c r="H186" i="12"/>
  <c r="H187" i="12"/>
  <c r="H188" i="12"/>
  <c r="H189" i="12"/>
  <c r="H190" i="12"/>
  <c r="H191" i="12"/>
  <c r="H192" i="12"/>
  <c r="D183" i="12"/>
  <c r="H183" i="12"/>
  <c r="D174" i="12"/>
  <c r="D175" i="12"/>
  <c r="D176" i="12"/>
  <c r="D177" i="12"/>
  <c r="D178" i="12"/>
  <c r="D179" i="12"/>
  <c r="D180" i="12"/>
  <c r="D181" i="12"/>
  <c r="D182" i="12"/>
  <c r="H174" i="12"/>
  <c r="H175" i="12"/>
  <c r="H176" i="12"/>
  <c r="H177" i="12"/>
  <c r="H178" i="12"/>
  <c r="H179" i="12"/>
  <c r="H180" i="12"/>
  <c r="H181" i="12"/>
  <c r="H182" i="12"/>
  <c r="D173" i="12"/>
  <c r="H173" i="12"/>
  <c r="D164" i="12"/>
  <c r="D165" i="12"/>
  <c r="D166" i="12"/>
  <c r="D167" i="12"/>
  <c r="D168" i="12"/>
  <c r="D169" i="12"/>
  <c r="D170" i="12"/>
  <c r="D171" i="12"/>
  <c r="D172" i="12"/>
  <c r="H164" i="12"/>
  <c r="H165" i="12"/>
  <c r="H166" i="12"/>
  <c r="H167" i="12"/>
  <c r="H168" i="12"/>
  <c r="H169" i="12"/>
  <c r="H170" i="12"/>
  <c r="H171" i="12"/>
  <c r="H172" i="12"/>
  <c r="D163" i="12"/>
  <c r="H163" i="12"/>
  <c r="D154" i="12"/>
  <c r="D155" i="12"/>
  <c r="D156" i="12"/>
  <c r="D157" i="12"/>
  <c r="D158" i="12"/>
  <c r="D159" i="12"/>
  <c r="D160" i="12"/>
  <c r="D161" i="12"/>
  <c r="D162" i="12"/>
  <c r="H154" i="12"/>
  <c r="H155" i="12"/>
  <c r="H156" i="12"/>
  <c r="H157" i="12"/>
  <c r="H158" i="12"/>
  <c r="H159" i="12"/>
  <c r="H160" i="12"/>
  <c r="H161" i="12"/>
  <c r="H162" i="12"/>
  <c r="D153" i="12"/>
  <c r="H153" i="12"/>
  <c r="D144" i="12"/>
  <c r="D145" i="12"/>
  <c r="D146" i="12"/>
  <c r="D147" i="12"/>
  <c r="D148" i="12"/>
  <c r="D149" i="12"/>
  <c r="D150" i="12"/>
  <c r="D151" i="12"/>
  <c r="D152" i="12"/>
  <c r="H144" i="12"/>
  <c r="H145" i="12"/>
  <c r="H146" i="12"/>
  <c r="H147" i="12"/>
  <c r="H148" i="12"/>
  <c r="H149" i="12"/>
  <c r="H150" i="12"/>
  <c r="H151" i="12"/>
  <c r="H152" i="12"/>
  <c r="D143" i="12"/>
  <c r="H143" i="12"/>
  <c r="D134" i="12"/>
  <c r="D135" i="12"/>
  <c r="D136" i="12"/>
  <c r="D137" i="12"/>
  <c r="D138" i="12"/>
  <c r="D139" i="12"/>
  <c r="D140" i="12"/>
  <c r="D141" i="12"/>
  <c r="D142" i="12"/>
  <c r="H134" i="12"/>
  <c r="H135" i="12"/>
  <c r="H136" i="12"/>
  <c r="H137" i="12"/>
  <c r="H138" i="12"/>
  <c r="H139" i="12"/>
  <c r="H140" i="12"/>
  <c r="H141" i="12"/>
  <c r="H142" i="12"/>
  <c r="D133" i="12"/>
  <c r="H133" i="12"/>
  <c r="D124" i="12"/>
  <c r="D125" i="12"/>
  <c r="D126" i="12"/>
  <c r="D127" i="12"/>
  <c r="D128" i="12"/>
  <c r="D129" i="12"/>
  <c r="D130" i="12"/>
  <c r="D131" i="12"/>
  <c r="D132" i="12"/>
  <c r="H124" i="12"/>
  <c r="H125" i="12"/>
  <c r="H126" i="12"/>
  <c r="H127" i="12"/>
  <c r="H128" i="12"/>
  <c r="H129" i="12"/>
  <c r="H130" i="12"/>
  <c r="H131" i="12"/>
  <c r="H132" i="12"/>
  <c r="D123" i="12"/>
  <c r="H123" i="12"/>
  <c r="D114" i="12"/>
  <c r="D115" i="12"/>
  <c r="D116" i="12"/>
  <c r="D117" i="12"/>
  <c r="D118" i="12"/>
  <c r="D119" i="12"/>
  <c r="D120" i="12"/>
  <c r="D121" i="12"/>
  <c r="D122" i="12"/>
  <c r="H114" i="12"/>
  <c r="H115" i="12"/>
  <c r="H116" i="12"/>
  <c r="H117" i="12"/>
  <c r="H118" i="12"/>
  <c r="H119" i="12"/>
  <c r="H120" i="12"/>
  <c r="H121" i="12"/>
  <c r="H122" i="12"/>
  <c r="D113" i="12"/>
  <c r="H113" i="12"/>
  <c r="D104" i="12"/>
  <c r="D105" i="12"/>
  <c r="D106" i="12"/>
  <c r="D107" i="12"/>
  <c r="D108" i="12"/>
  <c r="D109" i="12"/>
  <c r="D110" i="12"/>
  <c r="D111" i="12"/>
  <c r="D112" i="12"/>
  <c r="H104" i="12"/>
  <c r="H105" i="12"/>
  <c r="H106" i="12"/>
  <c r="H107" i="12"/>
  <c r="H108" i="12"/>
  <c r="H109" i="12"/>
  <c r="H110" i="12"/>
  <c r="H111" i="12"/>
  <c r="H112" i="12"/>
  <c r="D103" i="12"/>
  <c r="H103" i="12"/>
  <c r="D94" i="12"/>
  <c r="D95" i="12"/>
  <c r="D96" i="12"/>
  <c r="D97" i="12"/>
  <c r="D98" i="12"/>
  <c r="D99" i="12"/>
  <c r="D100" i="12"/>
  <c r="D101" i="12"/>
  <c r="D102" i="12"/>
  <c r="H94" i="12"/>
  <c r="H95" i="12"/>
  <c r="H96" i="12"/>
  <c r="H97" i="12"/>
  <c r="H98" i="12"/>
  <c r="H99" i="12"/>
  <c r="H100" i="12"/>
  <c r="H101" i="12"/>
  <c r="H102" i="12"/>
  <c r="D93" i="12"/>
  <c r="H93" i="12"/>
  <c r="D84" i="12"/>
  <c r="D85" i="12"/>
  <c r="D86" i="12"/>
  <c r="D87" i="12"/>
  <c r="D88" i="12"/>
  <c r="D89" i="12"/>
  <c r="D90" i="12"/>
  <c r="D91" i="12"/>
  <c r="D92" i="12"/>
  <c r="H84" i="12"/>
  <c r="H85" i="12"/>
  <c r="H86" i="12"/>
  <c r="H87" i="12"/>
  <c r="H88" i="12"/>
  <c r="H89" i="12"/>
  <c r="H90" i="12"/>
  <c r="H91" i="12"/>
  <c r="H92" i="12"/>
  <c r="D83" i="12"/>
  <c r="H83" i="12"/>
  <c r="D74" i="12"/>
  <c r="D75" i="12"/>
  <c r="D76" i="12"/>
  <c r="D77" i="12"/>
  <c r="D78" i="12"/>
  <c r="D79" i="12"/>
  <c r="D80" i="12"/>
  <c r="D81" i="12"/>
  <c r="D82" i="12"/>
  <c r="H74" i="12"/>
  <c r="H75" i="12"/>
  <c r="H76" i="12"/>
  <c r="H77" i="12"/>
  <c r="H78" i="12"/>
  <c r="H79" i="12"/>
  <c r="H80" i="12"/>
  <c r="H81" i="12"/>
  <c r="H82" i="12"/>
  <c r="D73" i="12"/>
  <c r="H73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E19" i="11"/>
  <c r="E8" i="11"/>
  <c r="E7" i="11"/>
  <c r="E17" i="9"/>
  <c r="E17" i="7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O52" i="12" l="1"/>
  <c r="O27" i="12"/>
  <c r="O37" i="12"/>
  <c r="D19" i="4"/>
  <c r="O56" i="12"/>
  <c r="O40" i="12"/>
  <c r="O42" i="12"/>
  <c r="O44" i="12"/>
  <c r="O46" i="12"/>
  <c r="O48" i="12"/>
  <c r="V5" i="12"/>
  <c r="W5" i="12" s="1"/>
  <c r="O9" i="12"/>
  <c r="O7" i="12"/>
  <c r="O5" i="12"/>
  <c r="O3" i="12"/>
  <c r="O35" i="12"/>
  <c r="O39" i="12"/>
  <c r="O47" i="12"/>
  <c r="O43" i="12"/>
  <c r="O55" i="12"/>
  <c r="O51" i="12"/>
  <c r="O29" i="12"/>
  <c r="O11" i="12"/>
  <c r="O33" i="12"/>
  <c r="O13" i="12"/>
  <c r="O25" i="12"/>
  <c r="O15" i="12"/>
  <c r="O17" i="12"/>
  <c r="O31" i="12"/>
  <c r="O19" i="12"/>
  <c r="O21" i="12"/>
  <c r="O23" i="12"/>
  <c r="V4" i="12"/>
  <c r="W4" i="12" s="1"/>
  <c r="O41" i="12"/>
  <c r="O58" i="12"/>
  <c r="O54" i="12"/>
  <c r="O50" i="12"/>
  <c r="O10" i="12"/>
  <c r="O12" i="12"/>
  <c r="O14" i="12"/>
  <c r="O16" i="12"/>
  <c r="O18" i="12"/>
  <c r="O20" i="12"/>
  <c r="O22" i="12"/>
  <c r="O24" i="12"/>
  <c r="O26" i="12"/>
  <c r="O28" i="12"/>
  <c r="O30" i="12"/>
  <c r="O32" i="12"/>
  <c r="O34" i="12"/>
  <c r="O36" i="12"/>
  <c r="O38" i="12"/>
  <c r="V3" i="12"/>
  <c r="W3" i="12" s="1"/>
  <c r="O8" i="12"/>
  <c r="O6" i="12"/>
  <c r="O4" i="12"/>
  <c r="O45" i="12"/>
  <c r="O57" i="12"/>
  <c r="O53" i="12"/>
  <c r="O49" i="12"/>
  <c r="V6" i="12"/>
  <c r="W6" i="12" s="1"/>
  <c r="S4" i="2"/>
  <c r="S3" i="2"/>
  <c r="T3" i="2" s="1"/>
  <c r="S6" i="2"/>
  <c r="T6" i="2" s="1"/>
  <c r="S2" i="2"/>
  <c r="T2" i="2" s="1"/>
  <c r="E13" i="8"/>
  <c r="E9" i="9"/>
  <c r="E13" i="6"/>
  <c r="E17" i="11"/>
  <c r="E17" i="5"/>
  <c r="E13" i="10"/>
  <c r="E7" i="10"/>
  <c r="E7" i="9"/>
  <c r="E7" i="8"/>
  <c r="E7" i="7"/>
  <c r="E7" i="6"/>
  <c r="E3" i="9"/>
  <c r="E3" i="5"/>
  <c r="E8" i="5"/>
  <c r="E12" i="5"/>
  <c r="E18" i="5"/>
  <c r="E4" i="6"/>
  <c r="E4" i="7"/>
  <c r="E8" i="7"/>
  <c r="E18" i="7"/>
  <c r="E8" i="8"/>
  <c r="E12" i="8"/>
  <c r="E8" i="10"/>
  <c r="E14" i="10"/>
  <c r="E12" i="11"/>
  <c r="E14" i="11"/>
  <c r="E18" i="11"/>
  <c r="I282" i="12"/>
  <c r="I281" i="12"/>
  <c r="I280" i="12"/>
  <c r="I275" i="12"/>
  <c r="I279" i="12"/>
  <c r="I278" i="12"/>
  <c r="I277" i="12"/>
  <c r="I276" i="12"/>
  <c r="I274" i="12"/>
  <c r="I272" i="12"/>
  <c r="I273" i="12"/>
  <c r="I270" i="12"/>
  <c r="I264" i="12"/>
  <c r="I271" i="12"/>
  <c r="I269" i="12"/>
  <c r="I266" i="12"/>
  <c r="I268" i="12"/>
  <c r="I260" i="12"/>
  <c r="I267" i="12"/>
  <c r="I265" i="12"/>
  <c r="I261" i="12"/>
  <c r="I262" i="12"/>
  <c r="I263" i="12"/>
  <c r="I259" i="12"/>
  <c r="I258" i="12"/>
  <c r="I257" i="12"/>
  <c r="I254" i="12"/>
  <c r="I236" i="12"/>
  <c r="I255" i="12"/>
  <c r="I256" i="12"/>
  <c r="I253" i="12"/>
  <c r="I251" i="12"/>
  <c r="I252" i="12"/>
  <c r="I250" i="12"/>
  <c r="I249" i="12"/>
  <c r="I246" i="12"/>
  <c r="I248" i="12"/>
  <c r="I247" i="12"/>
  <c r="I245" i="12"/>
  <c r="I240" i="12"/>
  <c r="I244" i="12"/>
  <c r="I243" i="12"/>
  <c r="I242" i="12"/>
  <c r="I241" i="12"/>
  <c r="I238" i="12"/>
  <c r="I239" i="12"/>
  <c r="I235" i="12"/>
  <c r="I237" i="12"/>
  <c r="I195" i="12"/>
  <c r="I234" i="12"/>
  <c r="I233" i="12"/>
  <c r="I228" i="12"/>
  <c r="I218" i="12"/>
  <c r="I220" i="12"/>
  <c r="I232" i="12"/>
  <c r="I231" i="12"/>
  <c r="I230" i="12"/>
  <c r="I229" i="12"/>
  <c r="I225" i="12"/>
  <c r="I227" i="12"/>
  <c r="I226" i="12"/>
  <c r="I222" i="12"/>
  <c r="I224" i="12"/>
  <c r="I223" i="12"/>
  <c r="I221" i="12"/>
  <c r="I192" i="12"/>
  <c r="I188" i="12"/>
  <c r="I219" i="12"/>
  <c r="I213" i="12"/>
  <c r="I215" i="12"/>
  <c r="I217" i="12"/>
  <c r="I106" i="12"/>
  <c r="I160" i="12"/>
  <c r="I156" i="12"/>
  <c r="I214" i="12"/>
  <c r="I216" i="12"/>
  <c r="I175" i="12"/>
  <c r="I172" i="12"/>
  <c r="I118" i="12"/>
  <c r="I114" i="12"/>
  <c r="I152" i="12"/>
  <c r="I145" i="12"/>
  <c r="I159" i="12"/>
  <c r="I155" i="12"/>
  <c r="I165" i="12"/>
  <c r="I180" i="12"/>
  <c r="I176" i="12"/>
  <c r="I107" i="12"/>
  <c r="I185" i="12"/>
  <c r="I212" i="12"/>
  <c r="I144" i="12"/>
  <c r="I205" i="12"/>
  <c r="I119" i="12"/>
  <c r="I115" i="12"/>
  <c r="I151" i="12"/>
  <c r="I147" i="12"/>
  <c r="I191" i="12"/>
  <c r="I187" i="12"/>
  <c r="I198" i="12"/>
  <c r="I194" i="12"/>
  <c r="I112" i="12"/>
  <c r="I104" i="12"/>
  <c r="I171" i="12"/>
  <c r="I167" i="12"/>
  <c r="I178" i="12"/>
  <c r="I174" i="12"/>
  <c r="I189" i="12"/>
  <c r="I196" i="12"/>
  <c r="I122" i="12"/>
  <c r="I128" i="12"/>
  <c r="I124" i="12"/>
  <c r="I138" i="12"/>
  <c r="I134" i="12"/>
  <c r="I161" i="12"/>
  <c r="I208" i="12"/>
  <c r="I204" i="12"/>
  <c r="I72" i="12"/>
  <c r="I108" i="12"/>
  <c r="I105" i="12"/>
  <c r="I121" i="12"/>
  <c r="I117" i="12"/>
  <c r="I131" i="12"/>
  <c r="I140" i="12"/>
  <c r="I136" i="12"/>
  <c r="I141" i="12"/>
  <c r="I137" i="12"/>
  <c r="I148" i="12"/>
  <c r="I168" i="12"/>
  <c r="I164" i="12"/>
  <c r="I184" i="12"/>
  <c r="I199" i="12"/>
  <c r="I211" i="12"/>
  <c r="I207" i="12"/>
  <c r="I129" i="12"/>
  <c r="I125" i="12"/>
  <c r="I139" i="12"/>
  <c r="I135" i="12"/>
  <c r="I162" i="12"/>
  <c r="I158" i="12"/>
  <c r="D7" i="4"/>
  <c r="D14" i="4"/>
  <c r="D9" i="4"/>
  <c r="I209" i="12"/>
  <c r="I203" i="12"/>
  <c r="I206" i="12"/>
  <c r="I210" i="12"/>
  <c r="I200" i="12"/>
  <c r="I197" i="12"/>
  <c r="I193" i="12"/>
  <c r="I201" i="12"/>
  <c r="I202" i="12"/>
  <c r="I190" i="12"/>
  <c r="I186" i="12"/>
  <c r="I183" i="12"/>
  <c r="I179" i="12"/>
  <c r="I181" i="12"/>
  <c r="I173" i="12"/>
  <c r="I177" i="12"/>
  <c r="I182" i="12"/>
  <c r="I169" i="12"/>
  <c r="I163" i="12"/>
  <c r="I170" i="12"/>
  <c r="I166" i="12"/>
  <c r="I157" i="12"/>
  <c r="I154" i="12"/>
  <c r="I153" i="12"/>
  <c r="I149" i="12"/>
  <c r="I143" i="12"/>
  <c r="I146" i="12"/>
  <c r="I150" i="12"/>
  <c r="I142" i="12"/>
  <c r="I133" i="12"/>
  <c r="I132" i="12"/>
  <c r="I127" i="12"/>
  <c r="I123" i="12"/>
  <c r="I130" i="12"/>
  <c r="I126" i="12"/>
  <c r="I113" i="12"/>
  <c r="I120" i="12"/>
  <c r="I116" i="12"/>
  <c r="I111" i="12"/>
  <c r="I110" i="12"/>
  <c r="I109" i="12"/>
  <c r="I103" i="12"/>
  <c r="I102" i="12"/>
  <c r="I98" i="12"/>
  <c r="I94" i="12"/>
  <c r="I86" i="12"/>
  <c r="I101" i="12"/>
  <c r="I95" i="12"/>
  <c r="I99" i="12"/>
  <c r="I97" i="12"/>
  <c r="I93" i="12"/>
  <c r="I100" i="12"/>
  <c r="I96" i="12"/>
  <c r="I87" i="12"/>
  <c r="I83" i="12"/>
  <c r="I92" i="12"/>
  <c r="I84" i="12"/>
  <c r="I89" i="12"/>
  <c r="I85" i="12"/>
  <c r="I90" i="12"/>
  <c r="I88" i="12"/>
  <c r="I91" i="12"/>
  <c r="I82" i="12"/>
  <c r="I78" i="12"/>
  <c r="I74" i="12"/>
  <c r="I77" i="12"/>
  <c r="I69" i="12"/>
  <c r="I73" i="12"/>
  <c r="I80" i="12"/>
  <c r="I76" i="12"/>
  <c r="I79" i="12"/>
  <c r="I75" i="12"/>
  <c r="I81" i="12"/>
  <c r="I71" i="12"/>
  <c r="I67" i="12"/>
  <c r="I65" i="12"/>
  <c r="I70" i="12"/>
  <c r="I68" i="12"/>
  <c r="I66" i="12"/>
  <c r="I64" i="12"/>
  <c r="I58" i="12"/>
  <c r="I45" i="12"/>
  <c r="I55" i="12"/>
  <c r="I63" i="12"/>
  <c r="I60" i="12"/>
  <c r="I56" i="12"/>
  <c r="I37" i="12"/>
  <c r="I59" i="12"/>
  <c r="I54" i="12"/>
  <c r="I62" i="12"/>
  <c r="I61" i="12"/>
  <c r="I57" i="12"/>
  <c r="I53" i="12"/>
  <c r="I48" i="12"/>
  <c r="I44" i="12"/>
  <c r="I50" i="12"/>
  <c r="I51" i="12"/>
  <c r="I49" i="12"/>
  <c r="I47" i="12"/>
  <c r="I46" i="12"/>
  <c r="I52" i="12"/>
  <c r="I43" i="12"/>
  <c r="I42" i="12"/>
  <c r="I38" i="12"/>
  <c r="I40" i="12"/>
  <c r="I36" i="12"/>
  <c r="I39" i="12"/>
  <c r="I35" i="12"/>
  <c r="I41" i="12"/>
  <c r="I34" i="12"/>
  <c r="I33" i="12"/>
  <c r="I32" i="12"/>
  <c r="I31" i="12"/>
  <c r="I30" i="12"/>
  <c r="I28" i="12"/>
  <c r="I29" i="12"/>
  <c r="I27" i="12"/>
  <c r="I26" i="12"/>
  <c r="I25" i="12"/>
  <c r="I21" i="12"/>
  <c r="I23" i="12"/>
  <c r="I24" i="12"/>
  <c r="I22" i="12"/>
  <c r="I20" i="12"/>
  <c r="I15" i="12"/>
  <c r="I17" i="12"/>
  <c r="I19" i="12"/>
  <c r="I16" i="12"/>
  <c r="I18" i="12"/>
  <c r="I13" i="12"/>
  <c r="I14" i="12"/>
  <c r="I6" i="12"/>
  <c r="I10" i="12"/>
  <c r="I12" i="12"/>
  <c r="I11" i="12"/>
  <c r="I9" i="12"/>
  <c r="I8" i="12"/>
  <c r="I7" i="12"/>
  <c r="I5" i="12"/>
  <c r="I4" i="12"/>
  <c r="W2" i="12"/>
  <c r="I3" i="12"/>
  <c r="E2" i="5"/>
  <c r="E4" i="5"/>
  <c r="E14" i="5"/>
  <c r="E2" i="6"/>
  <c r="E8" i="6"/>
  <c r="E12" i="6"/>
  <c r="E14" i="6"/>
  <c r="E18" i="6"/>
  <c r="E2" i="7"/>
  <c r="E12" i="7"/>
  <c r="E4" i="8"/>
  <c r="E14" i="8"/>
  <c r="E18" i="8"/>
  <c r="E2" i="9"/>
  <c r="E8" i="9"/>
  <c r="E12" i="9"/>
  <c r="E14" i="9"/>
  <c r="E2" i="10"/>
  <c r="E4" i="10"/>
  <c r="E12" i="10"/>
  <c r="E2" i="11"/>
  <c r="D2" i="4"/>
  <c r="D13" i="4"/>
  <c r="D17" i="4"/>
  <c r="D4" i="4"/>
  <c r="D8" i="4"/>
  <c r="D12" i="4"/>
  <c r="D4" i="5"/>
  <c r="D8" i="5"/>
  <c r="D12" i="5"/>
  <c r="D4" i="6"/>
  <c r="D8" i="6"/>
  <c r="D12" i="6"/>
  <c r="E3" i="4"/>
  <c r="E7" i="4"/>
  <c r="E19" i="4"/>
  <c r="D3" i="5"/>
  <c r="D7" i="5"/>
  <c r="D19" i="5"/>
  <c r="D3" i="6"/>
  <c r="D7" i="6"/>
  <c r="D19" i="6"/>
  <c r="E2" i="4"/>
  <c r="E14" i="4"/>
  <c r="E18" i="4"/>
  <c r="D2" i="5"/>
  <c r="D14" i="5"/>
  <c r="D18" i="5"/>
  <c r="D2" i="6"/>
  <c r="D14" i="6"/>
  <c r="D18" i="6"/>
  <c r="E9" i="4"/>
  <c r="E13" i="4"/>
  <c r="E17" i="4"/>
  <c r="D9" i="5"/>
  <c r="D13" i="5"/>
  <c r="D17" i="5"/>
  <c r="D9" i="6"/>
  <c r="D13" i="6"/>
  <c r="D17" i="6"/>
  <c r="D2" i="11"/>
  <c r="D3" i="11"/>
  <c r="D4" i="11"/>
  <c r="D7" i="11"/>
  <c r="D8" i="11"/>
  <c r="D9" i="11"/>
  <c r="D12" i="11"/>
  <c r="D13" i="11"/>
  <c r="D14" i="11"/>
  <c r="D17" i="11"/>
  <c r="D18" i="11"/>
  <c r="D19" i="11"/>
  <c r="D2" i="10"/>
  <c r="D3" i="10"/>
  <c r="D4" i="10"/>
  <c r="D7" i="10"/>
  <c r="D8" i="10"/>
  <c r="D9" i="10"/>
  <c r="D12" i="10"/>
  <c r="D13" i="10"/>
  <c r="D14" i="10"/>
  <c r="D17" i="10"/>
  <c r="D18" i="10"/>
  <c r="D19" i="10"/>
  <c r="D2" i="9"/>
  <c r="D3" i="9"/>
  <c r="D4" i="9"/>
  <c r="D7" i="9"/>
  <c r="D8" i="9"/>
  <c r="D9" i="9"/>
  <c r="D12" i="9"/>
  <c r="D13" i="9"/>
  <c r="D14" i="9"/>
  <c r="D17" i="9"/>
  <c r="D18" i="9"/>
  <c r="D19" i="9"/>
  <c r="D2" i="8"/>
  <c r="D3" i="8"/>
  <c r="D4" i="8"/>
  <c r="D7" i="8"/>
  <c r="D8" i="8"/>
  <c r="D9" i="8"/>
  <c r="D12" i="8"/>
  <c r="D13" i="8"/>
  <c r="D14" i="8"/>
  <c r="D17" i="8"/>
  <c r="D18" i="8"/>
  <c r="D19" i="8"/>
  <c r="D2" i="7"/>
  <c r="D3" i="7"/>
  <c r="D4" i="7"/>
  <c r="D7" i="7"/>
  <c r="D8" i="7"/>
  <c r="D9" i="7"/>
  <c r="D12" i="7"/>
  <c r="D13" i="7"/>
  <c r="D14" i="7"/>
  <c r="D17" i="7"/>
  <c r="D18" i="7"/>
  <c r="D19" i="7"/>
  <c r="D3" i="3"/>
  <c r="D6" i="3"/>
  <c r="D2" i="3"/>
  <c r="D9" i="3"/>
  <c r="D5" i="3"/>
  <c r="D7" i="3"/>
  <c r="D8" i="3"/>
  <c r="D4" i="3"/>
  <c r="T4" i="2"/>
  <c r="T5" i="2"/>
  <c r="G211" i="2"/>
  <c r="G207" i="2"/>
  <c r="G203" i="2"/>
  <c r="G199" i="2"/>
  <c r="G195" i="2"/>
  <c r="G191" i="2"/>
  <c r="G187" i="2"/>
  <c r="G183" i="2"/>
  <c r="G179" i="2"/>
  <c r="G175" i="2"/>
  <c r="G167" i="2"/>
  <c r="G163" i="2"/>
  <c r="G159" i="2"/>
  <c r="G155" i="2"/>
  <c r="G151" i="2"/>
  <c r="G147" i="2"/>
  <c r="G143" i="2"/>
  <c r="G139" i="2"/>
  <c r="G135" i="2"/>
  <c r="G131" i="2"/>
  <c r="G127" i="2"/>
  <c r="G123" i="2"/>
  <c r="G119" i="2"/>
  <c r="G115" i="2"/>
  <c r="G111" i="2"/>
  <c r="G107" i="2"/>
  <c r="G103" i="2"/>
  <c r="G99" i="2"/>
  <c r="G95" i="2"/>
  <c r="G91" i="2"/>
  <c r="G87" i="2"/>
  <c r="G83" i="2"/>
  <c r="G79" i="2"/>
  <c r="G75" i="2"/>
  <c r="G71" i="2"/>
  <c r="G67" i="2"/>
  <c r="G63" i="2"/>
  <c r="G59" i="2"/>
  <c r="G55" i="2"/>
  <c r="G51" i="2"/>
  <c r="G47" i="2"/>
  <c r="G43" i="2"/>
  <c r="G39" i="2"/>
  <c r="G35" i="2"/>
  <c r="G31" i="2"/>
  <c r="G27" i="2"/>
  <c r="G23" i="2"/>
  <c r="G19" i="2"/>
  <c r="G15" i="2"/>
  <c r="G11" i="2"/>
  <c r="G7" i="2"/>
  <c r="G3" i="2"/>
  <c r="G171" i="2"/>
  <c r="G210" i="2"/>
  <c r="G202" i="2"/>
  <c r="G194" i="2"/>
  <c r="G186" i="2"/>
  <c r="G178" i="2"/>
  <c r="G174" i="2"/>
  <c r="G170" i="2"/>
  <c r="G166" i="2"/>
  <c r="G162" i="2"/>
  <c r="G158" i="2"/>
  <c r="G154" i="2"/>
  <c r="G150" i="2"/>
  <c r="G146" i="2"/>
  <c r="G142" i="2"/>
  <c r="G138" i="2"/>
  <c r="G134" i="2"/>
  <c r="G130" i="2"/>
  <c r="G126" i="2"/>
  <c r="G122" i="2"/>
  <c r="G118" i="2"/>
  <c r="G114" i="2"/>
  <c r="G110" i="2"/>
  <c r="G106" i="2"/>
  <c r="G102" i="2"/>
  <c r="G98" i="2"/>
  <c r="G94" i="2"/>
  <c r="G90" i="2"/>
  <c r="G86" i="2"/>
  <c r="G82" i="2"/>
  <c r="G78" i="2"/>
  <c r="G74" i="2"/>
  <c r="G70" i="2"/>
  <c r="G66" i="2"/>
  <c r="G62" i="2"/>
  <c r="G58" i="2"/>
  <c r="G54" i="2"/>
  <c r="G50" i="2"/>
  <c r="G46" i="2"/>
  <c r="G42" i="2"/>
  <c r="G38" i="2"/>
  <c r="G34" i="2"/>
  <c r="G30" i="2"/>
  <c r="G26" i="2"/>
  <c r="G22" i="2"/>
  <c r="G18" i="2"/>
  <c r="G14" i="2"/>
  <c r="G10" i="2"/>
  <c r="G6" i="2"/>
  <c r="G206" i="2"/>
  <c r="G198" i="2"/>
  <c r="G190" i="2"/>
  <c r="G182" i="2"/>
  <c r="G209" i="2"/>
  <c r="G201" i="2"/>
  <c r="G193" i="2"/>
  <c r="G185" i="2"/>
  <c r="G173" i="2"/>
  <c r="G165" i="2"/>
  <c r="G205" i="2"/>
  <c r="G197" i="2"/>
  <c r="G189" i="2"/>
  <c r="G181" i="2"/>
  <c r="G177" i="2"/>
  <c r="G169" i="2"/>
  <c r="G161" i="2"/>
  <c r="G157" i="2"/>
  <c r="G153" i="2"/>
  <c r="G149" i="2"/>
  <c r="G145" i="2"/>
  <c r="G141" i="2"/>
  <c r="G137" i="2"/>
  <c r="G133" i="2"/>
  <c r="G129" i="2"/>
  <c r="G125" i="2"/>
  <c r="G121" i="2"/>
  <c r="G117" i="2"/>
  <c r="G113" i="2"/>
  <c r="G109" i="2"/>
  <c r="G105" i="2"/>
  <c r="G101" i="2"/>
  <c r="G97" i="2"/>
  <c r="G93" i="2"/>
  <c r="G89" i="2"/>
  <c r="G85" i="2"/>
  <c r="G81" i="2"/>
  <c r="G77" i="2"/>
  <c r="G73" i="2"/>
  <c r="G69" i="2"/>
  <c r="G65" i="2"/>
  <c r="G61" i="2"/>
  <c r="G57" i="2"/>
  <c r="G53" i="2"/>
  <c r="G49" i="2"/>
  <c r="G45" i="2"/>
  <c r="G41" i="2"/>
  <c r="G37" i="2"/>
  <c r="G33" i="2"/>
  <c r="G29" i="2"/>
  <c r="G25" i="2"/>
  <c r="G21" i="2"/>
  <c r="G17" i="2"/>
  <c r="G13" i="2"/>
  <c r="G9" i="2"/>
  <c r="G5" i="2"/>
  <c r="G208" i="2"/>
  <c r="G200" i="2"/>
  <c r="G192" i="2"/>
  <c r="G184" i="2"/>
  <c r="G176" i="2"/>
  <c r="G168" i="2"/>
  <c r="G160" i="2"/>
  <c r="G152" i="2"/>
  <c r="G144" i="2"/>
  <c r="G136" i="2"/>
  <c r="G128" i="2"/>
  <c r="G120" i="2"/>
  <c r="G112" i="2"/>
  <c r="G104" i="2"/>
  <c r="G96" i="2"/>
  <c r="G84" i="2"/>
  <c r="G76" i="2"/>
  <c r="G68" i="2"/>
  <c r="G60" i="2"/>
  <c r="G52" i="2"/>
  <c r="G44" i="2"/>
  <c r="G36" i="2"/>
  <c r="G28" i="2"/>
  <c r="G20" i="2"/>
  <c r="G12" i="2"/>
  <c r="G4" i="2"/>
  <c r="G212" i="2"/>
  <c r="G204" i="2"/>
  <c r="G196" i="2"/>
  <c r="G188" i="2"/>
  <c r="G172" i="2"/>
  <c r="G164" i="2"/>
  <c r="G156" i="2"/>
  <c r="G148" i="2"/>
  <c r="G140" i="2"/>
  <c r="G132" i="2"/>
  <c r="G124" i="2"/>
  <c r="G116" i="2"/>
  <c r="G108" i="2"/>
  <c r="G100" i="2"/>
  <c r="G92" i="2"/>
  <c r="G88" i="2"/>
  <c r="G80" i="2"/>
  <c r="G72" i="2"/>
  <c r="G64" i="2"/>
  <c r="G56" i="2"/>
  <c r="G48" i="2"/>
  <c r="G40" i="2"/>
  <c r="G32" i="2"/>
  <c r="G24" i="2"/>
  <c r="G16" i="2"/>
  <c r="G8" i="2"/>
  <c r="L18" i="2"/>
  <c r="G180" i="2"/>
  <c r="L14" i="2"/>
  <c r="L10" i="2"/>
  <c r="L6" i="2"/>
  <c r="L20" i="2"/>
  <c r="L16" i="2"/>
  <c r="L12" i="2"/>
  <c r="L26" i="2"/>
  <c r="L19" i="2"/>
  <c r="L15" i="2"/>
  <c r="L11" i="2"/>
  <c r="L7" i="2"/>
  <c r="L30" i="2"/>
  <c r="L24" i="2"/>
  <c r="L25" i="2"/>
  <c r="L21" i="2"/>
  <c r="L17" i="2"/>
  <c r="L13" i="2"/>
  <c r="L8" i="2"/>
  <c r="L4" i="2"/>
  <c r="L23" i="2"/>
  <c r="L22" i="2"/>
  <c r="L9" i="2"/>
  <c r="L5" i="2"/>
  <c r="L3" i="2"/>
  <c r="L27" i="2"/>
  <c r="L29" i="2"/>
  <c r="L28" i="2"/>
  <c r="N58" i="12" l="1"/>
  <c r="P58" i="12" s="1"/>
  <c r="N54" i="12"/>
  <c r="P54" i="12" s="1"/>
  <c r="N8" i="12"/>
  <c r="P8" i="12" s="1"/>
  <c r="N15" i="12"/>
  <c r="P15" i="12" s="1"/>
  <c r="N56" i="12"/>
  <c r="P56" i="12" s="1"/>
  <c r="N5" i="12"/>
  <c r="P5" i="12" s="1"/>
  <c r="N57" i="12"/>
  <c r="P57" i="12" s="1"/>
  <c r="N25" i="12"/>
  <c r="P25" i="12" s="1"/>
  <c r="N27" i="12"/>
  <c r="P27" i="12" s="1"/>
  <c r="N29" i="12"/>
  <c r="P29" i="12" s="1"/>
  <c r="N32" i="12"/>
  <c r="P32" i="12" s="1"/>
  <c r="N33" i="12"/>
  <c r="P33" i="12" s="1"/>
  <c r="N34" i="12"/>
  <c r="P34" i="12" s="1"/>
  <c r="N38" i="12"/>
  <c r="P38" i="12" s="1"/>
  <c r="N39" i="12"/>
  <c r="P39" i="12" s="1"/>
  <c r="N43" i="12"/>
  <c r="P43" i="12" s="1"/>
  <c r="N46" i="12"/>
  <c r="P46" i="12" s="1"/>
  <c r="N49" i="12"/>
  <c r="P49" i="12" s="1"/>
  <c r="N3" i="12"/>
  <c r="P3" i="12" s="1"/>
  <c r="N50" i="12"/>
  <c r="P50" i="12" s="1"/>
  <c r="N55" i="12"/>
  <c r="P55" i="12" s="1"/>
  <c r="N52" i="12"/>
  <c r="P52" i="12" s="1"/>
  <c r="N9" i="12"/>
  <c r="P9" i="12" s="1"/>
  <c r="N10" i="12"/>
  <c r="P10" i="12" s="1"/>
  <c r="N14" i="12"/>
  <c r="P14" i="12" s="1"/>
  <c r="N18" i="12"/>
  <c r="P18" i="12" s="1"/>
  <c r="N21" i="12"/>
  <c r="P21" i="12" s="1"/>
  <c r="N28" i="12"/>
  <c r="P28" i="12" s="1"/>
  <c r="N35" i="12"/>
  <c r="P35" i="12" s="1"/>
  <c r="N44" i="12"/>
  <c r="P44" i="12" s="1"/>
  <c r="N47" i="12"/>
  <c r="P47" i="12" s="1"/>
  <c r="N51" i="12"/>
  <c r="P51" i="12" s="1"/>
  <c r="N6" i="12"/>
  <c r="P6" i="12" s="1"/>
  <c r="N11" i="12"/>
  <c r="P11" i="12" s="1"/>
  <c r="N12" i="12"/>
  <c r="P12" i="12" s="1"/>
  <c r="N19" i="12"/>
  <c r="P19" i="12" s="1"/>
  <c r="N20" i="12"/>
  <c r="P20" i="12" s="1"/>
  <c r="N22" i="12"/>
  <c r="P22" i="12" s="1"/>
  <c r="N24" i="12"/>
  <c r="P24" i="12" s="1"/>
  <c r="N26" i="12"/>
  <c r="P26" i="12" s="1"/>
  <c r="N36" i="12"/>
  <c r="P36" i="12" s="1"/>
  <c r="N40" i="12"/>
  <c r="P40" i="12" s="1"/>
  <c r="N45" i="12"/>
  <c r="P45" i="12" s="1"/>
  <c r="N48" i="12"/>
  <c r="P48" i="12" s="1"/>
  <c r="N53" i="12"/>
  <c r="P53" i="12" s="1"/>
  <c r="N4" i="12"/>
  <c r="P4" i="12" s="1"/>
  <c r="N7" i="12"/>
  <c r="P7" i="12" s="1"/>
  <c r="N13" i="12"/>
  <c r="P13" i="12" s="1"/>
  <c r="N16" i="12"/>
  <c r="P16" i="12" s="1"/>
  <c r="N17" i="12"/>
  <c r="P17" i="12" s="1"/>
  <c r="N23" i="12"/>
  <c r="P23" i="12" s="1"/>
  <c r="N30" i="12"/>
  <c r="P30" i="12" s="1"/>
  <c r="N31" i="12"/>
  <c r="P31" i="12" s="1"/>
  <c r="N37" i="12"/>
  <c r="P37" i="12" s="1"/>
  <c r="N42" i="12"/>
  <c r="P42" i="12" s="1"/>
  <c r="N41" i="12"/>
  <c r="P41" i="12" s="1"/>
  <c r="K13" i="2"/>
  <c r="M13" i="2" s="1"/>
  <c r="K25" i="2"/>
  <c r="M25" i="2" s="1"/>
  <c r="K29" i="2"/>
  <c r="M29" i="2" s="1"/>
  <c r="K8" i="2"/>
  <c r="M8" i="2" s="1"/>
  <c r="K26" i="2"/>
  <c r="M26" i="2" s="1"/>
  <c r="K9" i="2"/>
  <c r="M9" i="2" s="1"/>
  <c r="K22" i="2"/>
  <c r="M22" i="2" s="1"/>
  <c r="K15" i="2"/>
  <c r="M15" i="2" s="1"/>
  <c r="K28" i="2"/>
  <c r="M28" i="2" s="1"/>
  <c r="K19" i="2"/>
  <c r="M19" i="2" s="1"/>
  <c r="K3" i="2"/>
  <c r="M3" i="2" s="1"/>
  <c r="K30" i="2"/>
  <c r="M30" i="2" s="1"/>
  <c r="K7" i="2"/>
  <c r="M7" i="2" s="1"/>
  <c r="K17" i="2"/>
  <c r="M17" i="2" s="1"/>
  <c r="K24" i="2"/>
  <c r="M24" i="2" s="1"/>
  <c r="K21" i="2"/>
  <c r="M21" i="2" s="1"/>
  <c r="K5" i="2"/>
  <c r="M5" i="2" s="1"/>
  <c r="K23" i="2"/>
  <c r="M23" i="2" s="1"/>
  <c r="K4" i="2"/>
  <c r="M4" i="2" s="1"/>
  <c r="K11" i="2"/>
  <c r="M11" i="2" s="1"/>
  <c r="K6" i="2"/>
  <c r="M6" i="2" s="1"/>
  <c r="K10" i="2"/>
  <c r="M10" i="2" s="1"/>
  <c r="K27" i="2"/>
  <c r="M27" i="2" s="1"/>
  <c r="K12" i="2"/>
  <c r="M12" i="2" s="1"/>
  <c r="K20" i="2"/>
  <c r="M20" i="2" s="1"/>
  <c r="K18" i="2"/>
  <c r="M18" i="2" s="1"/>
  <c r="K14" i="2"/>
  <c r="M14" i="2" s="1"/>
  <c r="K16" i="2"/>
  <c r="M16" i="2" s="1"/>
</calcChain>
</file>

<file path=xl/sharedStrings.xml><?xml version="1.0" encoding="utf-8"?>
<sst xmlns="http://schemas.openxmlformats.org/spreadsheetml/2006/main" count="7604" uniqueCount="492">
  <si>
    <t>battle</t>
  </si>
  <si>
    <t>winner1</t>
  </si>
  <si>
    <t>winner1-pw</t>
  </si>
  <si>
    <t>winner1-sw</t>
  </si>
  <si>
    <t>winner1-cp</t>
  </si>
  <si>
    <t>winner1-ability1</t>
  </si>
  <si>
    <t>winner1-ability2</t>
  </si>
  <si>
    <t>winner1-ability3</t>
  </si>
  <si>
    <t>winner1-ability4</t>
  </si>
  <si>
    <t>winner2</t>
  </si>
  <si>
    <t>winner2-pw</t>
  </si>
  <si>
    <t>winner2-sw</t>
  </si>
  <si>
    <t>winner2-cp</t>
  </si>
  <si>
    <t>winner2-ability1</t>
  </si>
  <si>
    <t>winner2-ability2</t>
  </si>
  <si>
    <t>winner2-ability3</t>
  </si>
  <si>
    <t>winner2-ability4</t>
  </si>
  <si>
    <t>loser1</t>
  </si>
  <si>
    <t>loser1-pw</t>
  </si>
  <si>
    <t>loser1-sw</t>
  </si>
  <si>
    <t>loser1-cp</t>
  </si>
  <si>
    <t>loser1-ability1</t>
  </si>
  <si>
    <t>loser1-ability2</t>
  </si>
  <si>
    <t>loser1-ability3</t>
  </si>
  <si>
    <t>loser1-ability4</t>
  </si>
  <si>
    <t>loser2</t>
  </si>
  <si>
    <t>loser2-pw</t>
  </si>
  <si>
    <t>loser2-sw</t>
  </si>
  <si>
    <t>loser2-cp</t>
  </si>
  <si>
    <t>loser2-ability1</t>
  </si>
  <si>
    <t>loser2-ability3</t>
  </si>
  <si>
    <t>loser2-ability4</t>
  </si>
  <si>
    <t>turns</t>
  </si>
  <si>
    <t>oracle</t>
  </si>
  <si>
    <t>13-dangerous-knowledge</t>
  </si>
  <si>
    <t>23-paranoia</t>
  </si>
  <si>
    <t>31-disruption</t>
  </si>
  <si>
    <t>42-castling</t>
  </si>
  <si>
    <t>avenger</t>
  </si>
  <si>
    <t>13-fit-of-energy</t>
  </si>
  <si>
    <t>21-precise-strike</t>
  </si>
  <si>
    <t>31-blade-storm</t>
  </si>
  <si>
    <t>43-sands-of-time</t>
  </si>
  <si>
    <t>avatar</t>
  </si>
  <si>
    <t>11-furious-strike</t>
  </si>
  <si>
    <t>shadow</t>
  </si>
  <si>
    <t>11-kinetic-impact</t>
  </si>
  <si>
    <t>11-aimed-shot</t>
  </si>
  <si>
    <t>druid</t>
  </si>
  <si>
    <t>11-crown-of-thorns</t>
  </si>
  <si>
    <t>22-wolf</t>
  </si>
  <si>
    <t>31-choking-vine</t>
  </si>
  <si>
    <t>42-dryad</t>
  </si>
  <si>
    <t>paragon</t>
  </si>
  <si>
    <t>11-sunder-armor</t>
  </si>
  <si>
    <t>21-spear-throw</t>
  </si>
  <si>
    <t>highlander</t>
  </si>
  <si>
    <t>13-lightning-rod</t>
  </si>
  <si>
    <t>battles</t>
  </si>
  <si>
    <t>hero-1</t>
  </si>
  <si>
    <t>hero-2</t>
  </si>
  <si>
    <t>hero-3</t>
  </si>
  <si>
    <t>hero-4</t>
  </si>
  <si>
    <t>lightbringer</t>
  </si>
  <si>
    <t>crystals</t>
  </si>
  <si>
    <t>12-reflection</t>
  </si>
  <si>
    <t>21-mind-blow</t>
  </si>
  <si>
    <t>11-double-strike</t>
  </si>
  <si>
    <t>11-heavy-strike</t>
  </si>
  <si>
    <t>21-sweeping-strike</t>
  </si>
  <si>
    <t>22-quicksands</t>
  </si>
  <si>
    <t>21-entangling-roots</t>
  </si>
  <si>
    <t>11-sun-strike</t>
  </si>
  <si>
    <t>13-fireball</t>
  </si>
  <si>
    <t>21-flame-claws</t>
  </si>
  <si>
    <t>33-meteor</t>
  </si>
  <si>
    <t>23-blind</t>
  </si>
  <si>
    <t>team-2-win</t>
  </si>
  <si>
    <t>Setups</t>
  </si>
  <si>
    <t>wins</t>
  </si>
  <si>
    <t>win-rate</t>
  </si>
  <si>
    <t>team-1-win</t>
  </si>
  <si>
    <t>Teams</t>
  </si>
  <si>
    <t>b3342980-04b3-11ec-a5bb-53febc6ba765</t>
  </si>
  <si>
    <t>22-counterattack</t>
  </si>
  <si>
    <t>23-breath-of-life</t>
  </si>
  <si>
    <t>bd923f40-04b6-11ec-a5bb-53febc6ba765</t>
  </si>
  <si>
    <t>33-lightning-strike</t>
  </si>
  <si>
    <t>792e96c0-04b9-11ec-a5bb-53febc6ba765</t>
  </si>
  <si>
    <t>12-heavy-shot</t>
  </si>
  <si>
    <t>6cd5be40-04bd-11ec-81f5-5558d03ce9a6</t>
  </si>
  <si>
    <t>32-thunderer</t>
  </si>
  <si>
    <t>41-decapitation</t>
  </si>
  <si>
    <t>12-poison-touch</t>
  </si>
  <si>
    <t>33-power-of-the-pack</t>
  </si>
  <si>
    <t>23-aura-of-light</t>
  </si>
  <si>
    <t>2e252160-04c0-11ec-81f5-5558d03ce9a6</t>
  </si>
  <si>
    <t>75268cf0-04c2-11ec-81f5-5558d03ce9a6</t>
  </si>
  <si>
    <t>bfaefc60-04c4-11ec-81f5-5558d03ce9a6</t>
  </si>
  <si>
    <t>22-cat-hook</t>
  </si>
  <si>
    <t>33-dark-shot</t>
  </si>
  <si>
    <t>43-oblivion</t>
  </si>
  <si>
    <t>8315a6c0-04c7-11ec-81f5-5558d03ce9a6</t>
  </si>
  <si>
    <t>21-aura-of-might</t>
  </si>
  <si>
    <t>a6b1cad0-04c9-11ec-81f5-5558d03ce9a6</t>
  </si>
  <si>
    <t>23-temporal-strike</t>
  </si>
  <si>
    <t>50f118a0-04cc-11ec-81f5-5558d03ce9a6</t>
  </si>
  <si>
    <t>878d6f10-04ce-11ec-81f5-5558d03ce9a6</t>
  </si>
  <si>
    <t>33-bandaging</t>
  </si>
  <si>
    <t>41-piercing-strike</t>
  </si>
  <si>
    <t>23-scorch</t>
  </si>
  <si>
    <t>32-elements-control</t>
  </si>
  <si>
    <t>42-dragon-spirit</t>
  </si>
  <si>
    <t>40e59100-04d3-11ec-81f5-5558d03ce9a6</t>
  </si>
  <si>
    <t>b43fada0-04d5-11ec-81f5-5558d03ce9a6</t>
  </si>
  <si>
    <t>31-volley</t>
  </si>
  <si>
    <t>e8c7ad90-04d8-11ec-92d4-db8882ed2b97</t>
  </si>
  <si>
    <t>eaf996d0-04da-11ec-92d4-db8882ed2b97</t>
  </si>
  <si>
    <t>13-sun-touch</t>
  </si>
  <si>
    <t>31-retribution</t>
  </si>
  <si>
    <t>2d047380-04de-11ec-92d4-db8882ed2b97</t>
  </si>
  <si>
    <t>4d1bdda0-04e0-11ec-92d4-db8882ed2b97</t>
  </si>
  <si>
    <t>32-no-step-back</t>
  </si>
  <si>
    <t>hero</t>
  </si>
  <si>
    <t>Average Crystals Per Battle</t>
  </si>
  <si>
    <t>Average Turns Count</t>
  </si>
  <si>
    <t>Think Time</t>
  </si>
  <si>
    <t>Estimated Battle Time (mins)</t>
  </si>
  <si>
    <t>Estimated Full Run Time (hours)</t>
  </si>
  <si>
    <t>fab75950-04e3-11ec-92d4-db8882ed2b97</t>
  </si>
  <si>
    <t>ability</t>
  </si>
  <si>
    <t>takes</t>
  </si>
  <si>
    <t>12-shield-bash</t>
  </si>
  <si>
    <t>13-shoulder-to-shoulder</t>
  </si>
  <si>
    <t>23-defender</t>
  </si>
  <si>
    <t>31-assault</t>
  </si>
  <si>
    <t>42-breakthrough</t>
  </si>
  <si>
    <t>43-rallying</t>
  </si>
  <si>
    <t>battles-take-rate</t>
  </si>
  <si>
    <t>take-win-rate</t>
  </si>
  <si>
    <t>loser2-ability2</t>
  </si>
  <si>
    <t>12-strong-grip</t>
  </si>
  <si>
    <t>22-freedom-spirit</t>
  </si>
  <si>
    <t>23-static-attraction</t>
  </si>
  <si>
    <t>31-halving</t>
  </si>
  <si>
    <t>42-ancestral-power</t>
  </si>
  <si>
    <t>43-chain-lightning</t>
  </si>
  <si>
    <t>13-wound-healing</t>
  </si>
  <si>
    <t>32-war-tree</t>
  </si>
  <si>
    <t>41-wrath-of-nature</t>
  </si>
  <si>
    <t>43-symbiosis</t>
  </si>
  <si>
    <t>22-knowledge-steal</t>
  </si>
  <si>
    <t>32-teleportation</t>
  </si>
  <si>
    <t>33-mind-control</t>
  </si>
  <si>
    <t>41-void-vortex</t>
  </si>
  <si>
    <t>43-amnesia</t>
  </si>
  <si>
    <t>12-flame-dash</t>
  </si>
  <si>
    <t>22-cauterization</t>
  </si>
  <si>
    <t>31-dragon-tail</t>
  </si>
  <si>
    <t>41-harmony</t>
  </si>
  <si>
    <t>43-fire</t>
  </si>
  <si>
    <t>13-debilitating-shot</t>
  </si>
  <si>
    <t>21-rapid-fire</t>
  </si>
  <si>
    <t>32-shadow-cloak</t>
  </si>
  <si>
    <t>41-headshot</t>
  </si>
  <si>
    <t>42-phantom</t>
  </si>
  <si>
    <t>12-skies-gift</t>
  </si>
  <si>
    <t>22-aura-of-fortitude</t>
  </si>
  <si>
    <t>32-sun-aegis</t>
  </si>
  <si>
    <t>33-cleansing</t>
  </si>
  <si>
    <t>41-hammer-of-wrath</t>
  </si>
  <si>
    <t>42-divine-radiance</t>
  </si>
  <si>
    <t>43-sunrise</t>
  </si>
  <si>
    <t>12-desert-revenge</t>
  </si>
  <si>
    <t>32-sand-storm</t>
  </si>
  <si>
    <t>33-time-trap</t>
  </si>
  <si>
    <t>41-excellence</t>
  </si>
  <si>
    <t>42-sand-form</t>
  </si>
  <si>
    <t>d45a1ca0-04e5-11ec-92d4-db8882ed2b97</t>
  </si>
  <si>
    <t>9f0918a0-04e8-11ec-92d4-db8882ed2b97</t>
  </si>
  <si>
    <t>1df95d30-04eb-11ec-92d4-db8882ed2b97</t>
  </si>
  <si>
    <t>26ec1890-04ed-11ec-92d4-db8882ed2b97</t>
  </si>
  <si>
    <t>hero-6</t>
  </si>
  <si>
    <t>hero-5</t>
  </si>
  <si>
    <t>winner3</t>
  </si>
  <si>
    <t>winner3-pw</t>
  </si>
  <si>
    <t>winner3-sw</t>
  </si>
  <si>
    <t>winner3-cp</t>
  </si>
  <si>
    <t>winner3-ability1</t>
  </si>
  <si>
    <t>winner3-ability2</t>
  </si>
  <si>
    <t>winner3-ability3</t>
  </si>
  <si>
    <t>winner3-ability4</t>
  </si>
  <si>
    <t>loser3</t>
  </si>
  <si>
    <t>loser3-pw</t>
  </si>
  <si>
    <t>loser3-sw</t>
  </si>
  <si>
    <t>loser3-cp</t>
  </si>
  <si>
    <t>loser3-ability1</t>
  </si>
  <si>
    <t>loser3-ability2</t>
  </si>
  <si>
    <t>loser3-ability3</t>
  </si>
  <si>
    <t>loser3-ability4</t>
  </si>
  <si>
    <t>fcd35320-04f1-11ec-9a65-b9bb8b3a938a</t>
  </si>
  <si>
    <t>e1d35410-04f3-11ec-9a65-b9bb8b3a938a</t>
  </si>
  <si>
    <t>a3a60d70-04f5-11ec-9a65-b9bb8b3a938a</t>
  </si>
  <si>
    <t>6b0d7500-04f7-11ec-9a65-b9bb8b3a938a</t>
  </si>
  <si>
    <t>c3c81400-04f9-11ec-9a65-b9bb8b3a938a</t>
  </si>
  <si>
    <t>a79740a0-04fc-11ec-9a65-b9bb8b3a938a</t>
  </si>
  <si>
    <t>88e9fb90-04ff-11ec-9a65-b9bb8b3a938a</t>
  </si>
  <si>
    <t>10b69f40-0502-11ec-9a65-b9bb8b3a938a</t>
  </si>
  <si>
    <t>57265220-0504-11ec-9a65-b9bb8b3a938a</t>
  </si>
  <si>
    <t>d66070f0-0506-11ec-9a65-b9bb8b3a938a</t>
  </si>
  <si>
    <t>e3ff7650-0508-11ec-9a65-b9bb8b3a938a</t>
  </si>
  <si>
    <t>1692d230-050c-11ec-9a65-b9bb8b3a938a</t>
  </si>
  <si>
    <t>6fff8320-050e-11ec-9a65-b9bb8b3a938a</t>
  </si>
  <si>
    <t>62a651a0-0512-11ec-9a65-b9bb8b3a938a</t>
  </si>
  <si>
    <t>5e6f4cc0-0514-11ec-9a65-b9bb8b3a938a</t>
  </si>
  <si>
    <t>40de9b40-0517-11ec-9a65-b9bb8b3a938a</t>
  </si>
  <si>
    <t>76b0eaf0-0519-11ec-9a65-b9bb8b3a938a</t>
  </si>
  <si>
    <t>467049f0-051c-11ec-9a65-b9bb8b3a938a</t>
  </si>
  <si>
    <t>de88fc80-051e-11ec-9a65-b9bb8b3a938a</t>
  </si>
  <si>
    <t>4d368100-0521-11ec-9a65-b9bb8b3a938a</t>
  </si>
  <si>
    <t>23a1f1a0-0524-11ec-9a65-b9bb8b3a938a</t>
  </si>
  <si>
    <t>a29ca100-0527-11ec-9a65-b9bb8b3a938a</t>
  </si>
  <si>
    <t>bf8f87b0-052b-11ec-9a65-b9bb8b3a938a</t>
  </si>
  <si>
    <t>cc43def0-052d-11ec-9a65-b9bb8b3a938a</t>
  </si>
  <si>
    <t>c36ccfa0-0530-11ec-9a65-b9bb8b3a938a</t>
  </si>
  <si>
    <t>0adb06c0-0533-11ec-9a65-b9bb8b3a938a</t>
  </si>
  <si>
    <t>3e1582a0-0537-11ec-9a65-b9bb8b3a938a</t>
  </si>
  <si>
    <t>47dcd6a0-053a-11ec-9a65-b9bb8b3a938a</t>
  </si>
  <si>
    <t>c90fb830-053c-11ec-9a65-b9bb8b3a938a</t>
  </si>
  <si>
    <t>8925f480-053e-11ec-9a65-b9bb8b3a938a</t>
  </si>
  <si>
    <t>5c0c2b70-0540-11ec-9a65-b9bb8b3a938a</t>
  </si>
  <si>
    <t>8edf1dd0-0542-11ec-9a65-b9bb8b3a938a</t>
  </si>
  <si>
    <t>4d8f4500-0545-11ec-9a65-b9bb8b3a938a</t>
  </si>
  <si>
    <t>869177e0-0547-11ec-9a65-b9bb8b3a938a</t>
  </si>
  <si>
    <t>e2fee5b0-0549-11ec-9a65-b9bb8b3a938a</t>
  </si>
  <si>
    <t>7ba929e0-054c-11ec-9a65-b9bb8b3a938a</t>
  </si>
  <si>
    <t>d7f728d0-054e-11ec-9a65-b9bb8b3a938a</t>
  </si>
  <si>
    <t>8393bcb0-0551-11ec-9a65-b9bb8b3a938a</t>
  </si>
  <si>
    <t>b557e1b0-0554-11ec-9a65-b9bb8b3a938a</t>
  </si>
  <si>
    <t>81884d90-0557-11ec-9a65-b9bb8b3a938a</t>
  </si>
  <si>
    <t>554339a0-0559-11ec-9a65-b9bb8b3a938a</t>
  </si>
  <si>
    <t>c6b116a0-055b-11ec-9a65-b9bb8b3a938a</t>
  </si>
  <si>
    <t>1390b520-0561-11ec-9a65-b9bb8b3a938a</t>
  </si>
  <si>
    <t>b74486c0-0565-11ec-9a65-b9bb8b3a938a</t>
  </si>
  <si>
    <t>3d3a4790-0568-11ec-9a65-b9bb8b3a938a</t>
  </si>
  <si>
    <t>82a8f340-056c-11ec-9a65-b9bb8b3a938a</t>
  </si>
  <si>
    <t>6605fd20-056f-11ec-9a65-b9bb8b3a938a</t>
  </si>
  <si>
    <t>4a96f320-0572-11ec-9a65-b9bb8b3a938a</t>
  </si>
  <si>
    <t>aa762490-0573-11ec-9a65-b9bb8b3a938a</t>
  </si>
  <si>
    <t>5033c560-0577-11ec-9a65-b9bb8b3a938a</t>
  </si>
  <si>
    <t>60adfe40-0579-11ec-9a65-b9bb8b3a938a</t>
  </si>
  <si>
    <t>94a26630-057b-11ec-9a65-b9bb8b3a938a</t>
  </si>
  <si>
    <t>Min Crystals Per Battle</t>
  </si>
  <si>
    <t>Min Turns Count</t>
  </si>
  <si>
    <t>Max Crystals Per Battle</t>
  </si>
  <si>
    <t>Max Turns Count</t>
  </si>
  <si>
    <t>53e1bef0-0587-11ec-bf0e-7d27b423b9fe</t>
  </si>
  <si>
    <t>5568a5b0-058a-11ec-bf0e-7d27b423b9fe</t>
  </si>
  <si>
    <t>56ff7580-058e-11ec-bf0e-7d27b423b9fe</t>
  </si>
  <si>
    <t>70d45350-0592-11ec-bf0e-7d27b423b9fe</t>
  </si>
  <si>
    <t>ee978990-0594-11ec-bf0e-7d27b423b9fe</t>
  </si>
  <si>
    <t>40da6d60-0597-11ec-bf0e-7d27b423b9fe</t>
  </si>
  <si>
    <t>ad55cfa0-0599-11ec-bf0e-7d27b423b9fe</t>
  </si>
  <si>
    <t>57879570-0587-11ec-ad35-ef9fa4aa06d8</t>
  </si>
  <si>
    <t>17b5f0d0-058d-11ec-ad35-ef9fa4aa06d8</t>
  </si>
  <si>
    <t>a890ee30-0591-11ec-ad35-ef9fa4aa06d8</t>
  </si>
  <si>
    <t>f86d6e70-0595-11ec-ad35-ef9fa4aa06d8</t>
  </si>
  <si>
    <t>acf12f80-059b-11ec-ad35-ef9fa4aa06d8</t>
  </si>
  <si>
    <t>1ccfcf10-05a0-11ec-ad35-ef9fa4aa06d8</t>
  </si>
  <si>
    <t>b862f070-05a4-11ec-ad35-ef9fa4aa06d8</t>
  </si>
  <si>
    <t>62d4a9d0-05b0-11ec-8f96-cd3f59683396</t>
  </si>
  <si>
    <t>77a241d0-05b3-11ec-8f96-cd3f59683396</t>
  </si>
  <si>
    <t>1e1ee250-05b6-11ec-8f96-cd3f59683396</t>
  </si>
  <si>
    <t>d3578660-05b9-11ec-8f96-cd3f59683396</t>
  </si>
  <si>
    <t>a51c95e0-05bb-11ec-8f96-cd3f59683396</t>
  </si>
  <si>
    <t>9af586f0-05be-11ec-8f96-cd3f59683396</t>
  </si>
  <si>
    <t>66ecba60-05c1-11ec-8f96-cd3f59683396</t>
  </si>
  <si>
    <t>c0630840-05c3-11ec-8f96-cd3f59683396</t>
  </si>
  <si>
    <t>8e49d6b0-05c6-11ec-8f96-cd3f59683396</t>
  </si>
  <si>
    <t>e7abb230-05c8-11ec-8f96-cd3f59683396</t>
  </si>
  <si>
    <t>02d6edb0-05cc-11ec-8f96-cd3f59683396</t>
  </si>
  <si>
    <t>d10facb0-05ce-11ec-8f96-cd3f59683396</t>
  </si>
  <si>
    <t>2aacbc70-05d1-11ec-8f96-cd3f59683396</t>
  </si>
  <si>
    <t>24161cb0-05d3-11ec-8f96-cd3f59683396</t>
  </si>
  <si>
    <t>3d835480-05d6-11ec-8f96-cd3f59683396</t>
  </si>
  <si>
    <t>9851b850-05d8-11ec-8f96-cd3f59683396</t>
  </si>
  <si>
    <t>14b1f140-05dd-11ec-8f96-cd3f59683396</t>
  </si>
  <si>
    <t>887c34d0-05df-11ec-8f96-cd3f59683396</t>
  </si>
  <si>
    <t>99003c40-05e2-11ec-8f96-cd3f59683396</t>
  </si>
  <si>
    <t>a3bda580-05e4-11ec-8f96-cd3f59683396</t>
  </si>
  <si>
    <t>5dff9290-05e6-11ec-8f96-cd3f59683396</t>
  </si>
  <si>
    <t>137ddd10-05e8-11ec-8f96-cd3f59683396</t>
  </si>
  <si>
    <t>ae776870-05ea-11ec-8f96-cd3f59683396</t>
  </si>
  <si>
    <t>7f1a37b0-05ef-11ec-8f96-cd3f59683396</t>
  </si>
  <si>
    <t>d1a7eab0-05f2-11ec-8f96-cd3f59683396</t>
  </si>
  <si>
    <t>973d9f80-05f4-11ec-8f96-cd3f59683396</t>
  </si>
  <si>
    <t>f32cdfd0-05fa-11ec-8f96-cd3f59683396</t>
  </si>
  <si>
    <t>e6d8f3e0-05ff-11ec-8f96-cd3f59683396</t>
  </si>
  <si>
    <t>daead600-0601-11ec-8f96-cd3f59683396</t>
  </si>
  <si>
    <t>85fe15a0-0604-11ec-8f96-cd3f59683396</t>
  </si>
  <si>
    <t>4a6360c0-0606-11ec-8f96-cd3f59683396</t>
  </si>
  <si>
    <t>61a26360-0608-11ec-8f96-cd3f59683396</t>
  </si>
  <si>
    <t>704798b0-060b-11ec-8f96-cd3f59683396</t>
  </si>
  <si>
    <t>9a482190-060e-11ec-8f96-cd3f59683396</t>
  </si>
  <si>
    <t>01648ba0-0611-11ec-8f96-cd3f59683396</t>
  </si>
  <si>
    <t>9e7330d0-0612-11ec-8f96-cd3f59683396</t>
  </si>
  <si>
    <t>71c202b0-0616-11ec-8f96-cd3f59683396</t>
  </si>
  <si>
    <t>59a1ae80-0619-11ec-8f96-cd3f59683396</t>
  </si>
  <si>
    <t>90c91170-061c-11ec-8f96-cd3f59683396</t>
  </si>
  <si>
    <t>282a81f0-061f-11ec-8f96-cd3f59683396</t>
  </si>
  <si>
    <t>6aee91f0-0621-11ec-8f96-cd3f59683396</t>
  </si>
  <si>
    <t>6164c9e0-0623-11ec-8f96-cd3f59683396</t>
  </si>
  <si>
    <t>7c61cd10-05b0-11ec-ac48-ed5eca8d24c5</t>
  </si>
  <si>
    <t>786cd2e0-05b5-11ec-ac48-ed5eca8d24c5</t>
  </si>
  <si>
    <t>70b16560-05bb-11ec-ac48-ed5eca8d24c5</t>
  </si>
  <si>
    <t>f4bbdeb0-05c2-11ec-ac48-ed5eca8d24c5</t>
  </si>
  <si>
    <t>7d874d60-05c8-11ec-ac48-ed5eca8d24c5</t>
  </si>
  <si>
    <t>2afe34a0-05cd-11ec-ac48-ed5eca8d24c5</t>
  </si>
  <si>
    <t>98f9edf0-05d2-11ec-ac48-ed5eca8d24c5</t>
  </si>
  <si>
    <t>b8933c80-05d6-11ec-ac48-ed5eca8d24c5</t>
  </si>
  <si>
    <t>f22d8c80-05df-11ec-ac48-ed5eca8d24c5</t>
  </si>
  <si>
    <t>78d39fa0-05e4-11ec-ac48-ed5eca8d24c5</t>
  </si>
  <si>
    <t>5e8f8ba0-05e8-11ec-ac48-ed5eca8d24c5</t>
  </si>
  <si>
    <t>28cb1a70-05ed-11ec-ac48-ed5eca8d24c5</t>
  </si>
  <si>
    <t>39d5ebd0-05f5-11ec-ac48-ed5eca8d24c5</t>
  </si>
  <si>
    <t>55a946d0-05fb-11ec-ac48-ed5eca8d24c5</t>
  </si>
  <si>
    <t>bba6e880-05ff-11ec-ac48-ed5eca8d24c5</t>
  </si>
  <si>
    <t>e580af80-0602-11ec-ac48-ed5eca8d24c5</t>
  </si>
  <si>
    <t>8d133760-0606-11ec-ac48-ed5eca8d24c5</t>
  </si>
  <si>
    <t>2fbf2b60-060a-11ec-ac48-ed5eca8d24c5</t>
  </si>
  <si>
    <t>adb594b0-060e-11ec-ac48-ed5eca8d24c5</t>
  </si>
  <si>
    <t>637e0030-0613-11ec-ac48-ed5eca8d24c5</t>
  </si>
  <si>
    <t>1b7b6990-0617-11ec-ac48-ed5eca8d24c5</t>
  </si>
  <si>
    <t>d32f2a50-061b-11ec-ac48-ed5eca8d24c5</t>
  </si>
  <si>
    <t>a235a420-061f-11ec-ac48-ed5eca8d24c5</t>
  </si>
  <si>
    <t>d2b87a10-0623-11ec-ac48-ed5eca8d24c5</t>
  </si>
  <si>
    <t>level</t>
  </si>
  <si>
    <t>spear</t>
  </si>
  <si>
    <t>shield</t>
  </si>
  <si>
    <t>chestpiece</t>
  </si>
  <si>
    <t>sword</t>
  </si>
  <si>
    <t>staff</t>
  </si>
  <si>
    <t>book</t>
  </si>
  <si>
    <t>bracers</t>
  </si>
  <si>
    <t>bow</t>
  </si>
  <si>
    <t>hammer</t>
  </si>
  <si>
    <t>sabre</t>
  </si>
  <si>
    <t>blade</t>
  </si>
  <si>
    <t>think-time</t>
  </si>
  <si>
    <t>expl-p</t>
  </si>
  <si>
    <t>b7d307e0-0625-11ec-8f96-cd3f59683396</t>
  </si>
  <si>
    <t>65463080-0628-11ec-8f96-cd3f59683396</t>
  </si>
  <si>
    <t>e6a30840-062a-11ec-8f96-cd3f59683396</t>
  </si>
  <si>
    <t>e86c92c0-062c-11ec-8f96-cd3f59683396</t>
  </si>
  <si>
    <t>c0802a90-062e-11ec-8f96-cd3f59683396</t>
  </si>
  <si>
    <t>d2add870-0633-11ec-8f96-cd3f59683396</t>
  </si>
  <si>
    <t>5403d260-0636-11ec-8f96-cd3f59683396</t>
  </si>
  <si>
    <t>0984b4f0-0638-11ec-8f96-cd3f59683396</t>
  </si>
  <si>
    <t>cfb4fc10-0639-11ec-8f96-cd3f59683396</t>
  </si>
  <si>
    <t>7222e790-063b-11ec-8f96-cd3f59683396</t>
  </si>
  <si>
    <t>42260650-063e-11ec-8f96-cd3f59683396</t>
  </si>
  <si>
    <t>e3655ce0-063f-11ec-8f96-cd3f59683396</t>
  </si>
  <si>
    <t>8e7b28d0-0627-11ec-ac48-ed5eca8d24c5</t>
  </si>
  <si>
    <t>e75c3430-062c-11ec-ac48-ed5eca8d24c5</t>
  </si>
  <si>
    <t>9d775390-0631-11ec-ac48-ed5eca8d24c5</t>
  </si>
  <si>
    <t>acb42310-0636-11ec-ac48-ed5eca8d24c5</t>
  </si>
  <si>
    <t>898e1530-063b-11ec-ac48-ed5eca8d24c5</t>
  </si>
  <si>
    <t>0259dcc0-0640-11ec-ac48-ed5eca8d24c5</t>
  </si>
  <si>
    <t>f91c1f90-0646-11ec-a394-dd513bb31df6</t>
  </si>
  <si>
    <t>8bf4d3a0-0649-11ec-a394-dd513bb31df6</t>
  </si>
  <si>
    <t>353cf030-064c-11ec-a394-dd513bb31df6</t>
  </si>
  <si>
    <t>50ac9240-0650-11ec-a394-dd513bb31df6</t>
  </si>
  <si>
    <t>8a3564d0-0653-11ec-a394-dd513bb31df6</t>
  </si>
  <si>
    <t>604404e0-0655-11ec-a394-dd513bb31df6</t>
  </si>
  <si>
    <t>58529010-0657-11ec-a394-dd513bb31df6</t>
  </si>
  <si>
    <t>a0c19560-0659-11ec-a394-dd513bb31df6</t>
  </si>
  <si>
    <t>73553820-065e-11ec-a394-dd513bb31df6</t>
  </si>
  <si>
    <t>91ad3f00-0660-11ec-a394-dd513bb31df6</t>
  </si>
  <si>
    <t>d7dec580-0664-11ec-a394-dd513bb31df6</t>
  </si>
  <si>
    <t>68f3a980-0667-11ec-a394-dd513bb31df6</t>
  </si>
  <si>
    <t>50604b60-066e-11ec-a394-dd513bb31df6</t>
  </si>
  <si>
    <t>5a0e8e90-0670-11ec-a394-dd513bb31df6</t>
  </si>
  <si>
    <t>bb6f1360-0672-11ec-a394-dd513bb31df6</t>
  </si>
  <si>
    <t>e8bfce20-0674-11ec-a394-dd513bb31df6</t>
  </si>
  <si>
    <t>21856e00-0647-11ec-bdf7-ad536f10dfa5</t>
  </si>
  <si>
    <t>5146be20-064a-11ec-bdf7-ad536f10dfa5</t>
  </si>
  <si>
    <t>71748480-064e-11ec-bdf7-ad536f10dfa5</t>
  </si>
  <si>
    <t>cbcb78f0-0651-11ec-bdf7-ad536f10dfa5</t>
  </si>
  <si>
    <t>8b1ab460-0656-11ec-bdf7-ad536f10dfa5</t>
  </si>
  <si>
    <t>434e4190-065d-11ec-bdf7-ad536f10dfa5</t>
  </si>
  <si>
    <t>d19babb0-0660-11ec-bdf7-ad536f10dfa5</t>
  </si>
  <si>
    <t>6af04430-0664-11ec-bdf7-ad536f10dfa5</t>
  </si>
  <si>
    <t>3b43d770-0668-11ec-bdf7-ad536f10dfa5</t>
  </si>
  <si>
    <t>9f4485c0-066e-11ec-bdf7-ad536f10dfa5</t>
  </si>
  <si>
    <t>8c3fc2b0-0672-11ec-bdf7-ad536f10dfa5</t>
  </si>
  <si>
    <t>cf9b2c80-067b-11ec-b02f-cd1e55481c8e</t>
  </si>
  <si>
    <t>db56d670-067e-11ec-b02f-cd1e55481c8e</t>
  </si>
  <si>
    <t>91d97c20-0681-11ec-b02f-cd1e55481c8e</t>
  </si>
  <si>
    <t>d415a200-0684-11ec-b02f-cd1e55481c8e</t>
  </si>
  <si>
    <t>f1ab6a50-0686-11ec-b02f-cd1e55481c8e</t>
  </si>
  <si>
    <t>e8c13da0-0688-11ec-b02f-cd1e55481c8e</t>
  </si>
  <si>
    <t>f4736720-068a-11ec-b02f-cd1e55481c8e</t>
  </si>
  <si>
    <t>e601dd40-068d-11ec-b02f-cd1e55481c8e</t>
  </si>
  <si>
    <t>16314df0-0690-11ec-b02f-cd1e55481c8e</t>
  </si>
  <si>
    <t>496b1870-0692-11ec-b02f-cd1e55481c8e</t>
  </si>
  <si>
    <t>a452f7b0-0694-11ec-b02f-cd1e55481c8e</t>
  </si>
  <si>
    <t>138cb6a0-0697-11ec-b02f-cd1e55481c8e</t>
  </si>
  <si>
    <t>de7f40c0-0698-11ec-b02f-cd1e55481c8e</t>
  </si>
  <si>
    <t>4386b810-069c-11ec-b02f-cd1e55481c8e</t>
  </si>
  <si>
    <t>a3cc6190-069f-11ec-b02f-cd1e55481c8e</t>
  </si>
  <si>
    <t>80597e20-06a2-11ec-b02f-cd1e55481c8e</t>
  </si>
  <si>
    <t>d5972b60-06a4-11ec-b02f-cd1e55481c8e</t>
  </si>
  <si>
    <t>f14db6f0-06a7-11ec-b02f-cd1e55481c8e</t>
  </si>
  <si>
    <t>ff515510-06aa-11ec-b02f-cd1e55481c8e</t>
  </si>
  <si>
    <t>48077580-06ad-11ec-b02f-cd1e55481c8e</t>
  </si>
  <si>
    <t>936ea1a0-06ae-11ec-b02f-cd1e55481c8e</t>
  </si>
  <si>
    <t>72a6d670-06b0-11ec-b02f-cd1e55481c8e</t>
  </si>
  <si>
    <t>a08eef30-06b2-11ec-b02f-cd1e55481c8e</t>
  </si>
  <si>
    <t>ca948120-06b5-11ec-b02f-cd1e55481c8e</t>
  </si>
  <si>
    <t>80ad4c00-06b9-11ec-b02f-cd1e55481c8e</t>
  </si>
  <si>
    <t>a1773d40-06bb-11ec-b02f-cd1e55481c8e</t>
  </si>
  <si>
    <t>a473c980-06bd-11ec-b02f-cd1e55481c8e</t>
  </si>
  <si>
    <t>d84e19c0-06bf-11ec-b02f-cd1e55481c8e</t>
  </si>
  <si>
    <t>ca0235c0-06c1-11ec-b02f-cd1e55481c8e</t>
  </si>
  <si>
    <t>29f8ca50-06c4-11ec-b02f-cd1e55481c8e</t>
  </si>
  <si>
    <t>6979eee0-06c7-11ec-b02f-cd1e55481c8e</t>
  </si>
  <si>
    <t>9b86d220-06c9-11ec-b02f-cd1e55481c8e</t>
  </si>
  <si>
    <t>4864bfa0-06cc-11ec-b02f-cd1e55481c8e</t>
  </si>
  <si>
    <t>22d707f0-06ce-11ec-b02f-cd1e55481c8e</t>
  </si>
  <si>
    <t>e86f54d0-06cf-11ec-b02f-cd1e55481c8e</t>
  </si>
  <si>
    <t>2a0237d0-06d2-11ec-b02f-cd1e55481c8e</t>
  </si>
  <si>
    <t>3d61e7f0-06d5-11ec-b02f-cd1e55481c8e</t>
  </si>
  <si>
    <t>70a69d00-06d9-11ec-b02f-cd1e55481c8e</t>
  </si>
  <si>
    <t>422b4b50-06df-11ec-b02f-cd1e55481c8e</t>
  </si>
  <si>
    <t>b53b3f90-06e1-11ec-b02f-cd1e55481c8e</t>
  </si>
  <si>
    <t>270ff4b0-06e4-11ec-b02f-cd1e55481c8e</t>
  </si>
  <si>
    <t>9cc69460-06e5-11ec-b02f-cd1e55481c8e</t>
  </si>
  <si>
    <t>0fe1fa50-06e8-11ec-b02f-cd1e55481c8e</t>
  </si>
  <si>
    <t>a065c1e0-06ea-11ec-b02f-cd1e55481c8e</t>
  </si>
  <si>
    <t>95f0eba0-06ee-11ec-b02f-cd1e55481c8e</t>
  </si>
  <si>
    <t>a01410b0-06f0-11ec-b02f-cd1e55481c8e</t>
  </si>
  <si>
    <t>c33f98a0-06f2-11ec-b02f-cd1e55481c8e</t>
  </si>
  <si>
    <t>a27a6580-06f4-11ec-b02f-cd1e55481c8e</t>
  </si>
  <si>
    <t>13baa2d0-06f7-11ec-b02f-cd1e55481c8e</t>
  </si>
  <si>
    <t>e242d6d0-06f8-11ec-b02f-cd1e55481c8e</t>
  </si>
  <si>
    <t>6d6e0440-06fa-11ec-b02f-cd1e55481c8e</t>
  </si>
  <si>
    <t>1d46bb30-06fd-11ec-b02f-cd1e55481c8e</t>
  </si>
  <si>
    <t>b6765c00-06ff-11ec-b02f-cd1e55481c8e</t>
  </si>
  <si>
    <t>5719e7c0-0701-11ec-b02f-cd1e55481c8e</t>
  </si>
  <si>
    <t>fc7f8f70-0702-11ec-b02f-cd1e55481c8e</t>
  </si>
  <si>
    <t>846894c0-0705-11ec-b02f-cd1e55481c8e</t>
  </si>
  <si>
    <t>656cfe10-0707-11ec-b02f-cd1e55481c8e</t>
  </si>
  <si>
    <t>efb30630-0709-11ec-b02f-cd1e55481c8e</t>
  </si>
  <si>
    <t>239063b0-070c-11ec-b02f-cd1e55481c8e</t>
  </si>
  <si>
    <t>dba4d6c0-067b-11ec-8f75-f91f1b19b19e</t>
  </si>
  <si>
    <t>3e69ff30-067f-11ec-8f75-f91f1b19b19e</t>
  </si>
  <si>
    <t>9a86d4a0-0684-11ec-8f75-f91f1b19b19e</t>
  </si>
  <si>
    <t>41b48030-0688-11ec-8f75-f91f1b19b19e</t>
  </si>
  <si>
    <t>c1915230-068b-11ec-8f75-f91f1b19b19e</t>
  </si>
  <si>
    <t>ce15ade0-068f-11ec-8f75-f91f1b19b19e</t>
  </si>
  <si>
    <t>b3df7c90-0693-11ec-8f75-f91f1b19b19e</t>
  </si>
  <si>
    <t>509b42a0-069c-11ec-8f75-f91f1b19b19e</t>
  </si>
  <si>
    <t>371a6cb0-06a2-11ec-8f75-f91f1b19b19e</t>
  </si>
  <si>
    <t>c9735780-06a6-11ec-8f75-f91f1b19b19e</t>
  </si>
  <si>
    <t>98d94be0-06a9-11ec-8f75-f91f1b19b19e</t>
  </si>
  <si>
    <t>c670e8c0-06ad-11ec-8f75-f91f1b19b19e</t>
  </si>
  <si>
    <t>6ace8460-06b1-11ec-8f75-f91f1b19b19e</t>
  </si>
  <si>
    <t>fc25fa30-06b4-11ec-8f75-f91f1b19b19e</t>
  </si>
  <si>
    <t>d5af3ab0-06b9-11ec-8f75-f91f1b19b19e</t>
  </si>
  <si>
    <t>041d7df0-06bd-11ec-8f75-f91f1b19b19e</t>
  </si>
  <si>
    <t>d6a91f80-06c3-11ec-8f75-f91f1b19b19e</t>
  </si>
  <si>
    <t>171fab20-06c8-11ec-8f75-f91f1b19b19e</t>
  </si>
  <si>
    <t>ca1ebd70-06cc-11ec-8f75-f91f1b19b19e</t>
  </si>
  <si>
    <t>5daff6a0-06d0-11ec-8f75-f91f1b19b19e</t>
  </si>
  <si>
    <t>806c2580-06d3-11ec-8f75-f91f1b19b19e</t>
  </si>
  <si>
    <t>adad8c10-06d7-11ec-8f75-f91f1b19b19e</t>
  </si>
  <si>
    <t>8cb51720-06dd-11ec-8f75-f91f1b19b19e</t>
  </si>
  <si>
    <t>b42f7f70-06e2-11ec-8f75-f91f1b19b19e</t>
  </si>
  <si>
    <t>a4460620-06e6-11ec-8f75-f91f1b19b19e</t>
  </si>
  <si>
    <t>a7b9fa60-06ea-11ec-8f75-f91f1b19b19e</t>
  </si>
  <si>
    <t>48b7c930-06ee-11ec-8f75-f91f1b19b19e</t>
  </si>
  <si>
    <t>3fd9dc10-06f1-11ec-8f75-f91f1b19b19e</t>
  </si>
  <si>
    <t>1badf6f0-06f6-11ec-8f75-f91f1b19b19e</t>
  </si>
  <si>
    <t>c0875240-06f9-11ec-8f75-f91f1b19b19e</t>
  </si>
  <si>
    <t>cee58c20-06ff-11ec-8f75-f91f1b19b19e</t>
  </si>
  <si>
    <t>c72882e0-0703-11ec-8f75-f91f1b19b19e</t>
  </si>
  <si>
    <t>ff352040-0707-11ec-8f75-f91f1b19b19e</t>
  </si>
  <si>
    <t>9783ba70-070b-11ec-8f75-f91f1b19b19e</t>
  </si>
  <si>
    <t>d286c990-0711-11ec-8f75-f91f1b19b19e</t>
  </si>
  <si>
    <t>1f6c50f0-0716-11ec-8f75-f91f1b19b19e</t>
  </si>
  <si>
    <t>e14fcbd0-071a-11ec-8f75-f91f1b19b19e</t>
  </si>
  <si>
    <t>8fc7cf60-071f-11ec-8f75-f91f1b19b19e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</si>
</sst>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3" borderId="1" xfId="0" applyFont="1" applyFill="1" applyBorder="1"/>
    <xf numFmtId="0" fontId="0" fillId="0" borderId="1" xfId="0" applyFont="1" applyBorder="1"/>
    <xf numFmtId="10" fontId="0" fillId="0" borderId="0" xfId="0" applyNumberFormat="1"/>
    <xf numFmtId="11" fontId="0" fillId="0" borderId="0" xfId="0" applyNumberFormat="1"/>
    <xf numFmtId="2" fontId="0" fillId="0" borderId="0" xfId="0" applyNumberFormat="1"/>
    <xf numFmtId="0" fontId="1" fillId="0" borderId="2" xfId="0" applyFont="1" applyBorder="1"/>
    <xf numFmtId="2" fontId="1" fillId="0" borderId="4" xfId="0" applyNumberFormat="1" applyFont="1" applyBorder="1"/>
    <xf numFmtId="0" fontId="1" fillId="0" borderId="5" xfId="0" applyFont="1" applyBorder="1"/>
    <xf numFmtId="2" fontId="1" fillId="0" borderId="6" xfId="0" applyNumberFormat="1" applyFont="1" applyBorder="1"/>
    <xf numFmtId="1" fontId="0" fillId="0" borderId="0" xfId="0" applyNumberFormat="1"/>
    <xf numFmtId="0" fontId="2" fillId="2" borderId="7" xfId="0" applyFont="1" applyFill="1" applyBorder="1"/>
    <xf numFmtId="0" fontId="2" fillId="2" borderId="8" xfId="0" applyFont="1" applyFill="1" applyBorder="1"/>
    <xf numFmtId="10" fontId="2" fillId="2" borderId="8" xfId="0" applyNumberFormat="1" applyFont="1" applyFill="1" applyBorder="1"/>
    <xf numFmtId="0" fontId="0" fillId="0" borderId="9" xfId="0" applyFont="1" applyBorder="1"/>
    <xf numFmtId="0" fontId="0" fillId="3" borderId="9" xfId="0" applyFont="1" applyFill="1" applyBorder="1"/>
    <xf numFmtId="10" fontId="0" fillId="0" borderId="1" xfId="0" applyNumberFormat="1" applyFont="1" applyBorder="1"/>
    <xf numFmtId="10" fontId="0" fillId="0" borderId="9" xfId="0" applyNumberFormat="1" applyFont="1" applyBorder="1"/>
    <xf numFmtId="10" fontId="0" fillId="3" borderId="1" xfId="0" applyNumberFormat="1" applyFont="1" applyFill="1" applyBorder="1"/>
    <xf numFmtId="10" fontId="0" fillId="3" borderId="9" xfId="0" applyNumberFormat="1" applyFont="1" applyFill="1" applyBorder="1"/>
    <xf numFmtId="0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265"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" formatCode="0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AK211" totalsRowShown="0">
  <autoFilter ref="A1:AK211" xr:uid="{00000000-0009-0000-0100-000001000000}"/>
  <tableColumns count="37">
    <tableColumn id="1" xr3:uid="{00000000-0010-0000-0000-000001000000}" name="battle"/>
    <tableColumn id="3" xr3:uid="{00000000-0010-0000-0000-000003000000}" name="winner1"/>
    <tableColumn id="4" xr3:uid="{00000000-0010-0000-0000-000004000000}" name="winner1-pw"/>
    <tableColumn id="5" xr3:uid="{00000000-0010-0000-0000-000005000000}" name="winner1-sw"/>
    <tableColumn id="6" xr3:uid="{00000000-0010-0000-0000-000006000000}" name="winner1-cp"/>
    <tableColumn id="7" xr3:uid="{00000000-0010-0000-0000-000007000000}" name="winner1-ability1"/>
    <tableColumn id="8" xr3:uid="{00000000-0010-0000-0000-000008000000}" name="winner1-ability2"/>
    <tableColumn id="9" xr3:uid="{00000000-0010-0000-0000-000009000000}" name="winner1-ability3"/>
    <tableColumn id="10" xr3:uid="{00000000-0010-0000-0000-00000A000000}" name="winner1-ability4"/>
    <tableColumn id="11" xr3:uid="{00000000-0010-0000-0000-00000B000000}" name="winner2"/>
    <tableColumn id="12" xr3:uid="{00000000-0010-0000-0000-00000C000000}" name="winner2-pw"/>
    <tableColumn id="13" xr3:uid="{00000000-0010-0000-0000-00000D000000}" name="winner2-sw"/>
    <tableColumn id="14" xr3:uid="{00000000-0010-0000-0000-00000E000000}" name="winner2-cp"/>
    <tableColumn id="15" xr3:uid="{00000000-0010-0000-0000-00000F000000}" name="winner2-ability1"/>
    <tableColumn id="16" xr3:uid="{00000000-0010-0000-0000-000010000000}" name="winner2-ability2"/>
    <tableColumn id="17" xr3:uid="{00000000-0010-0000-0000-000011000000}" name="winner2-ability3"/>
    <tableColumn id="18" xr3:uid="{00000000-0010-0000-0000-000012000000}" name="winner2-ability4"/>
    <tableColumn id="19" xr3:uid="{00000000-0010-0000-0000-000013000000}" name="loser1"/>
    <tableColumn id="20" xr3:uid="{00000000-0010-0000-0000-000014000000}" name="loser1-pw"/>
    <tableColumn id="21" xr3:uid="{00000000-0010-0000-0000-000015000000}" name="loser1-sw"/>
    <tableColumn id="22" xr3:uid="{00000000-0010-0000-0000-000016000000}" name="loser1-cp"/>
    <tableColumn id="23" xr3:uid="{00000000-0010-0000-0000-000017000000}" name="loser1-ability1"/>
    <tableColumn id="24" xr3:uid="{00000000-0010-0000-0000-000018000000}" name="loser1-ability2"/>
    <tableColumn id="25" xr3:uid="{00000000-0010-0000-0000-000019000000}" name="loser1-ability3"/>
    <tableColumn id="26" xr3:uid="{00000000-0010-0000-0000-00001A000000}" name="loser1-ability4"/>
    <tableColumn id="27" xr3:uid="{00000000-0010-0000-0000-00001B000000}" name="loser2"/>
    <tableColumn id="28" xr3:uid="{00000000-0010-0000-0000-00001C000000}" name="loser2-pw"/>
    <tableColumn id="29" xr3:uid="{00000000-0010-0000-0000-00001D000000}" name="loser2-sw"/>
    <tableColumn id="30" xr3:uid="{00000000-0010-0000-0000-00001E000000}" name="loser2-cp"/>
    <tableColumn id="31" xr3:uid="{00000000-0010-0000-0000-00001F000000}" name="loser2-ability1"/>
    <tableColumn id="32" xr3:uid="{00000000-0010-0000-0000-000020000000}" name="loser2-ability2"/>
    <tableColumn id="33" xr3:uid="{00000000-0010-0000-0000-000021000000}" name="loser2-ability3"/>
    <tableColumn id="34" xr3:uid="{00000000-0010-0000-0000-000022000000}" name="loser2-ability4"/>
    <tableColumn id="35" xr3:uid="{00000000-0010-0000-0000-000023000000}" name="crystals"/>
    <tableColumn id="36" xr3:uid="{E1119BD8-51D7-48B0-8C81-27D4F50C3BB6}" name="turns"/>
    <tableColumn id="38" xr3:uid="{2FC99308-FBB4-4CA9-BC34-3E30592776AB}" name="think-time"/>
    <tableColumn id="39" xr3:uid="{429DFB0A-37CD-4F0A-A905-F3974058417F}" name="expl-p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A301F1-E0F8-4700-BEE5-2688AF43F23A}" name="Table7" displayName="Table7" ref="A1:E4" totalsRowShown="0">
  <autoFilter ref="A1:E4" xr:uid="{DCA301F1-E0F8-4700-BEE5-2688AF43F23A}"/>
  <tableColumns count="5">
    <tableColumn id="2" xr3:uid="{86A1B7E2-07D2-454B-948F-610858F575D4}" name="ability"/>
    <tableColumn id="6" xr3:uid="{FB974958-9B4B-47EC-9463-E31D21B6A55F}" name="takes" dataDxfId="241">
      <calculatedColumnFormula>COUNTIF(Таблица1[winner1-ability1],Table7[[#This Row],[ability]])+COUNTIF(Таблица1[winner2-ability1],Table7[[#This Row],[ability]])+COUNTIF(Таблица1[loser1-ability1],Table7[[#This Row],[ability]])+COUNTIF(Таблица1[loser2-ability1],Table7[[#This Row],[ability]])+COUNTIF(Table41[winner1-ability1],Table7[[#This Row],[ability]])+COUNTIF(Table41[winner2-ability1],Table7[[#This Row],[ability]])+COUNTIF(Table41[winner3-ability1],Table7[[#This Row],[ability]])+COUNTIF(Table41[loser1-ability1],Table7[[#This Row],[ability]])+COUNTIF(Table41[loser2-ability1],Table7[[#This Row],[ability]])+COUNTIF(Table41[loser3-ability1],Table7[[#This Row],[ability]])</calculatedColumnFormula>
    </tableColumn>
    <tableColumn id="4" xr3:uid="{61A21492-49FF-4C06-A153-6F532C6C5A30}" name="wins" dataDxfId="240">
      <calculatedColumnFormula>COUNTIF(Таблица1[winner1-ability1],Table7[[#This Row],[ability]])+COUNTIF(Таблица1[winner2-ability1],Table7[[#This Row],[ability]])+COUNTIF(Table41[winner1-ability1],Table7[[#This Row],[ability]])+COUNTIF(Table41[winner2-ability1],Table7[[#This Row],[ability]])+COUNTIF(Table41[winner3-ability1],Table7[[#This Row],[ability]])</calculatedColumnFormula>
    </tableColumn>
    <tableColumn id="5" xr3:uid="{E54CF930-9561-430F-9E4C-4FBFE41AE34D}" name="battles-take-rate" dataDxfId="239">
      <calculatedColumnFormula>IF(SUM(Table7[[#This Row],[takes]]) &gt; 0,Table7[[#This Row],[takes]]/SUM(Table7[takes]),0)</calculatedColumnFormula>
    </tableColumn>
    <tableColumn id="7" xr3:uid="{FBDA8D4C-951F-4B32-AA8D-F1B4A35AC2BC}" name="take-win-rate" dataDxfId="238">
      <calculatedColumnFormula>IF(Table7[[#This Row],[takes]]&gt;0,Table7[[#This Row],[wins]]/Table7[[#This Row],[takes]],0)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ADAEE31-4DDA-4DF2-9EAD-04808D53FFC1}" name="Table8" displayName="Table8" ref="A6:E9" totalsRowShown="0" headerRowDxfId="237" headerRowBorderDxfId="236" tableBorderDxfId="235" totalsRowBorderDxfId="234">
  <autoFilter ref="A6:E9" xr:uid="{8ADAEE31-4DDA-4DF2-9EAD-04808D53FFC1}"/>
  <tableColumns count="5">
    <tableColumn id="1" xr3:uid="{2EBB42D4-A151-441A-8D33-DE2FA10B22F8}" name="ability"/>
    <tableColumn id="2" xr3:uid="{F55F352C-3FB6-4924-B8D4-563674F00FC0}" name="takes" dataDxfId="233">
      <calculatedColumnFormula>COUNTIF(Таблица1[winner1-ability2],Table8[[#This Row],[ability]])+COUNTIF(Таблица1[winner2-ability2],Table8[[#This Row],[ability]])+COUNTIF(Таблица1[loser1-ability2],Table8[[#This Row],[ability]])+COUNTIF(Таблица1[loser2-ability2],Table8[[#This Row],[ability]])+COUNTIF(Table41[winner1-ability2],Table8[[#This Row],[ability]])+COUNTIF(Table41[winner2-ability2],Table8[[#This Row],[ability]])+COUNTIF(Table41[winner3-ability2],Table8[[#This Row],[ability]])+COUNTIF(Table41[loser1-ability2],Table8[[#This Row],[ability]])+COUNTIF(Table41[loser2-ability2],Table8[[#This Row],[ability]])+COUNTIF(Table41[loser3-ability2],Table8[[#This Row],[ability]])</calculatedColumnFormula>
    </tableColumn>
    <tableColumn id="3" xr3:uid="{80A922C6-64D8-44FE-96CB-B7E1F6FDC03C}" name="wins" dataDxfId="232">
      <calculatedColumnFormula>COUNTIF(Таблица1[winner1-ability2],Table8[[#This Row],[ability]])+COUNTIF(Таблица1[winner2-ability2],Table8[[#This Row],[ability]])+COUNTIF(Table41[winner1-ability2],Table8[[#This Row],[ability]])+COUNTIF(Table41[winner2-ability2],Table8[[#This Row],[ability]])+COUNTIF(Table41[winner3-ability2],Table8[[#This Row],[ability]])</calculatedColumnFormula>
    </tableColumn>
    <tableColumn id="4" xr3:uid="{554161FF-0726-4138-B76E-C5C63F8E633A}" name="battles-take-rate" dataDxfId="231">
      <calculatedColumnFormula>IF(SUM(Table8[[#This Row],[takes]]) &gt; 0,Table8[[#This Row],[takes]]/SUM(Table8[takes]),0)</calculatedColumnFormula>
    </tableColumn>
    <tableColumn id="5" xr3:uid="{EBDCF172-80BC-41F1-9D53-618ADC3547F0}" name="take-win-rate" dataDxfId="230">
      <calculatedColumnFormula>IF(Table8[[#This Row],[takes]]&gt;0,Table8[[#This Row],[wins]]/Table8[[#This Row],[takes]],0)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B0EA3CA-FA8E-4345-B52C-471D5C94AD38}" name="Table9" displayName="Table9" ref="A11:E14" totalsRowShown="0" headerRowDxfId="229" headerRowBorderDxfId="228" tableBorderDxfId="227" totalsRowBorderDxfId="226">
  <autoFilter ref="A11:E14" xr:uid="{1B0EA3CA-FA8E-4345-B52C-471D5C94AD38}"/>
  <tableColumns count="5">
    <tableColumn id="1" xr3:uid="{B8B19612-9BE1-4890-BD28-044C895D67D5}" name="ability"/>
    <tableColumn id="2" xr3:uid="{CF518B36-9B06-430F-88E0-0EA55DE77CCB}" name="takes" dataDxfId="225">
      <calculatedColumnFormula>COUNTIF(Таблица1[winner1-ability3],Table9[[#This Row],[ability]])+COUNTIF(Таблица1[winner2-ability3],Table9[[#This Row],[ability]])+COUNTIF(Таблица1[loser1-ability3],Table9[[#This Row],[ability]])+COUNTIF(Таблица1[loser2-ability3],Table9[[#This Row],[ability]])+COUNTIF(Table41[winner1-ability3],Table9[[#This Row],[ability]])+COUNTIF(Table41[winner2-ability3],Table9[[#This Row],[ability]])+COUNTIF(Table41[winner3-ability3],Table9[[#This Row],[ability]])+COUNTIF(Table41[loser1-ability3],Table9[[#This Row],[ability]])+COUNTIF(Table41[loser2-ability3],Table9[[#This Row],[ability]])+COUNTIF(Table41[loser3-ability3],Table9[[#This Row],[ability]])</calculatedColumnFormula>
    </tableColumn>
    <tableColumn id="3" xr3:uid="{3EE75CB9-F097-4DDD-B43D-5E1FA49D5DA7}" name="wins" dataDxfId="224">
      <calculatedColumnFormula>COUNTIF(Таблица1[winner1-ability3],Table9[[#This Row],[ability]])+COUNTIF(Таблица1[winner2-ability3],Table9[[#This Row],[ability]])+COUNTIF(Table41[winner1-ability3],Table9[[#This Row],[ability]])+COUNTIF(Table41[winner2-ability3],Table9[[#This Row],[ability]])+COUNTIF(Table41[winner3-ability3],Table9[[#This Row],[ability]])</calculatedColumnFormula>
    </tableColumn>
    <tableColumn id="4" xr3:uid="{4386EDC2-3695-4FDE-BF81-4F581D693BFE}" name="battles-take-rate" dataDxfId="223">
      <calculatedColumnFormula>IF(SUM(Table9[[#This Row],[takes]]) &gt; 0,Table9[[#This Row],[takes]]/SUM(Table9[takes]),0)</calculatedColumnFormula>
    </tableColumn>
    <tableColumn id="5" xr3:uid="{2DDAA65F-690D-446E-8E9B-ACECABF193A6}" name="take-win-rate" dataDxfId="222">
      <calculatedColumnFormula>IF(Table9[[#This Row],[takes]]&gt;0,Table9[[#This Row],[wins]]/Table9[[#This Row],[takes]],0)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AADA4A0-2F4A-4009-8ECF-0BECA693390C}" name="Table10" displayName="Table10" ref="A16:E19" totalsRowShown="0" headerRowDxfId="221" headerRowBorderDxfId="220" tableBorderDxfId="219" totalsRowBorderDxfId="218">
  <autoFilter ref="A16:E19" xr:uid="{2AADA4A0-2F4A-4009-8ECF-0BECA693390C}"/>
  <tableColumns count="5">
    <tableColumn id="1" xr3:uid="{E897B7B6-F256-4CEB-96AC-55AC5FFE6DC0}" name="ability"/>
    <tableColumn id="2" xr3:uid="{1AAFA939-1DDE-4DEA-AC16-B2FC44C9BDBC}" name="takes" dataDxfId="217">
      <calculatedColumnFormula>COUNTIF(Таблица1[winner1-ability4],Table10[[#This Row],[ability]])+COUNTIF(Таблица1[winner2-ability4],Table10[[#This Row],[ability]])+COUNTIF(Таблица1[loser1-ability4],Table10[[#This Row],[ability]])+COUNTIF(Таблица1[loser2-ability4],Table10[[#This Row],[ability]])+COUNTIF(Table41[winner1-ability4],Table10[[#This Row],[ability]])+COUNTIF(Table41[winner2-ability4],Table10[[#This Row],[ability]])+COUNTIF(Table41[winner3-ability4],Table10[[#This Row],[ability]])+COUNTIF(Table41[loser1-ability4],Table10[[#This Row],[ability]])+COUNTIF(Table41[loser2-ability4],Table10[[#This Row],[ability]])+COUNTIF(Table41[loser3-ability4],Table10[[#This Row],[ability]])</calculatedColumnFormula>
    </tableColumn>
    <tableColumn id="3" xr3:uid="{FCDACB04-C3C9-4451-9344-563AAD645EE3}" name="wins" dataDxfId="216">
      <calculatedColumnFormula>COUNTIF(Таблица1[winner1-ability4],Table10[[#This Row],[ability]])+COUNTIF(Таблица1[winner2-ability4],Table10[[#This Row],[ability]])+COUNTIF(Table41[winner1-ability4],Table10[[#This Row],[ability]])+COUNTIF(Table41[winner2-ability4],Table10[[#This Row],[ability]])+COUNTIF(Table41[winner3-ability4],Table10[[#This Row],[ability]])</calculatedColumnFormula>
    </tableColumn>
    <tableColumn id="4" xr3:uid="{A43A8590-7A57-4069-B1B8-09F7A5FC26AC}" name="battles-take-rate" dataDxfId="215">
      <calculatedColumnFormula>IF(SUM(Table10[[#This Row],[takes]]) &gt; 0,Table10[[#This Row],[takes]]/SUM(Table10[takes]),0)</calculatedColumnFormula>
    </tableColumn>
    <tableColumn id="5" xr3:uid="{F6E20B64-B1E9-4E09-B5F6-4AF0DC786552}" name="take-win-rate" dataDxfId="214">
      <calculatedColumnFormula>IF(Table10[[#This Row],[takes]]&gt;0,Table10[[#This Row],[wins]]/Table10[[#This Row],[takes]],0)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C15024E5-2A00-4F8B-BBEB-0FE7A036BC54}" name="Table42" displayName="Table42" ref="G1:J4" totalsRowShown="0">
  <autoFilter ref="G1:J4" xr:uid="{C15024E5-2A00-4F8B-BBEB-0FE7A036BC54}"/>
  <tableColumns count="4">
    <tableColumn id="1" xr3:uid="{8B1F2C44-EA02-4821-AAA5-49A7D2E47A7E}" name="level"/>
    <tableColumn id="2" xr3:uid="{F62B10F6-8A81-4A5B-A655-EF553400866D}" name="spear" dataDxfId="213">
      <calculatedColumnFormula>COUNTIFS(Таблица1[winner1],"paragon",Таблица1[winner1-pw],Table42[[#This Row],[level]])+COUNTIFS(Таблица1[winner2],"paragon",Таблица1[winner2-pw],Table42[[#This Row],[level]])+COUNTIFS(Таблица1[loser1],"paragon",Таблица1[loser1-pw],Table42[[#This Row],[level]])+COUNTIFS(Таблица1[loser2],"paragon",Таблица1[loser2-pw],Table42[[#This Row],[level]])+COUNTIFS(Table41[winner1],"paragon",Table41[winner1-pw],Table42[[#This Row],[level]])+COUNTIFS(Table41[winner2],"paragon",Table41[winner2-pw],Table42[[#This Row],[level]])+COUNTIFS(Table41[winner3],"paragon",Table41[winner3-pw],Table42[[#This Row],[level]])+COUNTIFS(Table41[loser1],"paragon",Table41[loser1-pw],Table42[[#This Row],[level]])+COUNTIFS(Table41[loser2],"paragon",Table41[loser2-pw],Table42[[#This Row],[level]])+COUNTIFS(Table41[loser3],"paragon",Table41[loser3-pw],Table42[[#This Row],[level]])</calculatedColumnFormula>
    </tableColumn>
    <tableColumn id="3" xr3:uid="{F4CFC04E-00E1-447E-954B-909DEBE33E7C}" name="shield" dataDxfId="212">
      <calculatedColumnFormula>COUNTIFS(Таблица1[winner1],"paragon",Таблица1[winner1-sw],Table42[[#This Row],[level]])+COUNTIFS(Таблица1[winner2],"paragon",Таблица1[winner2-sw],Table42[[#This Row],[level]])+COUNTIFS(Таблица1[loser1],"paragon",Таблица1[loser1-sw],Table42[[#This Row],[level]])+COUNTIFS(Таблица1[loser2],"paragon",Таблица1[loser2-sw],Table42[[#This Row],[level]])+COUNTIFS(Table41[winner1],"paragon",Table41[winner1-sw],Table42[[#This Row],[level]])+COUNTIFS(Table41[winner2],"paragon",Table41[winner2-sw],Table42[[#This Row],[level]])+COUNTIFS(Table41[winner3],"paragon",Table41[winner3-sw],Table42[[#This Row],[level]])+COUNTIFS(Table41[loser1],"paragon",Table41[loser1-sw],Table42[[#This Row],[level]])+COUNTIFS(Table41[loser2],"paragon",Table41[loser2-sw],Table42[[#This Row],[level]])+COUNTIFS(Table41[loser3],"paragon",Table41[loser3-sw],Table42[[#This Row],[level]])</calculatedColumnFormula>
    </tableColumn>
    <tableColumn id="4" xr3:uid="{3051F8DD-C458-45A9-A22A-CA5DF4CE7313}" name="chestpiece" dataDxfId="211">
      <calculatedColumnFormula>COUNTIFS(Таблица1[winner1],"paragon",Таблица1[winner1-cp],Table42[[#This Row],[level]])+COUNTIFS(Таблица1[winner2],"paragon",Таблица1[winner2-cp],Table42[[#This Row],[level]])+COUNTIFS(Таблица1[loser1],"paragon",Таблица1[loser1-cp],Table42[[#This Row],[level]])+COUNTIFS(Таблица1[loser2],"paragon",Таблица1[loser2-cp],Table42[[#This Row],[level]])+COUNTIFS(Table41[winner1],"paragon",Table41[winner1-cp],Table42[[#This Row],[level]])+COUNTIFS(Table41[winner2],"paragon",Table41[winner2-cp],Table42[[#This Row],[level]])+COUNTIFS(Table41[winner3],"paragon",Table41[winner3-cp],Table42[[#This Row],[level]])+COUNTIFS(Table41[loser1],"paragon",Table41[loser1-cp],Table42[[#This Row],[level]])+COUNTIFS(Table41[loser2],"paragon",Table41[loser2-cp],Table42[[#This Row],[level]])+COUNTIFS(Table41[loser3],"paragon",Table41[loser3-cp],Table42[[#This Row],[level]])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66F4D30-7DBF-4D65-9A72-E7B208B05DE0}" name="Table712" displayName="Table712" ref="A1:E4" totalsRowShown="0">
  <autoFilter ref="A1:E4" xr:uid="{DCA301F1-E0F8-4700-BEE5-2688AF43F23A}"/>
  <tableColumns count="5">
    <tableColumn id="2" xr3:uid="{C5F0ACF1-033B-4C35-A916-4F278AF4A3BE}" name="ability"/>
    <tableColumn id="6" xr3:uid="{1A19440C-2A32-4C29-99C7-AC47DDBFE5CB}" name="takes" dataDxfId="210">
      <calculatedColumnFormula>COUNTIF(Таблица1[winner1-ability1],Table712[[#This Row],[ability]])+COUNTIF(Таблица1[winner2-ability1],Table712[[#This Row],[ability]])+COUNTIF(Таблица1[loser1-ability1],Table712[[#This Row],[ability]])+COUNTIF(Таблица1[loser2-ability1],Table712[[#This Row],[ability]])+COUNTIF(Table41[winner1-ability1],Table712[[#This Row],[ability]])+COUNTIF(Table41[winner2-ability1],Table712[[#This Row],[ability]])+COUNTIF(Table41[winner3-ability1],Table712[[#This Row],[ability]])+COUNTIF(Table41[loser1-ability1],Table712[[#This Row],[ability]])+COUNTIF(Table41[loser2-ability1],Table712[[#This Row],[ability]])+COUNTIF(Table41[loser3-ability1],Table712[[#This Row],[ability]])</calculatedColumnFormula>
    </tableColumn>
    <tableColumn id="4" xr3:uid="{EA007BCF-FE0D-472D-89CC-3B157C4AB07B}" name="wins" dataDxfId="209">
      <calculatedColumnFormula>COUNTIF(Таблица1[winner1-ability1],Table712[[#This Row],[ability]])+COUNTIF(Таблица1[winner2-ability1],Table712[[#This Row],[ability]])+COUNTIF(Table41[winner1-ability1],Table712[[#This Row],[ability]])+COUNTIF(Table41[winner2-ability1],Table712[[#This Row],[ability]])+COUNTIF(Table41[winner3-ability1],Table712[[#This Row],[ability]])</calculatedColumnFormula>
    </tableColumn>
    <tableColumn id="5" xr3:uid="{A94185BE-9816-474C-8973-0A54D8FEF710}" name="battles-take-rate" dataDxfId="208">
      <calculatedColumnFormula>IF(SUM(Table712[[#This Row],[takes]]) &gt; 0,Table712[[#This Row],[takes]]/SUM(Table712[takes]),0)</calculatedColumnFormula>
    </tableColumn>
    <tableColumn id="7" xr3:uid="{D2FB093C-12E7-4FE0-B969-FBA8E1A7826C}" name="take-win-rate" dataDxfId="207">
      <calculatedColumnFormula>IF(Table712[[#This Row],[takes]]&gt;0,Table712[[#This Row],[wins]]/Table712[[#This Row],[takes]],0)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5449B03-EE54-4BB6-91BF-728706DF582D}" name="Table813" displayName="Table813" ref="A6:E9" totalsRowShown="0" headerRowDxfId="206" headerRowBorderDxfId="205" tableBorderDxfId="204" totalsRowBorderDxfId="203">
  <autoFilter ref="A6:E9" xr:uid="{8ADAEE31-4DDA-4DF2-9EAD-04808D53FFC1}"/>
  <tableColumns count="5">
    <tableColumn id="1" xr3:uid="{48D74CBC-EC17-4EC2-95FA-4302F28E4416}" name="ability"/>
    <tableColumn id="2" xr3:uid="{93D0F4C4-BC1B-4219-9A49-08A5A87A5C24}" name="takes" dataDxfId="202">
      <calculatedColumnFormula>COUNTIF(Таблица1[winner1-ability2],Table813[[#This Row],[ability]])+COUNTIF(Таблица1[winner2-ability2],Table813[[#This Row],[ability]])+COUNTIF(Таблица1[loser1-ability2],Table813[[#This Row],[ability]])+COUNTIF(Таблица1[loser2-ability2],Table813[[#This Row],[ability]])+COUNTIF(Table41[winner1-ability2],Table813[[#This Row],[ability]])+COUNTIF(Table41[winner2-ability2],Table813[[#This Row],[ability]])+COUNTIF(Table41[winner3-ability2],Table813[[#This Row],[ability]])+COUNTIF(Table41[loser1-ability2],Table813[[#This Row],[ability]])+COUNTIF(Table41[loser2-ability2],Table813[[#This Row],[ability]])+COUNTIF(Table41[loser3-ability2],Table813[[#This Row],[ability]])</calculatedColumnFormula>
    </tableColumn>
    <tableColumn id="3" xr3:uid="{629F1216-A487-4A9D-AFED-6FA41B8F696C}" name="wins" dataDxfId="201">
      <calculatedColumnFormula>COUNTIF(Таблица1[winner1-ability2],Table813[[#This Row],[ability]])+COUNTIF(Таблица1[winner2-ability2],Table813[[#This Row],[ability]])+COUNTIF(Table41[winner1-ability2],Table813[[#This Row],[ability]])+COUNTIF(Table41[winner2-ability2],Table813[[#This Row],[ability]])+COUNTIF(Table41[winner3-ability2],Table813[[#This Row],[ability]])</calculatedColumnFormula>
    </tableColumn>
    <tableColumn id="4" xr3:uid="{888D233F-C4EE-4508-B89C-814A73B5F64E}" name="battles-take-rate" dataDxfId="200">
      <calculatedColumnFormula>IF(SUM(Table813[[#This Row],[takes]]) &gt; 0,Table813[[#This Row],[takes]]/SUM(Table813[takes]),0)</calculatedColumnFormula>
    </tableColumn>
    <tableColumn id="5" xr3:uid="{E2951F86-9EDC-45ED-9996-DC5B4F7916F5}" name="take-win-rate" dataDxfId="199">
      <calculatedColumnFormula>IF(Table813[[#This Row],[takes]]&gt;0,Table813[[#This Row],[wins]]/Table813[[#This Row],[takes]],0)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B6C96DF-520F-46F0-814A-99EE580997C7}" name="Table914" displayName="Table914" ref="A11:E14" totalsRowShown="0" headerRowDxfId="198" headerRowBorderDxfId="197" tableBorderDxfId="196" totalsRowBorderDxfId="195">
  <autoFilter ref="A11:E14" xr:uid="{1B0EA3CA-FA8E-4345-B52C-471D5C94AD38}"/>
  <tableColumns count="5">
    <tableColumn id="1" xr3:uid="{4DA29322-1A6A-4A5F-9F51-C610FDD2CF86}" name="ability"/>
    <tableColumn id="2" xr3:uid="{3DBB6A6B-EA0F-4C97-AD69-A8E330187DA8}" name="takes" dataDxfId="194">
      <calculatedColumnFormula>COUNTIF(Таблица1[winner1-ability3],Table914[[#This Row],[ability]])+COUNTIF(Таблица1[winner2-ability3],Table914[[#This Row],[ability]])+COUNTIF(Таблица1[loser1-ability3],Table914[[#This Row],[ability]])+COUNTIF(Таблица1[loser2-ability3],Table914[[#This Row],[ability]])+COUNTIF(Table41[winner1-ability3],Table914[[#This Row],[ability]])+COUNTIF(Table41[winner2-ability3],Table914[[#This Row],[ability]])+COUNTIF(Table41[winner3-ability3],Table914[[#This Row],[ability]])+COUNTIF(Table41[loser1-ability3],Table914[[#This Row],[ability]])+COUNTIF(Table41[loser2-ability3],Table914[[#This Row],[ability]])+COUNTIF(Table41[loser3-ability3],Table914[[#This Row],[ability]])</calculatedColumnFormula>
    </tableColumn>
    <tableColumn id="3" xr3:uid="{68B3DF49-8FAA-4070-8551-E37FF5989C82}" name="wins" dataDxfId="193">
      <calculatedColumnFormula>COUNTIF(Таблица1[winner1-ability3],Table914[[#This Row],[ability]])+COUNTIF(Таблица1[winner2-ability3],Table914[[#This Row],[ability]])+COUNTIF(Table41[winner1-ability3],Table914[[#This Row],[ability]])+COUNTIF(Table41[winner2-ability3],Table914[[#This Row],[ability]])+COUNTIF(Table41[winner3-ability3],Table914[[#This Row],[ability]])</calculatedColumnFormula>
    </tableColumn>
    <tableColumn id="4" xr3:uid="{A958FBA6-455E-46B1-8DB1-343255FAB02D}" name="battles-take-rate" dataDxfId="192">
      <calculatedColumnFormula>IF(SUM(Table914[[#This Row],[takes]]) &gt; 0,Table914[[#This Row],[takes]]/SUM(Table914[takes]),0)</calculatedColumnFormula>
    </tableColumn>
    <tableColumn id="5" xr3:uid="{B5021FB0-CFF0-4FD6-99CF-2879FA3F4ADC}" name="take-win-rate" dataDxfId="191">
      <calculatedColumnFormula>IF(Table914[[#This Row],[takes]]&gt;0,Table914[[#This Row],[wins]]/Table914[[#This Row],[takes]],0)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5CAE6B0-8212-449E-8365-1CE49FC7A2AC}" name="Table1015" displayName="Table1015" ref="A16:E19" totalsRowShown="0" headerRowDxfId="190" headerRowBorderDxfId="189" tableBorderDxfId="188" totalsRowBorderDxfId="187">
  <autoFilter ref="A16:E19" xr:uid="{2AADA4A0-2F4A-4009-8ECF-0BECA693390C}"/>
  <tableColumns count="5">
    <tableColumn id="1" xr3:uid="{8E59CB0B-F46F-4C18-8B95-AC9EE45E75F5}" name="ability"/>
    <tableColumn id="2" xr3:uid="{1412A00E-40DA-4EAF-9241-7DE469DC1564}" name="takes" dataDxfId="186">
      <calculatedColumnFormula>COUNTIF(Таблица1[winner1-ability4],Table1015[[#This Row],[ability]])+COUNTIF(Таблица1[winner2-ability4],Table1015[[#This Row],[ability]])+COUNTIF(Таблица1[loser1-ability4],Table1015[[#This Row],[ability]])+COUNTIF(Таблица1[loser2-ability4],Table1015[[#This Row],[ability]])+COUNTIF(Table41[winner1-ability4],Table1015[[#This Row],[ability]])+COUNTIF(Table41[winner2-ability4],Table1015[[#This Row],[ability]])+COUNTIF(Table41[winner3-ability4],Table1015[[#This Row],[ability]])+COUNTIF(Table41[loser1-ability4],Table1015[[#This Row],[ability]])+COUNTIF(Table41[loser2-ability4],Table1015[[#This Row],[ability]])+COUNTIF(Table41[loser3-ability4],Table1015[[#This Row],[ability]])</calculatedColumnFormula>
    </tableColumn>
    <tableColumn id="3" xr3:uid="{617EE036-454C-4F13-ADEA-8CF13330DC75}" name="wins" dataDxfId="185">
      <calculatedColumnFormula>COUNTIF(Таблица1[winner1-ability4],Table1015[[#This Row],[ability]])+COUNTIF(Таблица1[winner2-ability4],Table1015[[#This Row],[ability]])+COUNTIF(Table41[winner1-ability4],Table1015[[#This Row],[ability]])+COUNTIF(Table41[winner2-ability4],Table1015[[#This Row],[ability]])+COUNTIF(Table41[winner3-ability4],Table1015[[#This Row],[ability]])</calculatedColumnFormula>
    </tableColumn>
    <tableColumn id="4" xr3:uid="{071CD302-9515-46E0-BB4A-71CA32876586}" name="battles-take-rate" dataDxfId="184">
      <calculatedColumnFormula>IF(SUM(Table1015[[#This Row],[takes]]) &gt; 0,Table1015[[#This Row],[takes]]/SUM(Table1015[takes]),0)</calculatedColumnFormula>
    </tableColumn>
    <tableColumn id="5" xr3:uid="{36E2935A-CA9B-4248-B5F5-46DD2B381350}" name="take-win-rate" dataDxfId="183">
      <calculatedColumnFormula>IF(Table1015[[#This Row],[takes]]&gt;0,Table1015[[#This Row],[wins]]/Table1015[[#This Row],[takes]],0)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70CCA8ED-7F9A-4DA0-B2E1-3253F8CFF7EF}" name="Table4244" displayName="Table4244" ref="G1:I4" totalsRowShown="0">
  <autoFilter ref="G1:I4" xr:uid="{70CCA8ED-7F9A-4DA0-B2E1-3253F8CFF7EF}"/>
  <tableColumns count="3">
    <tableColumn id="1" xr3:uid="{4BD7425D-1FF4-48B6-99E4-EE95BF97D00E}" name="level"/>
    <tableColumn id="2" xr3:uid="{9E99629A-6C69-418A-98FB-E0F0485D4B15}" name="sword" dataDxfId="182">
      <calculatedColumnFormula>COUNTIFS(Таблица1[winner1],"highlander",Таблица1[winner1-pw],Table4244[[#This Row],[level]])+COUNTIFS(Таблица1[winner2],"highlander",Таблица1[winner2-pw],Table4244[[#This Row],[level]])+COUNTIFS(Таблица1[loser1],"highlander",Таблица1[loser1-pw],Table4244[[#This Row],[level]])+COUNTIFS(Таблица1[loser2],"highlander",Таблица1[loser2-pw],Table4244[[#This Row],[level]])+COUNTIFS(Table41[winner1],"highlander",Table41[winner1-pw],Table4244[[#This Row],[level]])+COUNTIFS(Table41[winner2],"highlander",Table41[winner2-pw],Table4244[[#This Row],[level]])+COUNTIFS(Table41[winner3],"highlander",Table41[winner3-pw],Table4244[[#This Row],[level]])+COUNTIFS(Table41[loser1],"highlander",Table41[loser1-pw],Table4244[[#This Row],[level]])+COUNTIFS(Table41[loser2],"highlander",Table41[loser2-pw],Table4244[[#This Row],[level]])+COUNTIFS(Table41[loser3],"highlander",Table41[loser3-pw],Table4244[[#This Row],[level]])</calculatedColumnFormula>
    </tableColumn>
    <tableColumn id="4" xr3:uid="{8A6A5E6F-AE8E-44FA-B627-36E455AE03F2}" name="chestpiece" dataDxfId="181">
      <calculatedColumnFormula>COUNTIFS(Таблица1[winner1],"highlander",Таблица1[winner1-cp],Table4244[[#This Row],[level]])+COUNTIFS(Таблица1[winner2],"highlander",Таблица1[winner2-cp],Table4244[[#This Row],[level]])+COUNTIFS(Таблица1[loser1],"highlander",Таблица1[loser1-cp],Table4244[[#This Row],[level]])+COUNTIFS(Таблица1[loser2],"highlander",Таблица1[loser2-cp],Table4244[[#This Row],[level]])+COUNTIFS(Table41[winner1],"highlander",Table41[winner1-cp],Table4244[[#This Row],[level]])+COUNTIFS(Table41[winner2],"highlander",Table41[winner2-cp],Table4244[[#This Row],[level]])+COUNTIFS(Table41[winner3],"highlander",Table41[winner3-cp],Table4244[[#This Row],[level]])+COUNTIFS(Table41[loser1],"highlander",Table41[loser1-cp],Table4244[[#This Row],[level]])+COUNTIFS(Table41[loser2],"highlander",Table41[loser2-cp],Table4244[[#This Row],[level]])+COUNTIFS(Table41[loser3],"highlander",Table41[loser3-cp],Table4244[[#This Row],[level]])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Таблица2" displayName="Таблица2" ref="A2:G212" totalsRowShown="0">
  <autoFilter ref="A2:G212" xr:uid="{00000000-0009-0000-0100-000002000000}"/>
  <tableColumns count="7">
    <tableColumn id="1" xr3:uid="{00000000-0010-0000-0100-000001000000}" name="hero-1"/>
    <tableColumn id="3" xr3:uid="{00000000-0010-0000-0100-000003000000}" name="hero-2"/>
    <tableColumn id="4" xr3:uid="{00000000-0010-0000-0100-000004000000}" name="team-1-win" dataDxfId="263">
      <calculatedColumnFormula>COUNTIFS(Таблица1[winner1],Таблица2[[#This Row],[hero-1]],Таблица1[winner2],Таблица2[[#This Row],[hero-2]],Таблица1[loser1],Таблица2[[#This Row],[hero-3]],Таблица1[loser2],Таблица2[[#This Row],[hero-4]])</calculatedColumnFormula>
    </tableColumn>
    <tableColumn id="5" xr3:uid="{00000000-0010-0000-0100-000005000000}" name="hero-3"/>
    <tableColumn id="7" xr3:uid="{00000000-0010-0000-0100-000007000000}" name="hero-4"/>
    <tableColumn id="8" xr3:uid="{00000000-0010-0000-0100-000008000000}" name="team-2-win" dataDxfId="262">
      <calculatedColumnFormula>COUNTIFS(Таблица1[winner1],Таблица2[[#This Row],[hero-3]],Таблица1[winner2],Таблица2[[#This Row],[hero-4]],Таблица1[loser1],Таблица2[[#This Row],[hero-1]],Таблица1[loser2],Таблица2[[#This Row],[hero-2]])</calculatedColumnFormula>
    </tableColumn>
    <tableColumn id="2" xr3:uid="{90B32919-5E45-497D-B7B4-CD5D6F2857E9}" name="battles" dataDxfId="261">
      <calculatedColumnFormula>Таблица2[[#This Row],[team-1-win]]+Таблица2[[#This Row],[team-2-win]]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6912D71-7090-4845-AA60-60A6668DA631}" name="Table71216" displayName="Table71216" ref="A1:E4" totalsRowShown="0">
  <autoFilter ref="A1:E4" xr:uid="{DCA301F1-E0F8-4700-BEE5-2688AF43F23A}"/>
  <tableColumns count="5">
    <tableColumn id="2" xr3:uid="{9255EF85-AB1A-4B79-BB1F-45DD5C5BB686}" name="ability"/>
    <tableColumn id="6" xr3:uid="{F5527CBC-F61B-4EC3-AFAF-244F8F979593}" name="takes" dataDxfId="180">
      <calculatedColumnFormula>COUNTIF(Таблица1[winner1-ability1],Table71216[[#This Row],[ability]])+COUNTIF(Таблица1[winner2-ability1],Table71216[[#This Row],[ability]])+COUNTIF(Таблица1[loser1-ability1],Table71216[[#This Row],[ability]])+COUNTIF(Таблица1[loser2-ability1],Table71216[[#This Row],[ability]])+COUNTIF(Table41[winner1-ability1],Table71216[[#This Row],[ability]])+COUNTIF(Table41[winner2-ability1],Table71216[[#This Row],[ability]])+COUNTIF(Table41[winner3-ability1],Table71216[[#This Row],[ability]])+COUNTIF(Table41[loser1-ability1],Table71216[[#This Row],[ability]])+COUNTIF(Table41[loser2-ability1],Table71216[[#This Row],[ability]])+COUNTIF(Table41[loser3-ability1],Table71216[[#This Row],[ability]])</calculatedColumnFormula>
    </tableColumn>
    <tableColumn id="4" xr3:uid="{4AF4CA96-9568-456F-83E4-4C45299A4F4C}" name="wins" dataDxfId="179">
      <calculatedColumnFormula>COUNTIF(Таблица1[winner1-ability1],Table71216[[#This Row],[ability]])+COUNTIF(Таблица1[winner2-ability1],Table71216[[#This Row],[ability]])+COUNTIF(Table41[winner1-ability1],Table71216[[#This Row],[ability]])+COUNTIF(Table41[winner2-ability1],Table71216[[#This Row],[ability]])+COUNTIF(Table41[winner3-ability1],Table71216[[#This Row],[ability]])</calculatedColumnFormula>
    </tableColumn>
    <tableColumn id="5" xr3:uid="{FC42A0B5-886A-41F6-9E7D-9675E817474A}" name="battles-take-rate" dataDxfId="178">
      <calculatedColumnFormula>IF(SUM(Table71216[[#This Row],[takes]]) &gt; 0,Table71216[[#This Row],[takes]]/SUM(Table71216[takes]),0)</calculatedColumnFormula>
    </tableColumn>
    <tableColumn id="7" xr3:uid="{0F819830-8510-40D0-A38E-9533D2D9AFD1}" name="take-win-rate" dataDxfId="177">
      <calculatedColumnFormula>IF(Table71216[[#This Row],[takes]]&gt;0,Table71216[[#This Row],[wins]]/Table71216[[#This Row],[takes]],0)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FE4E6EF-FC1D-4976-877B-BC194BCDD02A}" name="Table81317" displayName="Table81317" ref="A6:E9" totalsRowShown="0" headerRowDxfId="176" headerRowBorderDxfId="175" tableBorderDxfId="174" totalsRowBorderDxfId="173">
  <autoFilter ref="A6:E9" xr:uid="{8ADAEE31-4DDA-4DF2-9EAD-04808D53FFC1}"/>
  <tableColumns count="5">
    <tableColumn id="1" xr3:uid="{0CC258B7-E949-4428-9385-8FC18520F986}" name="ability"/>
    <tableColumn id="2" xr3:uid="{0809AB48-BD16-40C1-AA9A-2BED7CDB89C9}" name="takes" dataDxfId="172">
      <calculatedColumnFormula>COUNTIF(Таблица1[winner1-ability2],Table81317[[#This Row],[ability]])+COUNTIF(Таблица1[winner2-ability2],Table81317[[#This Row],[ability]])+COUNTIF(Таблица1[loser1-ability2],Table81317[[#This Row],[ability]])+COUNTIF(Таблица1[loser2-ability2],Table81317[[#This Row],[ability]])+COUNTIF(Table41[winner1-ability2],Table81317[[#This Row],[ability]])+COUNTIF(Table41[winner2-ability2],Table81317[[#This Row],[ability]])+COUNTIF(Table41[winner3-ability2],Table81317[[#This Row],[ability]])+COUNTIF(Table41[loser1-ability2],Table81317[[#This Row],[ability]])+COUNTIF(Table41[loser2-ability2],Table81317[[#This Row],[ability]])+COUNTIF(Table41[loser3-ability2],Table81317[[#This Row],[ability]])</calculatedColumnFormula>
    </tableColumn>
    <tableColumn id="3" xr3:uid="{D9B285F7-8194-4926-BDE5-97EA47B86640}" name="wins" dataDxfId="171">
      <calculatedColumnFormula>COUNTIF(Таблица1[winner1-ability2],Table81317[[#This Row],[ability]])+COUNTIF(Таблица1[winner2-ability2],Table81317[[#This Row],[ability]])+COUNTIF(Table41[winner1-ability2],Table81317[[#This Row],[ability]])+COUNTIF(Table41[winner2-ability2],Table81317[[#This Row],[ability]])+COUNTIF(Table41[winner3-ability2],Table81317[[#This Row],[ability]])</calculatedColumnFormula>
    </tableColumn>
    <tableColumn id="4" xr3:uid="{B6E2E229-9691-4B70-99E3-659A3042B811}" name="battles-take-rate" dataDxfId="170">
      <calculatedColumnFormula>IF(SUM(Table81317[[#This Row],[takes]]) &gt; 0,Table81317[[#This Row],[takes]]/SUM(Table81317[takes]),0)</calculatedColumnFormula>
    </tableColumn>
    <tableColumn id="5" xr3:uid="{D2FE3150-C1DC-49F8-97DC-FF60A14B658A}" name="take-win-rate" dataDxfId="169">
      <calculatedColumnFormula>IF(Table81317[[#This Row],[takes]]&gt;0,Table81317[[#This Row],[wins]]/Table81317[[#This Row],[takes]],0)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D2DB8EE-3C5F-4271-8BC0-A2340FDAE1A8}" name="Table91418" displayName="Table91418" ref="A11:E14" totalsRowShown="0" headerRowDxfId="168" headerRowBorderDxfId="167" tableBorderDxfId="166" totalsRowBorderDxfId="165">
  <autoFilter ref="A11:E14" xr:uid="{1B0EA3CA-FA8E-4345-B52C-471D5C94AD38}"/>
  <tableColumns count="5">
    <tableColumn id="1" xr3:uid="{EDC121D2-421E-4D61-B08B-AFE0AD98CF55}" name="ability"/>
    <tableColumn id="2" xr3:uid="{DE80DC4C-8E41-432E-9216-D58458D7C78B}" name="takes" dataDxfId="164">
      <calculatedColumnFormula>COUNTIF(Таблица1[winner1-ability3],Table91418[[#This Row],[ability]])+COUNTIF(Таблица1[winner2-ability3],Table91418[[#This Row],[ability]])+COUNTIF(Таблица1[loser1-ability3],Table91418[[#This Row],[ability]])+COUNTIF(Таблица1[loser2-ability3],Table91418[[#This Row],[ability]])+COUNTIF(Table41[winner1-ability3],Table91418[[#This Row],[ability]])+COUNTIF(Table41[winner2-ability3],Table91418[[#This Row],[ability]])+COUNTIF(Table41[winner3-ability3],Table91418[[#This Row],[ability]])+COUNTIF(Table41[loser1-ability3],Table91418[[#This Row],[ability]])+COUNTIF(Table41[loser2-ability3],Table91418[[#This Row],[ability]])+COUNTIF(Table41[loser3-ability3],Table91418[[#This Row],[ability]])</calculatedColumnFormula>
    </tableColumn>
    <tableColumn id="3" xr3:uid="{49FD1C31-19AC-47C4-A9E0-4010FDBC5652}" name="wins" dataDxfId="163">
      <calculatedColumnFormula>COUNTIF(Таблица1[winner1-ability3],Table91418[[#This Row],[ability]])+COUNTIF(Таблица1[winner2-ability3],Table91418[[#This Row],[ability]])+COUNTIF(Table41[winner1-ability3],Table91418[[#This Row],[ability]])+COUNTIF(Table41[winner2-ability3],Table91418[[#This Row],[ability]])+COUNTIF(Table41[winner3-ability3],Table91418[[#This Row],[ability]])</calculatedColumnFormula>
    </tableColumn>
    <tableColumn id="4" xr3:uid="{867096AF-A5E7-4152-BAFF-F69057ACF877}" name="battles-take-rate" dataDxfId="162">
      <calculatedColumnFormula>IF(SUM(Table91418[[#This Row],[takes]]) &gt; 0,Table91418[[#This Row],[takes]]/SUM(Table91418[takes]),0)</calculatedColumnFormula>
    </tableColumn>
    <tableColumn id="5" xr3:uid="{6BFB68FF-249B-4057-B242-D2C80FC127AA}" name="take-win-rate" dataDxfId="161">
      <calculatedColumnFormula>IF(Table91418[[#This Row],[takes]]&gt;0,Table91418[[#This Row],[wins]]/Table91418[[#This Row],[takes]],0)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F9400BF-2866-4FD3-A527-43C4C9E0705E}" name="Table101519" displayName="Table101519" ref="A16:E19" totalsRowShown="0" headerRowDxfId="160" headerRowBorderDxfId="159" tableBorderDxfId="158" totalsRowBorderDxfId="157">
  <autoFilter ref="A16:E19" xr:uid="{2AADA4A0-2F4A-4009-8ECF-0BECA693390C}"/>
  <tableColumns count="5">
    <tableColumn id="1" xr3:uid="{DDEFFDA0-05FD-4426-AE7A-2F47242047B8}" name="ability"/>
    <tableColumn id="2" xr3:uid="{BA53EFC8-0FFF-4EB6-B11A-33B8B635AC12}" name="takes" dataDxfId="156">
      <calculatedColumnFormula>COUNTIF(Таблица1[winner1-ability4],Table101519[[#This Row],[ability]])+COUNTIF(Таблица1[winner2-ability4],Table101519[[#This Row],[ability]])+COUNTIF(Таблица1[loser1-ability4],Table101519[[#This Row],[ability]])+COUNTIF(Таблица1[loser2-ability4],Table101519[[#This Row],[ability]])+COUNTIF(Table41[winner1-ability4],Table101519[[#This Row],[ability]])+COUNTIF(Table41[winner2-ability4],Table101519[[#This Row],[ability]])+COUNTIF(Table41[winner3-ability4],Table101519[[#This Row],[ability]])+COUNTIF(Table41[loser1-ability4],Table101519[[#This Row],[ability]])+COUNTIF(Table41[loser2-ability4],Table101519[[#This Row],[ability]])+COUNTIF(Table41[loser3-ability4],Table101519[[#This Row],[ability]])</calculatedColumnFormula>
    </tableColumn>
    <tableColumn id="3" xr3:uid="{368187D4-DE5D-4EDF-97AE-66B18BD7AD1E}" name="wins" dataDxfId="155">
      <calculatedColumnFormula>COUNTIF(Таблица1[winner1-ability4],Table101519[[#This Row],[ability]])+COUNTIF(Таблица1[winner2-ability4],Table101519[[#This Row],[ability]])+COUNTIF(Table41[winner1-ability4],Table101519[[#This Row],[ability]])+COUNTIF(Table41[winner2-ability4],Table101519[[#This Row],[ability]])+COUNTIF(Table41[winner3-ability4],Table101519[[#This Row],[ability]])</calculatedColumnFormula>
    </tableColumn>
    <tableColumn id="4" xr3:uid="{2E0ED5D0-CAAA-4F70-987D-37A42F4D6130}" name="battles-take-rate" dataDxfId="154">
      <calculatedColumnFormula>IF(SUM(Table101519[[#This Row],[takes]]) &gt; 0,Table101519[[#This Row],[takes]]/SUM(Table101519[takes]),0)</calculatedColumnFormula>
    </tableColumn>
    <tableColumn id="5" xr3:uid="{1CFECBC5-8D82-4661-8290-C3BBA3428030}" name="take-win-rate" dataDxfId="153">
      <calculatedColumnFormula>IF(Table101519[[#This Row],[takes]]&gt;0,Table101519[[#This Row],[wins]]/Table101519[[#This Row],[takes]],0)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18D25BEC-D4E8-4197-8B84-22E7EA1B468D}" name="Table424445" displayName="Table424445" ref="G1:I4" totalsRowShown="0">
  <autoFilter ref="G1:I4" xr:uid="{18D25BEC-D4E8-4197-8B84-22E7EA1B468D}"/>
  <tableColumns count="3">
    <tableColumn id="1" xr3:uid="{1B7E33D1-6A87-4160-A7A5-A89F2BAB5299}" name="level"/>
    <tableColumn id="2" xr3:uid="{CFB91AEA-6710-4D14-B6A6-A55067324922}" name="staff" dataDxfId="152">
      <calculatedColumnFormula>COUNTIFS(Таблица1[winner1],"druid",Таблица1[winner1-pw],Table424445[[#This Row],[level]])+COUNTIFS(Таблица1[winner2],"druid",Таблица1[winner2-pw],Table424445[[#This Row],[level]])+COUNTIFS(Таблица1[loser1],"druid",Таблица1[loser1-pw],Table424445[[#This Row],[level]])+COUNTIFS(Таблица1[loser2],"druid",Таблица1[loser2-pw],Table424445[[#This Row],[level]])+COUNTIFS(Table41[winner1],"druid",Table41[winner1-pw],Table424445[[#This Row],[level]])+COUNTIFS(Table41[winner2],"druid",Table41[winner2-pw],Table424445[[#This Row],[level]])+COUNTIFS(Table41[winner3],"druid",Table41[winner3-pw],Table424445[[#This Row],[level]])+COUNTIFS(Table41[loser1],"druid",Table41[loser1-pw],Table424445[[#This Row],[level]])+COUNTIFS(Table41[loser2],"druid",Table41[loser2-pw],Table424445[[#This Row],[level]])+COUNTIFS(Table41[loser3],"druid",Table41[loser3-pw],Table424445[[#This Row],[level]])</calculatedColumnFormula>
    </tableColumn>
    <tableColumn id="4" xr3:uid="{B17AE47C-1BD4-43EA-85FD-2FC30E8D3E40}" name="chestpiece" dataDxfId="151">
      <calculatedColumnFormula>COUNTIFS(Таблица1[winner1],"druid",Таблица1[winner1-cp],Table424445[[#This Row],[level]])+COUNTIFS(Таблица1[winner2],"druid",Таблица1[winner2-cp],Table424445[[#This Row],[level]])+COUNTIFS(Таблица1[loser1],"druid",Таблица1[loser1-cp],Table424445[[#This Row],[level]])+COUNTIFS(Таблица1[loser2],"druid",Таблица1[loser2-cp],Table424445[[#This Row],[level]])+COUNTIFS(Table41[winner1],"druid",Table41[winner1-cp],Table424445[[#This Row],[level]])+COUNTIFS(Table41[winner2],"druid",Table41[winner2-cp],Table424445[[#This Row],[level]])+COUNTIFS(Table41[winner3],"druid",Table41[winner3-cp],Table424445[[#This Row],[level]])+COUNTIFS(Table41[loser1],"druid",Table41[loser1-cp],Table424445[[#This Row],[level]])+COUNTIFS(Table41[loser2],"druid",Table41[loser2-cp],Table424445[[#This Row],[level]])+COUNTIFS(Table41[loser3],"druid",Table41[loser3-cp],Table424445[[#This Row],[level]])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EE99D9D-AF82-497F-B2F5-9E56B3E6E314}" name="Table7121620" displayName="Table7121620" ref="A1:E4" totalsRowShown="0">
  <autoFilter ref="A1:E4" xr:uid="{DCA301F1-E0F8-4700-BEE5-2688AF43F23A}"/>
  <tableColumns count="5">
    <tableColumn id="2" xr3:uid="{CFB0E30C-19A4-426D-B1F5-F8407D33CDEF}" name="ability"/>
    <tableColumn id="6" xr3:uid="{CE63CB81-DB10-4197-84E0-425E8D07D8C8}" name="takes" dataDxfId="150">
      <calculatedColumnFormula>COUNTIF(Таблица1[winner1-ability1],Table7121620[[#This Row],[ability]])+COUNTIF(Таблица1[winner2-ability1],Table7121620[[#This Row],[ability]])+COUNTIF(Таблица1[loser1-ability1],Table7121620[[#This Row],[ability]])+COUNTIF(Таблица1[loser2-ability1],Table7121620[[#This Row],[ability]])+COUNTIF(Table41[winner1-ability1],Table7121620[[#This Row],[ability]])+COUNTIF(Table41[winner2-ability1],Table7121620[[#This Row],[ability]])+COUNTIF(Table41[winner3-ability1],Table7121620[[#This Row],[ability]])+COUNTIF(Table41[loser1-ability1],Table7121620[[#This Row],[ability]])+COUNTIF(Table41[loser2-ability1],Table7121620[[#This Row],[ability]])+COUNTIF(Table41[loser3-ability1],Table7121620[[#This Row],[ability]])</calculatedColumnFormula>
    </tableColumn>
    <tableColumn id="4" xr3:uid="{AA391A5E-572B-4FEE-B4CC-C0571AFE83E4}" name="wins" dataDxfId="149">
      <calculatedColumnFormula>COUNTIF(Таблица1[winner1-ability1],Table7121620[[#This Row],[ability]])+COUNTIF(Таблица1[winner2-ability1],Table7121620[[#This Row],[ability]])+COUNTIF(Table41[winner1-ability1],Table7121620[[#This Row],[ability]])+COUNTIF(Table41[winner2-ability1],Table7121620[[#This Row],[ability]])+COUNTIF(Table41[winner3-ability1],Table7121620[[#This Row],[ability]])</calculatedColumnFormula>
    </tableColumn>
    <tableColumn id="5" xr3:uid="{D3594B7B-050C-4CBA-AB69-2394167CD43A}" name="battles-take-rate" dataDxfId="148">
      <calculatedColumnFormula>IF(SUM(Table7121620[[#This Row],[takes]]) &gt; 0,Table7121620[[#This Row],[takes]]/SUM(Table7121620[takes]),0)</calculatedColumnFormula>
    </tableColumn>
    <tableColumn id="7" xr3:uid="{4968CD21-2548-4A39-9D6B-A1AE3EDF5814}" name="take-win-rate" dataDxfId="147">
      <calculatedColumnFormula>IF(Table7121620[[#This Row],[takes]]&gt;0,Table7121620[[#This Row],[wins]]/Table7121620[[#This Row],[takes]],0)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9A047F9-DA07-4353-967F-BC39528B96F8}" name="Table8131721" displayName="Table8131721" ref="A6:E9" totalsRowShown="0" headerRowDxfId="146" headerRowBorderDxfId="145" tableBorderDxfId="144" totalsRowBorderDxfId="143">
  <autoFilter ref="A6:E9" xr:uid="{8ADAEE31-4DDA-4DF2-9EAD-04808D53FFC1}"/>
  <tableColumns count="5">
    <tableColumn id="1" xr3:uid="{E43772D8-E5ED-41B4-AFC2-B656F6DA75D7}" name="ability"/>
    <tableColumn id="2" xr3:uid="{5ACD7AA8-7B70-46E9-ABAC-2647C2A2C44E}" name="takes" dataDxfId="142">
      <calculatedColumnFormula>COUNTIF(Таблица1[winner1-ability2],Table8131721[[#This Row],[ability]])+COUNTIF(Таблица1[winner2-ability2],Table8131721[[#This Row],[ability]])+COUNTIF(Таблица1[loser1-ability2],Table8131721[[#This Row],[ability]])+COUNTIF(Таблица1[loser2-ability2],Table8131721[[#This Row],[ability]])+COUNTIF(Table41[winner1-ability2],Table8131721[[#This Row],[ability]])+COUNTIF(Table41[winner2-ability2],Table8131721[[#This Row],[ability]])+COUNTIF(Table41[winner3-ability2],Table8131721[[#This Row],[ability]])+COUNTIF(Table41[loser1-ability2],Table8131721[[#This Row],[ability]])+COUNTIF(Table41[loser2-ability2],Table8131721[[#This Row],[ability]])+COUNTIF(Table41[loser3-ability2],Table8131721[[#This Row],[ability]])</calculatedColumnFormula>
    </tableColumn>
    <tableColumn id="3" xr3:uid="{06612C30-7551-41BA-A083-E4CAC40CB231}" name="wins" dataDxfId="141">
      <calculatedColumnFormula>COUNTIF(Таблица1[winner1-ability2],Table8131721[[#This Row],[ability]])+COUNTIF(Таблица1[winner2-ability2],Table8131721[[#This Row],[ability]])+COUNTIF(Table41[winner1-ability2],Table8131721[[#This Row],[ability]])+COUNTIF(Table41[winner2-ability2],Table8131721[[#This Row],[ability]])+COUNTIF(Table41[winner3-ability2],Table8131721[[#This Row],[ability]])</calculatedColumnFormula>
    </tableColumn>
    <tableColumn id="4" xr3:uid="{05EF1625-5B8F-4B06-88FA-F58F9D40B313}" name="battles-take-rate" dataDxfId="140">
      <calculatedColumnFormula>IF(SUM(Table8131721[[#This Row],[takes]]) &gt; 0,Table8131721[[#This Row],[takes]]/SUM(Table8131721[takes]),0)</calculatedColumnFormula>
    </tableColumn>
    <tableColumn id="5" xr3:uid="{A65C6B84-7817-47CD-8AB3-C173C68846D7}" name="take-win-rate" dataDxfId="139">
      <calculatedColumnFormula>IF(Table8131721[[#This Row],[takes]]&gt;0,Table8131721[[#This Row],[wins]]/Table8131721[[#This Row],[takes]],0)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10911B2-78C1-4FBF-B005-D6C2DABC6875}" name="Table9141822" displayName="Table9141822" ref="A11:E14" totalsRowShown="0" headerRowDxfId="138" headerRowBorderDxfId="137" tableBorderDxfId="136" totalsRowBorderDxfId="135">
  <autoFilter ref="A11:E14" xr:uid="{1B0EA3CA-FA8E-4345-B52C-471D5C94AD38}"/>
  <tableColumns count="5">
    <tableColumn id="1" xr3:uid="{EF677F5D-A27E-45C6-AC2A-0DD344A0DAF2}" name="ability"/>
    <tableColumn id="2" xr3:uid="{43062161-D894-4623-AD68-16DC67FA045B}" name="takes" dataDxfId="134">
      <calculatedColumnFormula>COUNTIF(Таблица1[winner1-ability3],Table9141822[[#This Row],[ability]])+COUNTIF(Таблица1[winner2-ability3],Table9141822[[#This Row],[ability]])+COUNTIF(Таблица1[loser1-ability3],Table9141822[[#This Row],[ability]])+COUNTIF(Таблица1[loser2-ability3],Table9141822[[#This Row],[ability]])+COUNTIF(Table41[winner1-ability3],Table9141822[[#This Row],[ability]])+COUNTIF(Table41[winner2-ability3],Table9141822[[#This Row],[ability]])+COUNTIF(Table41[winner3-ability3],Table9141822[[#This Row],[ability]])+COUNTIF(Table41[loser1-ability3],Table9141822[[#This Row],[ability]])+COUNTIF(Table41[loser2-ability3],Table9141822[[#This Row],[ability]])+COUNTIF(Table41[loser3-ability3],Table9141822[[#This Row],[ability]])</calculatedColumnFormula>
    </tableColumn>
    <tableColumn id="3" xr3:uid="{23693642-362A-4C6D-8F18-C6369D3B07DB}" name="wins" dataDxfId="133">
      <calculatedColumnFormula>COUNTIF(Таблица1[winner1-ability3],Table9141822[[#This Row],[ability]])+COUNTIF(Таблица1[winner2-ability3],Table9141822[[#This Row],[ability]])+COUNTIF(Table41[winner1-ability3],Table9141822[[#This Row],[ability]])+COUNTIF(Table41[winner2-ability3],Table9141822[[#This Row],[ability]])+COUNTIF(Table41[winner3-ability3],Table9141822[[#This Row],[ability]])</calculatedColumnFormula>
    </tableColumn>
    <tableColumn id="4" xr3:uid="{8C01C44A-1CF7-4BBD-99BD-DD11E1D77AF8}" name="battles-take-rate" dataDxfId="132">
      <calculatedColumnFormula>IF(SUM(Table9141822[[#This Row],[takes]]) &gt; 0,Table9141822[[#This Row],[takes]]/SUM(Table9141822[takes]),0)</calculatedColumnFormula>
    </tableColumn>
    <tableColumn id="5" xr3:uid="{FD0E9266-7570-4D9E-8BFD-ACD319CC981C}" name="take-win-rate" dataDxfId="131">
      <calculatedColumnFormula>IF(Table9141822[[#This Row],[takes]]&gt;0,Table9141822[[#This Row],[wins]]/Table9141822[[#This Row],[takes]],0)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2735B440-5F53-4443-9B97-365642046D2D}" name="Table10151923" displayName="Table10151923" ref="A16:E19" totalsRowShown="0" headerRowDxfId="130" headerRowBorderDxfId="129" tableBorderDxfId="128" totalsRowBorderDxfId="127">
  <autoFilter ref="A16:E19" xr:uid="{2AADA4A0-2F4A-4009-8ECF-0BECA693390C}"/>
  <tableColumns count="5">
    <tableColumn id="1" xr3:uid="{AA3B38AD-FB43-4FD7-998C-DC0AF187775C}" name="ability"/>
    <tableColumn id="2" xr3:uid="{BD2E0D63-F310-4592-B9BC-B67D886A73E0}" name="takes" dataDxfId="126">
      <calculatedColumnFormula>COUNTIF(Таблица1[winner1-ability4],Table10151923[[#This Row],[ability]])+COUNTIF(Таблица1[winner2-ability4],Table10151923[[#This Row],[ability]])+COUNTIF(Таблица1[loser1-ability4],Table10151923[[#This Row],[ability]])+COUNTIF(Таблица1[loser2-ability4],Table10151923[[#This Row],[ability]])+COUNTIF(Table41[winner1-ability4],Table10151923[[#This Row],[ability]])+COUNTIF(Table41[winner2-ability4],Table10151923[[#This Row],[ability]])+COUNTIF(Table41[winner3-ability4],Table10151923[[#This Row],[ability]])+COUNTIF(Table41[loser1-ability4],Table10151923[[#This Row],[ability]])+COUNTIF(Table41[loser2-ability4],Table10151923[[#This Row],[ability]])+COUNTIF(Table41[loser3-ability4],Table10151923[[#This Row],[ability]])</calculatedColumnFormula>
    </tableColumn>
    <tableColumn id="3" xr3:uid="{27A65A05-A41D-483E-9CCB-6C628E62DA4D}" name="wins" dataDxfId="125">
      <calculatedColumnFormula>COUNTIF(Таблица1[winner1-ability4],Table10151923[[#This Row],[ability]])+COUNTIF(Таблица1[winner2-ability4],Table10151923[[#This Row],[ability]])+COUNTIF(Table41[winner1-ability4],Table10151923[[#This Row],[ability]])+COUNTIF(Table41[winner2-ability4],Table10151923[[#This Row],[ability]])+COUNTIF(Table41[winner3-ability4],Table10151923[[#This Row],[ability]])</calculatedColumnFormula>
    </tableColumn>
    <tableColumn id="4" xr3:uid="{54B9857B-4192-4097-8EFB-9090025A0BBD}" name="battles-take-rate" dataDxfId="124">
      <calculatedColumnFormula>IF(SUM(Table10151923[[#This Row],[takes]]) &gt; 0,Table10151923[[#This Row],[takes]]/SUM(Table10151923[takes]),0)</calculatedColumnFormula>
    </tableColumn>
    <tableColumn id="5" xr3:uid="{009D5A65-2D69-4416-955D-71B6A1D324E2}" name="take-win-rate" dataDxfId="123">
      <calculatedColumnFormula>IF(Table10151923[[#This Row],[takes]]&gt;0,Table10151923[[#This Row],[wins]]/Table10151923[[#This Row],[takes]],0)</calculatedColumn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DD605B13-407D-45BC-B202-5580F9B952B9}" name="Table42444546" displayName="Table42444546" ref="G1:I4" totalsRowShown="0">
  <autoFilter ref="G1:I4" xr:uid="{DD605B13-407D-45BC-B202-5580F9B952B9}"/>
  <tableColumns count="3">
    <tableColumn id="1" xr3:uid="{75B3A13B-232A-4FDA-A169-A510E5CCB419}" name="level"/>
    <tableColumn id="2" xr3:uid="{B4F2059D-EB28-4F9B-BC6C-714AFFCDEA50}" name="book" dataDxfId="122">
      <calculatedColumnFormula>COUNTIFS(Таблица1[winner1],"oracle",Таблица1[winner1-pw],Table42444546[[#This Row],[level]])+COUNTIFS(Таблица1[winner2],"oracle",Таблица1[winner2-pw],Table42444546[[#This Row],[level]])+COUNTIFS(Таблица1[loser1],"oracle",Таблица1[loser1-pw],Table42444546[[#This Row],[level]])+COUNTIFS(Таблица1[loser2],"oracle",Таблица1[loser2-pw],Table42444546[[#This Row],[level]])+COUNTIFS(Table41[winner1],"oracle",Table41[winner1-pw],Table42444546[[#This Row],[level]])+COUNTIFS(Table41[winner2],"oracle",Table41[winner2-pw],Table42444546[[#This Row],[level]])+COUNTIFS(Table41[winner3],"oracle",Table41[winner3-pw],Table42444546[[#This Row],[level]])+COUNTIFS(Table41[loser1],"oracle",Table41[loser1-pw],Table42444546[[#This Row],[level]])+COUNTIFS(Table41[loser2],"oracle",Table41[loser2-pw],Table42444546[[#This Row],[level]])+COUNTIFS(Table41[loser3],"oracle",Table41[loser3-pw],Table42444546[[#This Row],[level]])</calculatedColumnFormula>
    </tableColumn>
    <tableColumn id="4" xr3:uid="{E921D906-7EC6-4F62-A3CA-F43003A44E6C}" name="chestpiece" dataDxfId="121">
      <calculatedColumnFormula>COUNTIFS(Таблица1[winner1],"oracle",Таблица1[winner1-cp],Table42444546[[#This Row],[level]])+COUNTIFS(Таблица1[winner2],"oracle",Таблица1[winner2-cp],Table42444546[[#This Row],[level]])+COUNTIFS(Таблица1[loser1],"oracle",Таблица1[loser1-cp],Table42444546[[#This Row],[level]])+COUNTIFS(Таблица1[loser2],"oracle",Таблица1[loser2-cp],Table42444546[[#This Row],[level]])+COUNTIFS(Table41[winner1],"oracle",Table41[winner1-cp],Table42444546[[#This Row],[level]])+COUNTIFS(Table41[winner2],"oracle",Table41[winner2-cp],Table42444546[[#This Row],[level]])+COUNTIFS(Table41[winner3],"oracle",Table41[winner3-cp],Table42444546[[#This Row],[level]])+COUNTIFS(Table41[loser1],"oracle",Table41[loser1-cp],Table42444546[[#This Row],[level]])+COUNTIFS(Table41[loser2],"oracle",Table41[loser2-cp],Table42444546[[#This Row],[level]])+COUNTIFS(Table41[loser3],"oracle",Table41[loser3-cp],Table42444546[[#This Row],[level]])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A29664-241D-4460-819F-8FE8E5CEB60F}" name="Table3" displayName="Table3" ref="I2:M30">
  <autoFilter ref="I2:M30" xr:uid="{3BA29664-241D-4460-819F-8FE8E5CEB60F}"/>
  <tableColumns count="5">
    <tableColumn id="1" xr3:uid="{D747465F-E635-4B05-B7AF-0414E2D94D49}" name="hero-1" totalsRowLabel="Total"/>
    <tableColumn id="2" xr3:uid="{8B3A87A8-CF4B-4A42-8A73-D2647830C115}" name="hero-2"/>
    <tableColumn id="7" xr3:uid="{8BF8BDA1-C689-494F-A791-83657D52CC61}" name="battles" totalsRowFunction="count" dataDxfId="260">
      <calculatedColumnFormula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calculatedColumnFormula>
    </tableColumn>
    <tableColumn id="3" xr3:uid="{8C849232-396A-4450-80DA-F0C8AB2F4EA2}" name="wins" dataDxfId="259">
      <calculatedColumnFormula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calculatedColumnFormula>
    </tableColumn>
    <tableColumn id="5" xr3:uid="{34CD741D-CA82-4B7A-AE14-FE9F3D0AD7AE}" name="win-rate" totalsRowFunction="sum" dataDxfId="258" totalsRowDxfId="257">
      <calculatedColumnFormula>IF(Table3[[#This Row],[battles]],Table3[[#This Row],[wins]]/Table3[[#This Row],[battles]],0)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35ED812-B4C0-419B-A312-E5FA970ECBEC}" name="Table712162024" displayName="Table712162024" ref="A1:E4" totalsRowShown="0">
  <autoFilter ref="A1:E4" xr:uid="{DCA301F1-E0F8-4700-BEE5-2688AF43F23A}"/>
  <tableColumns count="5">
    <tableColumn id="2" xr3:uid="{CC4083E0-1343-404C-A49B-7D549AC04C5A}" name="ability"/>
    <tableColumn id="6" xr3:uid="{8F68B71C-BA65-401C-94B2-192289814A70}" name="takes" dataDxfId="120">
      <calculatedColumnFormula>COUNTIF(Таблица1[winner1-ability1],Table712162024[[#This Row],[ability]])+COUNTIF(Таблица1[winner2-ability1],Table712162024[[#This Row],[ability]])+COUNTIF(Таблица1[loser1-ability1],Table712162024[[#This Row],[ability]])+COUNTIF(Таблица1[loser2-ability1],Table712162024[[#This Row],[ability]])+COUNTIF(Table41[winner1-ability1],Table712162024[[#This Row],[ability]])+COUNTIF(Table41[winner2-ability1],Table712162024[[#This Row],[ability]])+COUNTIF(Table41[winner3-ability1],Table712162024[[#This Row],[ability]])+COUNTIF(Table41[loser1-ability1],Table712162024[[#This Row],[ability]])+COUNTIF(Table41[loser2-ability1],Table712162024[[#This Row],[ability]])+COUNTIF(Table41[loser3-ability1],Table712162024[[#This Row],[ability]])</calculatedColumnFormula>
    </tableColumn>
    <tableColumn id="4" xr3:uid="{2FD6D6E4-4E69-4713-82DC-E394DB2C118D}" name="wins" dataDxfId="119">
      <calculatedColumnFormula>COUNTIF(Таблица1[winner1-ability1],Table712162024[[#This Row],[ability]])+COUNTIF(Таблица1[winner2-ability1],Table712162024[[#This Row],[ability]])+COUNTIF(Table41[winner1-ability1],Table712162024[[#This Row],[ability]])+COUNTIF(Table41[winner2-ability1],Table712162024[[#This Row],[ability]])+COUNTIF(Table41[winner3-ability1],Table712162024[[#This Row],[ability]])</calculatedColumnFormula>
    </tableColumn>
    <tableColumn id="5" xr3:uid="{FC57E2CC-1D8A-40E1-A327-E095A60A4FCE}" name="battles-take-rate" dataDxfId="118">
      <calculatedColumnFormula>IF(SUM(Table712162024[[#This Row],[takes]]) &gt; 0,Table712162024[[#This Row],[takes]]/SUM(Table712162024[takes]),0)</calculatedColumnFormula>
    </tableColumn>
    <tableColumn id="7" xr3:uid="{5D9535C0-9A8E-4B95-9FF3-BDBCACE0A517}" name="take-win-rate" dataDxfId="117">
      <calculatedColumnFormula>IF(Table712162024[[#This Row],[takes]]&gt;0,Table712162024[[#This Row],[wins]]/Table712162024[[#This Row],[takes]],0)</calculatedColumn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B0CE916E-C46C-46CC-BA0B-88AC09E2E307}" name="Table813172125" displayName="Table813172125" ref="A6:E9" totalsRowShown="0" headerRowDxfId="116" headerRowBorderDxfId="115" tableBorderDxfId="114" totalsRowBorderDxfId="113">
  <autoFilter ref="A6:E9" xr:uid="{8ADAEE31-4DDA-4DF2-9EAD-04808D53FFC1}"/>
  <tableColumns count="5">
    <tableColumn id="1" xr3:uid="{D0BBFE50-2BAA-4C5D-9BBF-0FD417741CA7}" name="ability"/>
    <tableColumn id="2" xr3:uid="{E3322819-C089-4D41-8496-7F43E3860E93}" name="takes" dataDxfId="112">
      <calculatedColumnFormula>COUNTIF(Таблица1[winner1-ability2],Table813172125[[#This Row],[ability]])+COUNTIF(Таблица1[winner2-ability2],Table813172125[[#This Row],[ability]])+COUNTIF(Таблица1[loser1-ability2],Table813172125[[#This Row],[ability]])+COUNTIF(Таблица1[loser2-ability2],Table813172125[[#This Row],[ability]])+COUNTIF(Table41[winner1-ability2],Table813172125[[#This Row],[ability]])+COUNTIF(Table41[winner2-ability2],Table813172125[[#This Row],[ability]])+COUNTIF(Table41[winner3-ability2],Table813172125[[#This Row],[ability]])+COUNTIF(Table41[loser1-ability2],Table813172125[[#This Row],[ability]])+COUNTIF(Table41[loser2-ability2],Table813172125[[#This Row],[ability]])+COUNTIF(Table41[loser3-ability2],Table813172125[[#This Row],[ability]])</calculatedColumnFormula>
    </tableColumn>
    <tableColumn id="3" xr3:uid="{FED5F9C8-067D-425E-9B3C-7D9535407B89}" name="wins" dataDxfId="111">
      <calculatedColumnFormula>COUNTIF(Таблица1[winner1-ability2],Table813172125[[#This Row],[ability]])+COUNTIF(Таблица1[winner2-ability2],Table813172125[[#This Row],[ability]])+COUNTIF(Table41[winner1-ability2],Table813172125[[#This Row],[ability]])+COUNTIF(Table41[winner2-ability2],Table813172125[[#This Row],[ability]])+COUNTIF(Table41[winner3-ability2],Table813172125[[#This Row],[ability]])</calculatedColumnFormula>
    </tableColumn>
    <tableColumn id="4" xr3:uid="{48CA24A6-6BB3-434B-9BD2-1820E681DD33}" name="battles-take-rate" dataDxfId="110">
      <calculatedColumnFormula>IF(SUM(Table813172125[[#This Row],[takes]]) &gt; 0,Table813172125[[#This Row],[takes]]/SUM(Table813172125[takes]),0)</calculatedColumnFormula>
    </tableColumn>
    <tableColumn id="5" xr3:uid="{05E51087-CE62-4BB6-94E3-2E54CAA9B326}" name="take-win-rate" dataDxfId="109">
      <calculatedColumnFormula>IF(Table813172125[[#This Row],[takes]]&gt;0,Table813172125[[#This Row],[wins]]/Table813172125[[#This Row],[takes]],0)</calculatedColumnFormula>
    </tableColumn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8B13BC70-6DEC-4CB9-A8B8-1B82E72D2260}" name="Table914182226" displayName="Table914182226" ref="A11:E14" totalsRowShown="0" headerRowDxfId="108" headerRowBorderDxfId="107" tableBorderDxfId="106" totalsRowBorderDxfId="105">
  <autoFilter ref="A11:E14" xr:uid="{1B0EA3CA-FA8E-4345-B52C-471D5C94AD38}"/>
  <tableColumns count="5">
    <tableColumn id="1" xr3:uid="{F039C3F8-04EC-4D86-AA5F-F01F3E385309}" name="ability"/>
    <tableColumn id="2" xr3:uid="{699FC56B-A432-429D-BF0A-1BC870437EC4}" name="takes" dataDxfId="104">
      <calculatedColumnFormula>COUNTIF(Таблица1[winner1-ability3],Table914182226[[#This Row],[ability]])+COUNTIF(Таблица1[winner2-ability3],Table914182226[[#This Row],[ability]])+COUNTIF(Таблица1[loser1-ability3],Table914182226[[#This Row],[ability]])+COUNTIF(Таблица1[loser2-ability3],Table914182226[[#This Row],[ability]])+COUNTIF(Table41[winner1-ability3],Table914182226[[#This Row],[ability]])+COUNTIF(Table41[winner2-ability3],Table914182226[[#This Row],[ability]])+COUNTIF(Table41[winner3-ability3],Table914182226[[#This Row],[ability]])+COUNTIF(Table41[loser1-ability3],Table914182226[[#This Row],[ability]])+COUNTIF(Table41[loser2-ability3],Table914182226[[#This Row],[ability]])+COUNTIF(Table41[loser3-ability3],Table914182226[[#This Row],[ability]])</calculatedColumnFormula>
    </tableColumn>
    <tableColumn id="3" xr3:uid="{614792BB-2338-4FD5-BE31-8E554FBFED07}" name="wins" dataDxfId="103">
      <calculatedColumnFormula>COUNTIF(Таблица1[winner1-ability3],Table914182226[[#This Row],[ability]])+COUNTIF(Таблица1[winner2-ability3],Table914182226[[#This Row],[ability]])+COUNTIF(Table41[winner1-ability3],Table914182226[[#This Row],[ability]])+COUNTIF(Table41[winner2-ability3],Table914182226[[#This Row],[ability]])+COUNTIF(Table41[winner3-ability3],Table914182226[[#This Row],[ability]])</calculatedColumnFormula>
    </tableColumn>
    <tableColumn id="4" xr3:uid="{1344C14D-2E40-4EA1-97DB-49C01B4C1938}" name="battles-take-rate" dataDxfId="102">
      <calculatedColumnFormula>IF(SUM(Table914182226[[#This Row],[takes]]) &gt; 0,Table914182226[[#This Row],[takes]]/SUM(Table914182226[takes]),0)</calculatedColumnFormula>
    </tableColumn>
    <tableColumn id="5" xr3:uid="{D5CA8546-140E-4822-9D2A-E489D1CD3105}" name="take-win-rate" dataDxfId="101">
      <calculatedColumnFormula>IF(Table914182226[[#This Row],[takes]]&gt;0,Table914182226[[#This Row],[wins]]/Table914182226[[#This Row],[takes]],0)</calculatedColumnFormula>
    </tableColumn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CE8B0D9C-1926-4AB7-9C65-EEACB3B9A86C}" name="Table1015192327" displayName="Table1015192327" ref="A16:E19" totalsRowShown="0" headerRowDxfId="100" headerRowBorderDxfId="99" tableBorderDxfId="98" totalsRowBorderDxfId="97">
  <autoFilter ref="A16:E19" xr:uid="{2AADA4A0-2F4A-4009-8ECF-0BECA693390C}"/>
  <tableColumns count="5">
    <tableColumn id="1" xr3:uid="{94211769-FC21-4F3C-8749-30B0AD384A2F}" name="ability"/>
    <tableColumn id="2" xr3:uid="{72D2E5FB-2870-4E1F-94B7-133AB5C74897}" name="takes" dataDxfId="96">
      <calculatedColumnFormula>COUNTIF(Таблица1[winner1-ability4],Table1015192327[[#This Row],[ability]])+COUNTIF(Таблица1[winner2-ability4],Table1015192327[[#This Row],[ability]])+COUNTIF(Таблица1[loser1-ability4],Table1015192327[[#This Row],[ability]])+COUNTIF(Таблица1[loser2-ability4],Table1015192327[[#This Row],[ability]])+COUNTIF(Table41[winner1-ability4],Table1015192327[[#This Row],[ability]])+COUNTIF(Table41[winner2-ability4],Table1015192327[[#This Row],[ability]])+COUNTIF(Table41[winner3-ability4],Table1015192327[[#This Row],[ability]])+COUNTIF(Table41[loser1-ability4],Table1015192327[[#This Row],[ability]])+COUNTIF(Table41[loser2-ability4],Table1015192327[[#This Row],[ability]])+COUNTIF(Table41[loser3-ability4],Table1015192327[[#This Row],[ability]])</calculatedColumnFormula>
    </tableColumn>
    <tableColumn id="3" xr3:uid="{D9BD41BC-8E58-42E6-8503-2F895F3D0727}" name="wins" dataDxfId="95">
      <calculatedColumnFormula>COUNTIF(Таблица1[winner1-ability4],Table1015192327[[#This Row],[ability]])+COUNTIF(Таблица1[winner2-ability4],Table1015192327[[#This Row],[ability]])+COUNTIF(Table41[winner1-ability4],Table1015192327[[#This Row],[ability]])+COUNTIF(Table41[winner2-ability4],Table1015192327[[#This Row],[ability]])+COUNTIF(Table41[winner3-ability4],Table1015192327[[#This Row],[ability]])</calculatedColumnFormula>
    </tableColumn>
    <tableColumn id="4" xr3:uid="{075A0B87-6347-45C9-B6A0-EA7734105E88}" name="battles-take-rate" dataDxfId="94">
      <calculatedColumnFormula>IF(SUM(Table1015192327[[#This Row],[takes]]) &gt; 0,Table1015192327[[#This Row],[takes]]/SUM(Table1015192327[takes]),0)</calculatedColumnFormula>
    </tableColumn>
    <tableColumn id="5" xr3:uid="{CB58236A-7688-4580-9D3B-72EF11355EF0}" name="take-win-rate" dataDxfId="93">
      <calculatedColumnFormula>IF(Table1015192327[[#This Row],[takes]]&gt;0,Table1015192327[[#This Row],[wins]]/Table1015192327[[#This Row],[takes]],0)</calculatedColumn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1DEB3F45-AFDE-4BCC-A991-0B562DFCD2D4}" name="Table4244454647" displayName="Table4244454647" ref="G1:I4" totalsRowShown="0">
  <autoFilter ref="G1:I4" xr:uid="{1DEB3F45-AFDE-4BCC-A991-0B562DFCD2D4}"/>
  <tableColumns count="3">
    <tableColumn id="1" xr3:uid="{FD821349-0090-40F1-9C6C-DB764F1D3458}" name="level"/>
    <tableColumn id="2" xr3:uid="{62F487F3-C77C-4045-9B1E-076B839E8B62}" name="bracers" dataDxfId="92">
      <calculatedColumnFormula>COUNTIFS(Таблица1[winner1],"avatar",Таблица1[winner1-pw],Table4244454647[[#This Row],[level]])+COUNTIFS(Таблица1[winner2],"avatar",Таблица1[winner2-pw],Table4244454647[[#This Row],[level]])+COUNTIFS(Таблица1[loser1],"avatar",Таблица1[loser1-pw],Table4244454647[[#This Row],[level]])+COUNTIFS(Таблица1[loser2],"avatar",Таблица1[loser2-pw],Table4244454647[[#This Row],[level]])+COUNTIFS(Table41[winner1],"avatar",Table41[winner1-pw],Table4244454647[[#This Row],[level]])+COUNTIFS(Table41[winner2],"avatar",Table41[winner2-pw],Table4244454647[[#This Row],[level]])+COUNTIFS(Table41[winner3],"avatar",Table41[winner3-pw],Table4244454647[[#This Row],[level]])+COUNTIFS(Table41[loser1],"avatar",Table41[loser1-pw],Table4244454647[[#This Row],[level]])+COUNTIFS(Table41[loser2],"avatar",Table41[loser2-pw],Table4244454647[[#This Row],[level]])+COUNTIFS(Table41[loser3],"avatar",Table41[loser3-pw],Table4244454647[[#This Row],[level]])</calculatedColumnFormula>
    </tableColumn>
    <tableColumn id="4" xr3:uid="{1F483E18-8E8A-4017-933A-2047B6051747}" name="chestpiece" dataDxfId="91">
      <calculatedColumnFormula>COUNTIFS(Таблица1[winner1],"avatar",Таблица1[winner1-cp],Table4244454647[[#This Row],[level]])+COUNTIFS(Таблица1[winner2],"avatar",Таблица1[winner2-cp],Table4244454647[[#This Row],[level]])+COUNTIFS(Таблица1[loser1],"avatar",Таблица1[loser1-cp],Table4244454647[[#This Row],[level]])+COUNTIFS(Таблица1[loser2],"avatar",Таблица1[loser2-cp],Table4244454647[[#This Row],[level]])+COUNTIFS(Table41[winner1],"avatar",Table41[winner1-cp],Table4244454647[[#This Row],[level]])+COUNTIFS(Table41[winner2],"avatar",Table41[winner2-cp],Table4244454647[[#This Row],[level]])+COUNTIFS(Table41[winner3],"avatar",Table41[winner3-cp],Table4244454647[[#This Row],[level]])+COUNTIFS(Table41[loser1],"avatar",Table41[loser1-cp],Table4244454647[[#This Row],[level]])+COUNTIFS(Table41[loser2],"avatar",Table41[loser2-cp],Table4244454647[[#This Row],[level]])+COUNTIFS(Table41[loser3],"avatar",Table41[loser3-cp],Table4244454647[[#This Row],[level]])</calculatedColumnFormula>
    </tableColumn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64E1BCA3-BB63-4EF1-A202-FFE762EAE453}" name="Table71216202428" displayName="Table71216202428" ref="A1:E4" totalsRowShown="0">
  <autoFilter ref="A1:E4" xr:uid="{DCA301F1-E0F8-4700-BEE5-2688AF43F23A}"/>
  <tableColumns count="5">
    <tableColumn id="2" xr3:uid="{9F44409B-09C0-4081-8A27-FE4BBFED3C08}" name="ability"/>
    <tableColumn id="6" xr3:uid="{14313730-E3CF-4ABF-B7EB-FF64C29CF80C}" name="takes" dataDxfId="90">
      <calculatedColumnFormula>COUNTIF(Таблица1[winner1-ability1],Table71216202428[[#This Row],[ability]])+COUNTIF(Таблица1[winner2-ability1],Table71216202428[[#This Row],[ability]])+COUNTIF(Таблица1[loser1-ability1],Table71216202428[[#This Row],[ability]])+COUNTIF(Таблица1[loser2-ability1],Table71216202428[[#This Row],[ability]])+COUNTIF(Table41[winner1-ability1],Table71216202428[[#This Row],[ability]])+COUNTIF(Table41[winner2-ability1],Table71216202428[[#This Row],[ability]])+COUNTIF(Table41[winner3-ability1],Table71216202428[[#This Row],[ability]])+COUNTIF(Table41[loser1-ability1],Table71216202428[[#This Row],[ability]])+COUNTIF(Table41[loser2-ability1],Table71216202428[[#This Row],[ability]])+COUNTIF(Table41[loser3-ability1],Table71216202428[[#This Row],[ability]])</calculatedColumnFormula>
    </tableColumn>
    <tableColumn id="4" xr3:uid="{7734B599-AD91-4AF1-94BD-25C6F01A2721}" name="wins" dataDxfId="89">
      <calculatedColumnFormula>COUNTIF(Таблица1[winner1-ability1],Table71216202428[[#This Row],[ability]])+COUNTIF(Таблица1[winner2-ability1],Table71216202428[[#This Row],[ability]])+COUNTIF(Table41[winner1-ability1],Table71216202428[[#This Row],[ability]])+COUNTIF(Table41[winner2-ability1],Table71216202428[[#This Row],[ability]])+COUNTIF(Table41[winner3-ability1],Table71216202428[[#This Row],[ability]])</calculatedColumnFormula>
    </tableColumn>
    <tableColumn id="5" xr3:uid="{EB6C365C-30BD-489D-ACDA-2DFFAA97A7B3}" name="battles-take-rate" dataDxfId="88">
      <calculatedColumnFormula>IF(SUM(Table71216202428[[#This Row],[takes]]) &gt; 0,Table71216202428[[#This Row],[takes]]/SUM(Table71216202428[takes]),0)</calculatedColumnFormula>
    </tableColumn>
    <tableColumn id="7" xr3:uid="{7081248A-ED9C-40B3-9AB5-46EABA90CB8C}" name="take-win-rate" dataDxfId="87">
      <calculatedColumnFormula>IF(Table71216202428[[#This Row],[takes]]&gt;0,Table71216202428[[#This Row],[wins]]/Table71216202428[[#This Row],[takes]],0)</calculatedColumnFormula>
    </tableColumn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FE7732F9-FB08-47AE-9D35-C8C7D5BEEFB5}" name="Table81317212529" displayName="Table81317212529" ref="A6:E9" totalsRowShown="0" headerRowDxfId="86" headerRowBorderDxfId="85" tableBorderDxfId="84" totalsRowBorderDxfId="83">
  <autoFilter ref="A6:E9" xr:uid="{8ADAEE31-4DDA-4DF2-9EAD-04808D53FFC1}"/>
  <tableColumns count="5">
    <tableColumn id="1" xr3:uid="{B978B3A4-D252-4FDE-BB92-AD174011A3FD}" name="ability"/>
    <tableColumn id="2" xr3:uid="{C22965B2-A7BE-4EA7-879F-282A9406F126}" name="takes" dataDxfId="82">
      <calculatedColumnFormula>COUNTIF(Таблица1[winner1-ability2],Table81317212529[[#This Row],[ability]])+COUNTIF(Таблица1[winner2-ability2],Table81317212529[[#This Row],[ability]])+COUNTIF(Таблица1[loser1-ability2],Table81317212529[[#This Row],[ability]])+COUNTIF(Таблица1[loser2-ability2],Table81317212529[[#This Row],[ability]])+COUNTIF(Table41[winner1-ability2],Table81317212529[[#This Row],[ability]])+COUNTIF(Table41[winner2-ability2],Table81317212529[[#This Row],[ability]])+COUNTIF(Table41[winner3-ability2],Table81317212529[[#This Row],[ability]])+COUNTIF(Table41[loser1-ability2],Table81317212529[[#This Row],[ability]])+COUNTIF(Table41[loser2-ability2],Table81317212529[[#This Row],[ability]])+COUNTIF(Table41[loser3-ability2],Table81317212529[[#This Row],[ability]])</calculatedColumnFormula>
    </tableColumn>
    <tableColumn id="3" xr3:uid="{4EB2C16A-BA90-4A32-98E2-0966B41F2B86}" name="wins" dataDxfId="81">
      <calculatedColumnFormula>COUNTIF(Таблица1[winner1-ability2],Table81317212529[[#This Row],[ability]])+COUNTIF(Таблица1[winner2-ability2],Table81317212529[[#This Row],[ability]])+COUNTIF(Table41[winner1-ability2],Table81317212529[[#This Row],[ability]])+COUNTIF(Table41[winner2-ability2],Table81317212529[[#This Row],[ability]])+COUNTIF(Table41[winner3-ability2],Table81317212529[[#This Row],[ability]])</calculatedColumnFormula>
    </tableColumn>
    <tableColumn id="4" xr3:uid="{5B80BFEE-E552-4BE3-A377-30DBBA95ED00}" name="battles-take-rate" dataDxfId="80">
      <calculatedColumnFormula>IF(SUM(Table81317212529[[#This Row],[takes]]) &gt; 0,Table81317212529[[#This Row],[takes]]/SUM(Table81317212529[takes]),0)</calculatedColumnFormula>
    </tableColumn>
    <tableColumn id="5" xr3:uid="{3C32E2F9-29B2-462F-8B3F-B702DCCA48E9}" name="take-win-rate" dataDxfId="79">
      <calculatedColumnFormula>IF(Table81317212529[[#This Row],[takes]]&gt;0,Table81317212529[[#This Row],[wins]]/Table81317212529[[#This Row],[takes]],0)</calculatedColumnFormula>
    </tableColumn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CE9E1708-FD61-4EB2-8BF1-2F7FD97F7EAA}" name="Table91418222630" displayName="Table91418222630" ref="A11:E14" totalsRowShown="0" headerRowDxfId="78" headerRowBorderDxfId="77" tableBorderDxfId="76" totalsRowBorderDxfId="75">
  <autoFilter ref="A11:E14" xr:uid="{1B0EA3CA-FA8E-4345-B52C-471D5C94AD38}"/>
  <tableColumns count="5">
    <tableColumn id="1" xr3:uid="{465E7B62-ABAA-4443-8E62-D9D5AE696904}" name="ability"/>
    <tableColumn id="2" xr3:uid="{21D816CB-DC73-47B7-8556-D1ABFD5334D3}" name="takes" dataDxfId="74">
      <calculatedColumnFormula>COUNTIF(Таблица1[winner1-ability3],Table91418222630[[#This Row],[ability]])+COUNTIF(Таблица1[winner2-ability3],Table91418222630[[#This Row],[ability]])+COUNTIF(Таблица1[loser1-ability3],Table91418222630[[#This Row],[ability]])+COUNTIF(Таблица1[loser2-ability3],Table91418222630[[#This Row],[ability]])+COUNTIF(Table41[winner1-ability3],Table91418222630[[#This Row],[ability]])+COUNTIF(Table41[winner2-ability3],Table91418222630[[#This Row],[ability]])+COUNTIF(Table41[winner3-ability3],Table91418222630[[#This Row],[ability]])+COUNTIF(Table41[loser1-ability3],Table91418222630[[#This Row],[ability]])+COUNTIF(Table41[loser2-ability3],Table91418222630[[#This Row],[ability]])+COUNTIF(Table41[loser3-ability3],Table91418222630[[#This Row],[ability]])</calculatedColumnFormula>
    </tableColumn>
    <tableColumn id="3" xr3:uid="{020771E5-BB3C-4C38-BFA4-97040BB6F8DE}" name="wins" dataDxfId="73">
      <calculatedColumnFormula>COUNTIF(Таблица1[winner1-ability3],Table91418222630[[#This Row],[ability]])+COUNTIF(Таблица1[winner2-ability3],Table91418222630[[#This Row],[ability]])+COUNTIF(Table41[winner1-ability3],Table91418222630[[#This Row],[ability]])+COUNTIF(Table41[winner2-ability3],Table91418222630[[#This Row],[ability]])+COUNTIF(Table41[winner3-ability3],Table91418222630[[#This Row],[ability]])</calculatedColumnFormula>
    </tableColumn>
    <tableColumn id="4" xr3:uid="{8246FBDC-E50E-45EA-B094-12224214E30C}" name="battles-take-rate" dataDxfId="72">
      <calculatedColumnFormula>IF(SUM(Table91418222630[[#This Row],[takes]]) &gt; 0,Table91418222630[[#This Row],[takes]]/SUM(Table91418222630[takes]),0)</calculatedColumnFormula>
    </tableColumn>
    <tableColumn id="5" xr3:uid="{F619010C-E88B-43B7-B92B-C2FC5C7F9D50}" name="take-win-rate" dataDxfId="71">
      <calculatedColumnFormula>IF(Table91418222630[[#This Row],[takes]]&gt;0,Table91418222630[[#This Row],[wins]]/Table91418222630[[#This Row],[takes]],0)</calculatedColumnFormula>
    </tableColumn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B49F7A9C-7E51-4302-BF39-7C463A3B9AC7}" name="Table101519232731" displayName="Table101519232731" ref="A16:E19" totalsRowShown="0" headerRowDxfId="70" headerRowBorderDxfId="69" tableBorderDxfId="68" totalsRowBorderDxfId="67">
  <autoFilter ref="A16:E19" xr:uid="{2AADA4A0-2F4A-4009-8ECF-0BECA693390C}"/>
  <tableColumns count="5">
    <tableColumn id="1" xr3:uid="{A83DCC85-9F1F-43DF-9816-FD1E53AED2AE}" name="ability"/>
    <tableColumn id="2" xr3:uid="{23523275-8AA2-49D4-9C7C-830DEFA3D9E0}" name="takes" dataDxfId="66">
      <calculatedColumnFormula>COUNTIF(Таблица1[winner1-ability4],Table101519232731[[#This Row],[ability]])+COUNTIF(Таблица1[winner2-ability4],Table101519232731[[#This Row],[ability]])+COUNTIF(Таблица1[loser1-ability4],Table101519232731[[#This Row],[ability]])+COUNTIF(Таблица1[loser2-ability4],Table101519232731[[#This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Row],[ability]])+COUNTIF(Table41[loser1-ability4],Table101519232731[[#This Row],[ability]])+COUNTIF(Table41[loser2-ability4],Table101519232731[[#This Row],[ability]])+COUNTIF(Table41[loser3-ability4],Table101519232731[[#This Row],[ability]])</calculatedColumnFormula>
    </tableColumn>
    <tableColumn id="3" xr3:uid="{635995F5-252B-45DC-B96B-670DFA7F3E40}" name="wins" dataDxfId="65">
      <calculatedColumnFormula>COUNTIF(Таблица1[winner1-ability4],Table101519232731[[#This Row],[ability]])+COUNTIF(Таблица1[winner2-ability4],Table101519232731[[#This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</calculatedColumnFormula>
    </tableColumn>
    <tableColumn id="4" xr3:uid="{C1A581E6-0681-4F96-9A06-F17E70822A27}" name="battles-take-rate" dataDxfId="64">
      <calculatedColumnFormula>IF(SUM(Table101519232731[[#This Row],[takes]]) &gt; 0,Table101519232731[[#This Row],[takes]]/SUM(Table101519232731[takes]),0)</calculatedColumnFormula>
    </tableColumn>
    <tableColumn id="5" xr3:uid="{A05A91A0-51C6-456B-A555-3BE5369BB59C}" name="take-win-rate" dataDxfId="63">
      <calculatedColumnFormula>IF(Table101519232731[[#This Row],[takes]]&gt;0,Table101519232731[[#This Row],[wins]]/Table101519232731[[#This Row],[takes]],0)</calculatedColumnFormula>
    </tableColumn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1DF57343-6EB6-467B-AC87-5B89FA8E04B8}" name="Table424445464748" displayName="Table424445464748" ref="G1:I4" totalsRowShown="0">
  <autoFilter ref="G1:I4" xr:uid="{1DF57343-6EB6-467B-AC87-5B89FA8E04B8}"/>
  <tableColumns count="3">
    <tableColumn id="1" xr3:uid="{3C084CEC-C8AE-408F-AD97-E693AACA1755}" name="level"/>
    <tableColumn id="2" xr3:uid="{A9B64765-CF13-48CF-B246-C238B2F6121E}" name="bow" dataDxfId="62">
      <calculatedColumnFormula>COUNTIFS(Таблица1[winner1],"shadow",Таблица1[winner1-pw],Table424445464748[[#This Row],[level]])+COUNTIFS(Таблица1[winner2],"shadow",Таблица1[winner2-pw],Table424445464748[[#This Row],[level]])+COUNTIFS(Таблица1[loser1],"shadow",Таблица1[loser1-pw],Table424445464748[[#This Row],[level]])+COUNTIFS(Таблица1[loser2],"shadow",Таблица1[loser2-pw],Table424445464748[[#This Row],[level]])+COUNTIFS(Table41[winner1],"shadow",Table41[winner1-pw],Table424445464748[[#This Row],[level]])+COUNTIFS(Table41[winner2],"shadow",Table41[winner2-pw],Table424445464748[[#This Row],[level]])+COUNTIFS(Table41[winner3],"shadow",Table41[winner3-pw],Table424445464748[[#This Row],[level]])+COUNTIFS(Table41[loser1],"shadow",Table41[loser1-pw],Table424445464748[[#This Row],[level]])+COUNTIFS(Table41[loser2],"shadow",Table41[loser2-pw],Table424445464748[[#This Row],[level]])+COUNTIFS(Table41[loser3],"shadow",Table41[loser3-pw],Table424445464748[[#This Row],[level]])</calculatedColumnFormula>
    </tableColumn>
    <tableColumn id="4" xr3:uid="{D575E23E-2C5C-4364-9276-FED9F1DC2C52}" name="chestpiece" dataDxfId="61">
      <calculatedColumnFormula>COUNTIFS(Таблица1[winner1],"shadow",Таблица1[winner1-cp],Table424445464748[[#This Row],[level]])+COUNTIFS(Таблица1[winner2],"shadow",Таблица1[winner2-cp],Table424445464748[[#This Row],[level]])+COUNTIFS(Таблица1[loser1],"shadow",Таблица1[loser1-cp],Table424445464748[[#This Row],[level]])+COUNTIFS(Таблица1[loser2],"shadow",Таблица1[loser2-cp],Table424445464748[[#This Row],[level]])+COUNTIFS(Table41[winner1],"shadow",Table41[winner1-cp],Table424445464748[[#This Row],[level]])+COUNTIFS(Table41[winner2],"shadow",Table41[winner2-cp],Table424445464748[[#This Row],[level]])+COUNTIFS(Table41[winner3],"shadow",Table41[winner3-cp],Table424445464748[[#This Row],[level]])+COUNTIFS(Table41[loser1],"shadow",Table41[loser1-cp],Table424445464748[[#This Row],[level]])+COUNTIFS(Table41[loser2],"shadow",Table41[loser2-cp],Table424445464748[[#This Row],[level]])+COUNTIFS(Table41[loser3],"shadow",Table41[loser3-cp],Table424445464748[[#This Row],[level]])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1FB0D7B-4BDC-4B81-A663-E75531662A7B}" name="Table6" displayName="Table6" ref="R1:T6" totalsRowShown="0">
  <autoFilter ref="R1:T6" xr:uid="{21FB0D7B-4BDC-4B81-A663-E75531662A7B}"/>
  <tableColumns count="3">
    <tableColumn id="1" xr3:uid="{D41DC12B-B3E0-4A51-908B-3AEC9926F4E2}" name="Think Time"/>
    <tableColumn id="2" xr3:uid="{C4F7C9BE-3F4E-4BE5-BC8F-449829AF429E}" name="Estimated Battle Time (mins)" dataDxfId="256">
      <calculatedColumnFormula>Table6[[#This Row],[Think Time]]*$P$6/1000/60</calculatedColumnFormula>
    </tableColumn>
    <tableColumn id="3" xr3:uid="{9F104377-929D-4CA1-8022-5D02C13680D6}" name="Estimated Full Run Time (hours)" dataDxfId="255">
      <calculatedColumnFormula>Table6[[#This Row],[Estimated Battle Time (mins)]]*COUNTA(Таблица2[hero-1])/60</calculatedColumnFormula>
    </tableColumn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88BF6173-A8C8-4D0C-97CB-BBA2B7D6C00E}" name="Table7121620242832" displayName="Table7121620242832" ref="A1:E4" totalsRowShown="0">
  <autoFilter ref="A1:E4" xr:uid="{DCA301F1-E0F8-4700-BEE5-2688AF43F23A}"/>
  <tableColumns count="5">
    <tableColumn id="2" xr3:uid="{1ED2164D-0973-4259-9781-6BAF2E084165}" name="ability"/>
    <tableColumn id="6" xr3:uid="{04D193BA-DBF0-4CDC-A756-9B40E68313C2}" name="takes" dataDxfId="60">
      <calculatedColumnFormula>COUNTIF(Таблица1[winner1-ability1],Table7121620242832[[#This Row],[ability]])+COUNTIF(Таблица1[winner2-ability1],Table7121620242832[[#This Row],[ability]])+COUNTIF(Таблица1[loser1-ability1],Table7121620242832[[#This Row],[ability]])+COUNTIF(Таблица1[loser2-ability1],Table7121620242832[[#This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Row],[ability]])+COUNTIF(Table41[loser1-ability1],Table7121620242832[[#This Row],[ability]])+COUNTIF(Table41[loser2-ability1],Table7121620242832[[#This Row],[ability]])+COUNTIF(Table41[loser3-ability1],Table7121620242832[[#This Row],[ability]])</calculatedColumnFormula>
    </tableColumn>
    <tableColumn id="4" xr3:uid="{7ADEC841-AD50-43F9-8690-360B475CF8BE}" name="wins" dataDxfId="59">
      <calculatedColumnFormula>COUNTIF(Таблица1[winner1-ability1],Table7121620242832[[#This Row],[ability]])+COUNTIF(Таблица1[winner2-ability1],Table7121620242832[[#This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</calculatedColumnFormula>
    </tableColumn>
    <tableColumn id="5" xr3:uid="{5F5D36E3-C252-4FDD-8F2A-EB8ACE45BFFB}" name="battles-take-rate" dataDxfId="58">
      <calculatedColumnFormula>IF(SUM(Table7121620242832[[#This Row],[takes]]) &gt; 0,Table7121620242832[[#This Row],[takes]]/SUM(Table7121620242832[takes]),0)</calculatedColumnFormula>
    </tableColumn>
    <tableColumn id="7" xr3:uid="{40DF0F53-0FA5-4FFC-AEF7-2258D444EBFA}" name="take-win-rate" dataDxfId="57">
      <calculatedColumnFormula>IF(Table7121620242832[[#This Row],[takes]]&gt;0,Table7121620242832[[#This Row],[wins]]/Table7121620242832[[#This Row],[takes]],0)</calculatedColumnFormula>
    </tableColumn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F23BEAC8-A0CE-4882-9DC5-8C4FD9B02A23}" name="Table8131721252933" displayName="Table8131721252933" ref="A6:E9" totalsRowShown="0" headerRowDxfId="56" headerRowBorderDxfId="55" tableBorderDxfId="54" totalsRowBorderDxfId="53">
  <autoFilter ref="A6:E9" xr:uid="{8ADAEE31-4DDA-4DF2-9EAD-04808D53FFC1}"/>
  <tableColumns count="5">
    <tableColumn id="1" xr3:uid="{969F47E9-33E4-48BE-AA5E-5736E1870A56}" name="ability"/>
    <tableColumn id="2" xr3:uid="{312B6A3F-AFB6-43B5-B057-8FF53D835BCF}" name="takes" dataDxfId="52">
      <calculatedColumnFormula>COUNTIF(Таблица1[winner1-ability2],Table8131721252933[[#This Row],[ability]])+COUNTIF(Таблица1[winner2-ability2],Table8131721252933[[#This Row],[ability]])+COUNTIF(Таблица1[loser1-ability2],Table8131721252933[[#This Row],[ability]])+COUNTIF(Таблица1[loser2-ability2],Table8131721252933[[#This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Row],[ability]])+COUNTIF(Table41[loser1-ability2],Table8131721252933[[#This Row],[ability]])+COUNTIF(Table41[loser2-ability2],Table8131721252933[[#This Row],[ability]])+COUNTIF(Table41[loser3-ability2],Table8131721252933[[#This Row],[ability]])</calculatedColumnFormula>
    </tableColumn>
    <tableColumn id="3" xr3:uid="{2E60A39F-6EAF-4AD0-A4E8-0191778971B9}" name="wins" dataDxfId="51">
      <calculatedColumnFormula>COUNTIF(Таблица1[winner1-ability2],Table8131721252933[[#This Row],[ability]])+COUNTIF(Таблица1[winner2-ability2],Table8131721252933[[#This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</calculatedColumnFormula>
    </tableColumn>
    <tableColumn id="4" xr3:uid="{E0075A4B-AEEA-431C-ACC8-5783B6613B01}" name="battles-take-rate" dataDxfId="50">
      <calculatedColumnFormula>IF(SUM(Table8131721252933[[#This Row],[takes]]) &gt; 0,Table8131721252933[[#This Row],[takes]]/SUM(Table8131721252933[takes]),0)</calculatedColumnFormula>
    </tableColumn>
    <tableColumn id="5" xr3:uid="{4C732FF7-A77B-452D-B826-49D203EAF61C}" name="take-win-rate" dataDxfId="49">
      <calculatedColumnFormula>IF(Table8131721252933[[#This Row],[takes]]&gt;0,Table8131721252933[[#This Row],[wins]]/Table8131721252933[[#This Row],[takes]],0)</calculatedColumnFormula>
    </tableColumn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A95774D6-ADD7-42F4-A3CD-4305812B602C}" name="Table9141822263034" displayName="Table9141822263034" ref="A11:E14" totalsRowShown="0" headerRowDxfId="48" headerRowBorderDxfId="47" tableBorderDxfId="46" totalsRowBorderDxfId="45">
  <autoFilter ref="A11:E14" xr:uid="{1B0EA3CA-FA8E-4345-B52C-471D5C94AD38}"/>
  <tableColumns count="5">
    <tableColumn id="1" xr3:uid="{1D143A54-64E0-40CF-969A-A6571AEE79E2}" name="ability"/>
    <tableColumn id="2" xr3:uid="{3AE5DA17-372A-4E8E-9891-F503A49BB59C}" name="takes" dataDxfId="44">
      <calculatedColumnFormula>COUNTIF(Таблица1[winner1-ability3],Table9141822263034[[#This Row],[ability]])+COUNTIF(Таблица1[winner2-ability3],Table9141822263034[[#This Row],[ability]])+COUNTIF(Таблица1[loser1-ability3],Table9141822263034[[#This Row],[ability]])+COUNTIF(Таблица1[loser2-ability3],Table9141822263034[[#This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Row],[ability]])+COUNTIF(Table41[loser1-ability3],Table9141822263034[[#This Row],[ability]])+COUNTIF(Table41[loser2-ability3],Table9141822263034[[#This Row],[ability]])+COUNTIF(Table41[loser3-ability3],Table9141822263034[[#This Row],[ability]])</calculatedColumnFormula>
    </tableColumn>
    <tableColumn id="3" xr3:uid="{5819056E-9672-4D70-9BDD-FC7203231C89}" name="wins" dataDxfId="43">
      <calculatedColumnFormula>COUNTIF(Таблица1[winner1-ability3],Table9141822263034[[#This Row],[ability]])+COUNTIF(Таблица1[winner2-ability3],Table9141822263034[[#This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</calculatedColumnFormula>
    </tableColumn>
    <tableColumn id="4" xr3:uid="{157D9699-1B48-4EC3-B510-852D9FD33170}" name="battles-take-rate" dataDxfId="42">
      <calculatedColumnFormula>IF(SUM(Table9141822263034[[#This Row],[takes]]) &gt; 0,Table9141822263034[[#This Row],[takes]]/SUM(Table9141822263034[takes]),0)</calculatedColumnFormula>
    </tableColumn>
    <tableColumn id="5" xr3:uid="{C8BF4F38-4704-4527-BF37-8BCCFF678E26}" name="take-win-rate" dataDxfId="41">
      <calculatedColumnFormula>IF(Table9141822263034[[#This Row],[takes]]&gt;0,Table9141822263034[[#This Row],[wins]]/Table9141822263034[[#This Row],[takes]],0)</calculatedColumnFormula>
    </tableColumn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DFBFAE47-6AC4-43F2-B74E-AED00007CFE4}" name="Table10151923273135" displayName="Table10151923273135" ref="A16:E19" totalsRowShown="0" headerRowDxfId="40" headerRowBorderDxfId="39" tableBorderDxfId="38" totalsRowBorderDxfId="37">
  <autoFilter ref="A16:E19" xr:uid="{2AADA4A0-2F4A-4009-8ECF-0BECA693390C}"/>
  <tableColumns count="5">
    <tableColumn id="1" xr3:uid="{D55FA695-8094-4C3D-88EE-A07EC3164BAD}" name="ability"/>
    <tableColumn id="2" xr3:uid="{CFA5A920-D977-44D2-B67A-D3AD87AA6150}" name="takes" dataDxfId="36">
      <calculatedColumnFormula>COUNTIF(Таблица1[winner1-ability4],Table10151923273135[[#This Row],[ability]])+COUNTIF(Таблица1[winner2-ability4],Table10151923273135[[#This Row],[ability]])+COUNTIF(Таблица1[loser1-ability4],Table10151923273135[[#This Row],[ability]])+COUNTIF(Таблица1[loser2-ability4],Table10151923273135[[#This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Row],[ability]])+COUNTIF(Table41[loser1-ability4],Table10151923273135[[#This Row],[ability]])+COUNTIF(Table41[loser2-ability4],Table10151923273135[[#This Row],[ability]])+COUNTIF(Table41[loser3-ability4],Table10151923273135[[#This Row],[ability]])</calculatedColumnFormula>
    </tableColumn>
    <tableColumn id="3" xr3:uid="{3BAA5B2E-190A-400B-8854-BA9FD156788A}" name="wins" dataDxfId="35">
      <calculatedColumnFormula>COUNTIF(Таблица1[winner1-ability4],Table10151923273135[[#This Row],[ability]])+COUNTIF(Таблица1[winner2-ability4],Table10151923273135[[#This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</calculatedColumnFormula>
    </tableColumn>
    <tableColumn id="4" xr3:uid="{6799D6E7-DA8F-425B-B7F1-A98E30323F53}" name="battles-take-rate" dataDxfId="34">
      <calculatedColumnFormula>IF(SUM(Table10151923273135[[#This Row],[takes]]) &gt; 0,Table10151923273135[[#This Row],[takes]]/SUM(Table10151923273135[takes]),0)</calculatedColumnFormula>
    </tableColumn>
    <tableColumn id="5" xr3:uid="{F569E1D6-6B34-4F3F-84CB-3AB52432D2E8}" name="take-win-rate" dataDxfId="33">
      <calculatedColumnFormula>IF(Table10151923273135[[#This Row],[takes]]&gt;0,Table10151923273135[[#This Row],[wins]]/Table10151923273135[[#This Row],[takes]],0)</calculatedColumnFormula>
    </tableColumn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01198641-B5B5-466C-BF2E-5DFD2A0EAB1E}" name="Table42444546474849" displayName="Table42444546474849" ref="G1:I4" totalsRowShown="0">
  <autoFilter ref="G1:I4" xr:uid="{01198641-B5B5-466C-BF2E-5DFD2A0EAB1E}"/>
  <tableColumns count="3">
    <tableColumn id="1" xr3:uid="{E68D959A-6ABE-435F-9FA5-6532806F6473}" name="level"/>
    <tableColumn id="2" xr3:uid="{40CC5232-BC2A-4C74-8693-FE7CD3F5E97B}" name="hammer" dataDxfId="32">
      <calculatedColumnFormula>COUNTIFS(Таблица1[winner1],"lightbringer",Таблица1[winner1-pw],Table42444546474849[[#This Row],[level]])+COUNTIFS(Таблица1[winner2],"lightbringer",Таблица1[winner2-pw],Table42444546474849[[#This Row],[level]])+COUNTIFS(Таблица1[loser1],"lightbringer",Таблица1[loser1-pw],Table42444546474849[[#This Row],[level]])+COUNTIFS(Таблица1[loser2],"lightbringer",Таблица1[loser2-pw],Table42444546474849[[#This Row],[level]])+COUNTIFS(Table41[winner1],"lightbringer",Table41[winner1-pw],Table42444546474849[[#This Row],[level]])+COUNTIFS(Table41[winner2],"lightbringer",Table41[winner2-pw],Table42444546474849[[#This Row],[level]])+COUNTIFS(Table41[winner3],"lightbringer",Table41[winner3-pw],Table42444546474849[[#This Row],[level]])+COUNTIFS(Table41[loser1],"lightbringer",Table41[loser1-pw],Table42444546474849[[#This Row],[level]])+COUNTIFS(Table41[loser2],"lightbringer",Table41[loser2-pw],Table42444546474849[[#This Row],[level]])+COUNTIFS(Table41[loser3],"lightbringer",Table41[loser3-pw],Table42444546474849[[#This Row],[level]])</calculatedColumnFormula>
    </tableColumn>
    <tableColumn id="4" xr3:uid="{F0BB8FA1-DB94-41D7-8821-CC33E132D173}" name="chestpiece" dataDxfId="31">
      <calculatedColumnFormula>COUNTIFS(Таблица1[winner1],"lightbringer",Таблица1[winner1-cp],Table42444546474849[[#This Row],[level]])+COUNTIFS(Таблица1[winner2],"lightbringer",Таблица1[winner2-cp],Table42444546474849[[#This Row],[level]])+COUNTIFS(Таблица1[loser1],"lightbringer",Таблица1[loser1-cp],Table42444546474849[[#This Row],[level]])+COUNTIFS(Таблица1[loser2],"lightbringer",Таблица1[loser2-cp],Table42444546474849[[#This Row],[level]])+COUNTIFS(Table41[winner1],"lightbringer",Table41[winner1-cp],Table42444546474849[[#This Row],[level]])+COUNTIFS(Table41[winner2],"lightbringer",Table41[winner2-cp],Table42444546474849[[#This Row],[level]])+COUNTIFS(Table41[winner3],"lightbringer",Table41[winner3-cp],Table42444546474849[[#This Row],[level]])+COUNTIFS(Table41[loser1],"lightbringer",Table41[loser1-cp],Table42444546474849[[#This Row],[level]])+COUNTIFS(Table41[loser2],"lightbringer",Table41[loser2-cp],Table42444546474849[[#This Row],[level]])+COUNTIFS(Table41[loser3],"lightbringer",Table41[loser3-cp],Table42444546474849[[#This Row],[level]])</calculatedColumnFormula>
    </tableColumn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608EAB5D-4BDF-4694-A177-1D86474C11F5}" name="Table712162024283236" displayName="Table712162024283236" ref="A1:E4" totalsRowShown="0">
  <autoFilter ref="A1:E4" xr:uid="{DCA301F1-E0F8-4700-BEE5-2688AF43F23A}"/>
  <tableColumns count="5">
    <tableColumn id="2" xr3:uid="{141B3573-1107-4477-85C4-9A46F985DE3A}" name="ability"/>
    <tableColumn id="6" xr3:uid="{F60E52FB-D906-4921-8590-53CC77576411}" name="takes" dataDxfId="30">
      <calculatedColumnFormula>COUNTIF(Таблица1[winner1-ability1],Table712162024283236[[#This Row],[ability]])+COUNTIF(Таблица1[winner2-ability1],Table712162024283236[[#This Row],[ability]])+COUNTIF(Таблица1[loser1-ability1],Table712162024283236[[#This Row],[ability]])+COUNTIF(Таблица1[loser2-ability1],Table712162024283236[[#This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Row],[ability]])+COUNTIF(Table41[loser1-ability1],Table712162024283236[[#This Row],[ability]])+COUNTIF(Table41[loser2-ability1],Table712162024283236[[#This Row],[ability]])+COUNTIF(Table41[loser3-ability1],Table712162024283236[[#This Row],[ability]])</calculatedColumnFormula>
    </tableColumn>
    <tableColumn id="4" xr3:uid="{789DFF79-4E8A-4455-9F11-868C053D7987}" name="wins" dataDxfId="29">
      <calculatedColumnFormula>COUNTIF(Таблица1[winner1-ability1],Table712162024283236[[#This Row],[ability]])+COUNTIF(Таблица1[winner2-ability1],Table712162024283236[[#This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</calculatedColumnFormula>
    </tableColumn>
    <tableColumn id="5" xr3:uid="{F1C8A607-C20A-45DA-9600-9CB0A33E8E2F}" name="battles-take-rate" dataDxfId="28">
      <calculatedColumnFormula>IF(SUM(Table712162024283236[[#This Row],[takes]]) &gt; 0,Table712162024283236[[#This Row],[takes]]/SUM(Table712162024283236[takes]),0)</calculatedColumnFormula>
    </tableColumn>
    <tableColumn id="7" xr3:uid="{8158EFD4-3FF6-48D9-9855-F204B278A59F}" name="take-win-rate" dataDxfId="27">
      <calculatedColumnFormula>IF(Table712162024283236[[#This Row],[takes]]&gt;0,Table712162024283236[[#This Row],[wins]]/Table712162024283236[[#This Row],[takes]],0)</calculatedColumnFormula>
    </tableColumn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B8B4FE1A-721E-445D-B7FE-544C1E559758}" name="Table813172125293337" displayName="Table813172125293337" ref="A6:E9" totalsRowShown="0" headerRowDxfId="26" headerRowBorderDxfId="25" tableBorderDxfId="24" totalsRowBorderDxfId="23">
  <autoFilter ref="A6:E9" xr:uid="{8ADAEE31-4DDA-4DF2-9EAD-04808D53FFC1}"/>
  <tableColumns count="5">
    <tableColumn id="1" xr3:uid="{A4E908F7-D504-4F53-BF01-5BCBA77EA5EE}" name="ability"/>
    <tableColumn id="2" xr3:uid="{ECAE308A-5AC5-4A80-B04B-1202E0DE701E}" name="takes" dataDxfId="22">
      <calculatedColumnFormula>COUNTIF(Таблица1[winner1-ability2],Table813172125293337[[#This Row],[ability]])+COUNTIF(Таблица1[winner2-ability2],Table813172125293337[[#This Row],[ability]])+COUNTIF(Таблица1[loser1-ability2],Table813172125293337[[#This Row],[ability]])+COUNTIF(Таблица1[loser2-ability2],Table813172125293337[[#This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Row],[ability]])+COUNTIF(Table41[loser1-ability2],Table813172125293337[[#This Row],[ability]])+COUNTIF(Table41[loser2-ability2],Table813172125293337[[#This Row],[ability]])+COUNTIF(Table41[loser3-ability2],Table813172125293337[[#This Row],[ability]])</calculatedColumnFormula>
    </tableColumn>
    <tableColumn id="3" xr3:uid="{CB736A48-B13B-4B9C-8F34-EE02E1C41F6A}" name="wins" dataDxfId="21">
      <calculatedColumnFormula>COUNTIF(Таблица1[winner1-ability2],Table813172125293337[[#This Row],[ability]])+COUNTIF(Таблица1[winner2-ability2],Table813172125293337[[#This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</calculatedColumnFormula>
    </tableColumn>
    <tableColumn id="4" xr3:uid="{7B7C8B4B-CC34-4704-AB97-C84815D668EF}" name="battles-take-rate" dataDxfId="20">
      <calculatedColumnFormula>IF(SUM(Table813172125293337[[#This Row],[takes]]) &gt; 0,Table813172125293337[[#This Row],[takes]]/SUM(Table813172125293337[takes]),0)</calculatedColumnFormula>
    </tableColumn>
    <tableColumn id="5" xr3:uid="{200B53C6-F34B-4F51-8D59-87BDA3EF3991}" name="take-win-rate" dataDxfId="19">
      <calculatedColumnFormula>IF(Table813172125293337[[#This Row],[takes]]&gt;0,Table813172125293337[[#This Row],[wins]]/Table813172125293337[[#This Row],[takes]],0)</calculatedColumnFormula>
    </tableColumn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38656292-EBA4-4FFA-97EA-22863D0FC025}" name="Table914182226303438" displayName="Table914182226303438" ref="A11:E14" totalsRowShown="0" headerRowDxfId="18" headerRowBorderDxfId="17" tableBorderDxfId="16" totalsRowBorderDxfId="15">
  <autoFilter ref="A11:E14" xr:uid="{1B0EA3CA-FA8E-4345-B52C-471D5C94AD38}"/>
  <tableColumns count="5">
    <tableColumn id="1" xr3:uid="{3C366E04-3732-4401-B166-CFBEFB79CA7C}" name="ability"/>
    <tableColumn id="2" xr3:uid="{7A4B73B5-D380-462C-AE0E-FFE1E26EADF4}" name="takes" dataDxfId="14">
      <calculatedColumnFormula>COUNTIF(Таблица1[winner1-ability3],Table914182226303438[[#This Row],[ability]])+COUNTIF(Таблица1[winner2-ability3],Table914182226303438[[#This Row],[ability]])+COUNTIF(Таблица1[loser1-ability3],Table914182226303438[[#This Row],[ability]])+COUNTIF(Таблица1[loser2-ability3],Table914182226303438[[#This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Row],[ability]])+COUNTIF(Table41[loser1-ability3],Table914182226303438[[#This Row],[ability]])+COUNTIF(Table41[loser2-ability3],Table914182226303438[[#This Row],[ability]])+COUNTIF(Table41[loser3-ability3],Table914182226303438[[#This Row],[ability]])</calculatedColumnFormula>
    </tableColumn>
    <tableColumn id="3" xr3:uid="{4B46F025-9564-43E2-8C60-72D0340A7006}" name="wins" dataDxfId="13">
      <calculatedColumnFormula>COUNTIF(Таблица1[winner1-ability3],Table914182226303438[[#This Row],[ability]])+COUNTIF(Таблица1[winner2-ability3],Table914182226303438[[#This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</calculatedColumnFormula>
    </tableColumn>
    <tableColumn id="4" xr3:uid="{81BA3B73-94C1-44D2-A568-4D75E2308314}" name="battles-take-rate" dataDxfId="12">
      <calculatedColumnFormula>IF(SUM(Table914182226303438[[#This Row],[takes]]) &gt; 0,Table914182226303438[[#This Row],[takes]]/SUM(Table914182226303438[takes]),0)</calculatedColumnFormula>
    </tableColumn>
    <tableColumn id="5" xr3:uid="{94C3AD85-8A80-49F8-890D-784C47D1DD3D}" name="take-win-rate" dataDxfId="11">
      <calculatedColumnFormula>IF(Table914182226303438[[#This Row],[takes]]&gt;0,Table914182226303438[[#This Row],[wins]]/Table914182226303438[[#This Row],[takes]],0)</calculatedColumnFormula>
    </tableColumn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3AE526D2-E569-4158-9521-D085C3CA944E}" name="Table1015192327313539" displayName="Table1015192327313539" ref="A16:E19" totalsRowShown="0" headerRowDxfId="10" headerRowBorderDxfId="9" tableBorderDxfId="8" totalsRowBorderDxfId="7">
  <autoFilter ref="A16:E19" xr:uid="{2AADA4A0-2F4A-4009-8ECF-0BECA693390C}"/>
  <tableColumns count="5">
    <tableColumn id="1" xr3:uid="{D1614699-3BF2-4CB0-AF69-55D9197FFA37}" name="ability"/>
    <tableColumn id="2" xr3:uid="{2AEFD293-6E60-4102-90C1-C426928BD5A8}" name="takes" dataDxfId="6">
      <calculatedColumnFormula>COUNTIF(Таблица1[winner1-ability4],Table1015192327313539[[#This Row],[ability]])+COUNTIF(Таблица1[winner2-ability4],Table1015192327313539[[#This Row],[ability]])+COUNTIF(Таблица1[loser1-ability4],Table1015192327313539[[#This Row],[ability]])+COUNTIF(Таблица1[loser2-ability4],Table1015192327313539[[#This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Row],[ability]])+COUNTIF(Table41[loser1-ability4],Table1015192327313539[[#This Row],[ability]])+COUNTIF(Table41[loser2-ability4],Table1015192327313539[[#This Row],[ability]])+COUNTIF(Table41[loser3-ability4],Table1015192327313539[[#This Row],[ability]])</calculatedColumnFormula>
    </tableColumn>
    <tableColumn id="3" xr3:uid="{7A79D551-0723-4B22-8B7F-DE20E9FA2C70}" name="wins" dataDxfId="5">
      <calculatedColumnFormula>COUNTIF(Таблица1[winner1-ability4],Table1015192327313539[[#This Row],[ability]])+COUNTIF(Таблица1[winner2-ability4],Table1015192327313539[[#This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</calculatedColumnFormula>
    </tableColumn>
    <tableColumn id="4" xr3:uid="{8FD45B06-430F-453A-B143-E8B554BB65D6}" name="battles-take-rate" dataDxfId="4">
      <calculatedColumnFormula>IF(SUM(Table1015192327313539[[#This Row],[takes]]) &gt; 0,Table1015192327313539[[#This Row],[takes]]/SUM(Table1015192327313539[takes]),0)</calculatedColumnFormula>
    </tableColumn>
    <tableColumn id="5" xr3:uid="{19E23A61-3746-4D96-87FF-F61A60D368A6}" name="take-win-rate" dataDxfId="3">
      <calculatedColumnFormula>IF(Table1015192327313539[[#This Row],[takes]]&gt;0,Table1015192327313539[[#This Row],[wins]]/Table1015192327313539[[#This Row],[takes]],0)</calculatedColumnFormula>
    </tableColumn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5F273BC3-5AFA-41BB-8C24-806A95220EE6}" name="Table4250" displayName="Table4250" ref="G1:J4" totalsRowShown="0">
  <autoFilter ref="G1:J4" xr:uid="{5F273BC3-5AFA-41BB-8C24-806A95220EE6}"/>
  <tableColumns count="4">
    <tableColumn id="1" xr3:uid="{A0A4C4A9-F2B5-4758-BEBF-1E803960491D}" name="level"/>
    <tableColumn id="2" xr3:uid="{DD91AD0D-7905-4223-B980-E9838979E734}" name="sabre" dataDxfId="2">
      <calculatedColumnFormula>COUNTIFS(Таблица1[winner1],"avenger",Таблица1[winner1-pw],Table4250[[#This Row],[level]])+COUNTIFS(Таблица1[winner2],"avenger",Таблица1[winner2-pw],Table4250[[#This Row],[level]])+COUNTIFS(Таблица1[loser1],"avenger",Таблица1[loser1-pw],Table4250[[#This Row],[level]])+COUNTIFS(Таблица1[loser2],"avenger",Таблица1[loser2-pw],Table4250[[#This Row],[level]])+COUNTIFS(Table41[winner1],"avenger",Table41[winner1-pw],Table4250[[#This Row],[level]])+COUNTIFS(Table41[winner2],"avenger",Table41[winner2-pw],Table4250[[#This Row],[level]])+COUNTIFS(Table41[winner3],"avenger",Table41[winner3-pw],Table4250[[#This Row],[level]])+COUNTIFS(Table41[loser1],"avenger",Table41[loser1-pw],Table4250[[#This Row],[level]])+COUNTIFS(Table41[loser2],"avenger",Table41[loser2-pw],Table4250[[#This Row],[level]])+COUNTIFS(Table41[loser3],"avenger",Table41[loser3-pw],Table4250[[#This Row],[level]])</calculatedColumnFormula>
    </tableColumn>
    <tableColumn id="3" xr3:uid="{18B9760F-1156-4C5E-B23A-07BF460F3151}" name="blade" dataDxfId="1">
      <calculatedColumnFormula>COUNTIFS(Таблица1[winner1],"avenger",Таблица1[winner1-sw],Table4250[[#This Row],[level]])+COUNTIFS(Таблица1[winner2],"avenger",Таблица1[winner2-sw],Table4250[[#This Row],[level]])+COUNTIFS(Таблица1[loser1],"avenger",Таблица1[loser1-sw],Table4250[[#This Row],[level]])+COUNTIFS(Таблица1[loser2],"avenger",Таблица1[loser2-sw],Table4250[[#This Row],[level]])+COUNTIFS(Table41[winner1],"avenger",Table41[winner1-sw],Table4250[[#This Row],[level]])+COUNTIFS(Table41[winner2],"avenger",Table41[winner2-sw],Table4250[[#This Row],[level]])+COUNTIFS(Table41[winner3],"avenger",Table41[winner3-sw],Table4250[[#This Row],[level]])+COUNTIFS(Table41[loser1],"avenger",Table41[loser1-sw],Table4250[[#This Row],[level]])+COUNTIFS(Table41[loser2],"avenger",Table41[loser2-sw],Table4250[[#This Row],[level]])+COUNTIFS(Table41[loser3],"avenger",Table41[loser3-sw],Table4250[[#This Row],[level]])</calculatedColumnFormula>
    </tableColumn>
    <tableColumn id="4" xr3:uid="{9CCE91F8-70DC-4A87-8D5C-1503F44DE864}" name="chestpiece" dataDxfId="0">
      <calculatedColumnFormula>COUNTIFS(Таблица1[winner1],"avenger",Таблица1[winner1-cp],Table4250[[#This Row],[level]])+COUNTIFS(Таблица1[winner2],"avenger",Таблица1[winner2-cp],Table4250[[#This Row],[level]])+COUNTIFS(Таблица1[loser1],"avenger",Таблица1[loser1-cp],Table4250[[#This Row],[level]])+COUNTIFS(Таблица1[loser2],"avenger",Таблица1[loser2-cp],Table4250[[#This Row],[level]])+COUNTIFS(Table41[winner1],"avenger",Table41[winner1-cp],Table4250[[#This Row],[level]])+COUNTIFS(Table41[winner2],"avenger",Table41[winner2-cp],Table4250[[#This Row],[level]])+COUNTIFS(Table41[winner3],"avenger",Table41[winner3-cp],Table4250[[#This Row],[level]])+COUNTIFS(Table41[loser1],"avenger",Table41[loser1-cp],Table4250[[#This Row],[level]])+COUNTIFS(Table41[loser2],"avenger",Table41[loser2-cp],Table4250[[#This Row],[level]])+COUNTIFS(Table41[loser3],"avenger",Table41[loser3-cp],Table4250[[#This Row],[level]])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8FF0AB99-2334-42CE-ABF7-14A6AEB9D902}" name="Table41" displayName="Table41" ref="A1:BA87" totalsRowShown="0">
  <autoFilter ref="A1:BA87" xr:uid="{8FF0AB99-2334-42CE-ABF7-14A6AEB9D902}"/>
  <tableColumns count="53">
    <tableColumn id="1" xr3:uid="{CD10349B-4AB7-4535-B085-37444EE4435D}" name="battle"/>
    <tableColumn id="3" xr3:uid="{611F2791-43B2-4D45-A159-38BE1D3E1EF9}" name="winner1"/>
    <tableColumn id="4" xr3:uid="{5E08434A-B308-48E0-B1F4-AF9E9F84F41C}" name="winner1-pw"/>
    <tableColumn id="5" xr3:uid="{FCB8D1AA-0D85-476D-9AAF-291E234B367A}" name="winner1-sw"/>
    <tableColumn id="6" xr3:uid="{EBF05520-590C-4065-8C3B-02B70DEBA3C9}" name="winner1-cp"/>
    <tableColumn id="7" xr3:uid="{06CD4FAB-6C72-4EDC-A42F-0F958BC65724}" name="winner1-ability1"/>
    <tableColumn id="8" xr3:uid="{D2C8318E-A0DC-402A-B055-AA93F30311E7}" name="winner1-ability2"/>
    <tableColumn id="9" xr3:uid="{A1DDEB49-E396-435D-82FE-307AD445CBF0}" name="winner1-ability3"/>
    <tableColumn id="10" xr3:uid="{D969CE8C-4783-4E7B-A7E2-F2845715EF28}" name="winner1-ability4"/>
    <tableColumn id="11" xr3:uid="{E06C438B-BBC6-4D84-A3A6-658732C5C443}" name="winner2"/>
    <tableColumn id="12" xr3:uid="{67BE1913-C9B6-4061-BE63-938BFFAE9048}" name="winner2-pw"/>
    <tableColumn id="13" xr3:uid="{31D56A4D-4D9A-4D2F-B15F-57CAC9197596}" name="winner2-sw"/>
    <tableColumn id="14" xr3:uid="{34685EE1-DEAE-4CDA-A44C-B7D9E48AD7D3}" name="winner2-cp"/>
    <tableColumn id="15" xr3:uid="{5E08A873-6F3D-49D3-B83C-8831BA60C29F}" name="winner2-ability1"/>
    <tableColumn id="16" xr3:uid="{683000C3-6957-4B78-BC44-6F1D549A4DF8}" name="winner2-ability2"/>
    <tableColumn id="17" xr3:uid="{C9C52A9A-20AA-4E28-9E1D-C7D156CAB25D}" name="winner2-ability3"/>
    <tableColumn id="18" xr3:uid="{76868B41-8100-4268-8430-1D483F4C9A0E}" name="winner2-ability4"/>
    <tableColumn id="19" xr3:uid="{6483BDCE-3361-4946-A955-7DE20CC26194}" name="winner3"/>
    <tableColumn id="20" xr3:uid="{6446379F-B8CA-460E-AB8A-C437AEF93030}" name="winner3-pw"/>
    <tableColumn id="21" xr3:uid="{4F8A1AA5-551A-4DCD-9909-18C1AF93871C}" name="winner3-sw"/>
    <tableColumn id="22" xr3:uid="{D5C03365-941B-468E-9892-22C626072F91}" name="winner3-cp"/>
    <tableColumn id="23" xr3:uid="{E6ABDF06-D2EB-4340-AE90-9DE022C5B6CB}" name="winner3-ability1"/>
    <tableColumn id="24" xr3:uid="{FEA694FB-EEE0-4ECB-A938-0241A92BF3C8}" name="winner3-ability2"/>
    <tableColumn id="25" xr3:uid="{0A4686CD-1474-4C08-982A-3444E07D629E}" name="winner3-ability3"/>
    <tableColumn id="26" xr3:uid="{680CDE85-DC53-44DB-B6E1-4F8331EFCED1}" name="winner3-ability4"/>
    <tableColumn id="27" xr3:uid="{35D1AB2A-3B71-4969-92E0-08BBD513A3A9}" name="loser1"/>
    <tableColumn id="28" xr3:uid="{DAF38951-0335-4014-AE30-8E2F9104EDC4}" name="loser1-pw"/>
    <tableColumn id="29" xr3:uid="{625893EB-8CA2-4099-ABF5-F124105639B1}" name="loser1-sw"/>
    <tableColumn id="30" xr3:uid="{254D5944-A2FC-4AF9-A797-635089C0116E}" name="loser1-cp"/>
    <tableColumn id="31" xr3:uid="{C3DC5E45-EC69-4FA5-A979-3780B60349CF}" name="loser1-ability1"/>
    <tableColumn id="32" xr3:uid="{7D8D363A-53C7-4B21-8A5F-A502D6186EA9}" name="loser1-ability2"/>
    <tableColumn id="33" xr3:uid="{98E83E7C-8AF8-4753-A36A-327E15B732D2}" name="loser1-ability3"/>
    <tableColumn id="34" xr3:uid="{5853F7B1-D535-4DA8-A7C0-15D564AE49E4}" name="loser1-ability4"/>
    <tableColumn id="35" xr3:uid="{9627691C-A9CA-498B-86F2-F923A7430194}" name="loser2"/>
    <tableColumn id="36" xr3:uid="{A8643B45-9442-4636-A068-52099D295984}" name="loser2-pw"/>
    <tableColumn id="37" xr3:uid="{9223D36A-3318-4A69-BA2A-DD67900F8E6C}" name="loser2-sw"/>
    <tableColumn id="38" xr3:uid="{A30BC4C5-2235-49A9-8390-9C1484DC1384}" name="loser2-cp"/>
    <tableColumn id="39" xr3:uid="{B59DF931-79E0-492E-AE3E-D9990D6C2849}" name="loser2-ability1"/>
    <tableColumn id="40" xr3:uid="{C61BE7F4-DBE9-48B1-A834-714DC440945F}" name="loser2-ability2"/>
    <tableColumn id="41" xr3:uid="{2A1B4D7B-E1EF-4506-85FF-A74ECFDC13D4}" name="loser2-ability3"/>
    <tableColumn id="42" xr3:uid="{D3562DBF-B35A-4CC0-81C0-94D7887C6D57}" name="loser2-ability4"/>
    <tableColumn id="43" xr3:uid="{A569A1F0-988C-465E-AA9F-356DC5ED38D4}" name="loser3"/>
    <tableColumn id="44" xr3:uid="{15C27CBF-11CB-47AD-A2C6-4990036B26C5}" name="loser3-pw"/>
    <tableColumn id="45" xr3:uid="{B35235AE-E3F3-41D9-920C-3B4F323EC35F}" name="loser3-sw"/>
    <tableColumn id="46" xr3:uid="{484DD19A-1CD3-4EB8-8636-F7B98BE61595}" name="loser3-cp"/>
    <tableColumn id="47" xr3:uid="{58D13FBC-A154-4337-A158-49DACD1F83D1}" name="loser3-ability1"/>
    <tableColumn id="48" xr3:uid="{50C03ED5-FE9C-4992-96F6-6165EECDC9F4}" name="loser3-ability2"/>
    <tableColumn id="49" xr3:uid="{C3EE0C10-7698-44F3-92A6-44E15608CA97}" name="loser3-ability3"/>
    <tableColumn id="50" xr3:uid="{9D6DCA61-18B0-4902-8D49-CD8148C2BF2E}" name="loser3-ability4"/>
    <tableColumn id="51" xr3:uid="{3176BC7A-ADB9-408B-836E-A1DDFA07F271}" name="crystals"/>
    <tableColumn id="52" xr3:uid="{73E00C21-60BE-4711-820B-5069322A4ADF}" name="turns"/>
    <tableColumn id="2" xr3:uid="{CE8400DF-FC1C-46A0-9BE0-0D529D168456}" name="think-time"/>
    <tableColumn id="53" xr3:uid="{80D25258-2531-46D5-B21A-647B7093663B}" name="expl-p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A6E77E-375E-4802-BE84-281AD0BDBD1B}" name="Таблица26" displayName="Таблица26" ref="A2:I282" totalsRowShown="0">
  <autoFilter ref="A2:I282" xr:uid="{00000000-0009-0000-0100-000002000000}"/>
  <tableColumns count="9">
    <tableColumn id="1" xr3:uid="{4A970956-3AF6-4C02-9A06-055E5956EF0A}" name="hero-1"/>
    <tableColumn id="3" xr3:uid="{0CD9B2CC-9C06-4E9E-94FC-F682BF987965}" name="hero-2"/>
    <tableColumn id="10" xr3:uid="{C27C2EEB-D406-4C4F-AA99-D8E093FBB70B}" name="hero-3"/>
    <tableColumn id="4" xr3:uid="{A747E94C-1831-4FC0-B7A3-D05F870B8966}" name="team-1-win" dataDxfId="253">
      <calculatedColumnFormula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calculatedColumnFormula>
    </tableColumn>
    <tableColumn id="5" xr3:uid="{128C557E-8342-4183-B44E-301E27402F84}" name="hero-4"/>
    <tableColumn id="7" xr3:uid="{AAC6C4FD-799F-4646-B17E-E24AA4D9541B}" name="hero-5"/>
    <tableColumn id="11" xr3:uid="{C8C96B24-B321-4ADB-ABA1-C0FF91014439}" name="hero-6"/>
    <tableColumn id="8" xr3:uid="{9F54B67B-95D9-418F-AAF4-DD2E413CCC12}" name="team-2-win" dataDxfId="252">
      <calculatedColumnFormula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calculatedColumnFormula>
    </tableColumn>
    <tableColumn id="2" xr3:uid="{438AEE33-BDE4-4986-ABE4-25B10C96EB4E}" name="battles" dataDxfId="251">
      <calculatedColumnFormula>Таблица26[[#This Row],[team-1-win]]+Таблица26[[#This Row],[team-2-win]]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23C35E2E-2009-4D9D-89C7-22A01A169B69}" name="Table340" displayName="Table340" ref="K2:P58">
  <autoFilter ref="K2:P58" xr:uid="{3BA29664-241D-4460-819F-8FE8E5CEB60F}"/>
  <tableColumns count="6">
    <tableColumn id="1" xr3:uid="{BBD7F247-2F6A-4116-BD29-8B4177AB29B3}" name="hero-1" totalsRowLabel="Total"/>
    <tableColumn id="2" xr3:uid="{E004DC88-94ED-4DBB-83F5-C4A4E25911C4}" name="hero-2"/>
    <tableColumn id="4" xr3:uid="{EE81324B-5B95-48AF-B411-62B354E5C4BE}" name="hero-3"/>
    <tableColumn id="7" xr3:uid="{BEC1694F-5B04-4A72-894C-ED1227DECC95}" name="battles" totalsRowFunction="count" dataDxfId="250">
      <calculatedColumnFormula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calculatedColumnFormula>
    </tableColumn>
    <tableColumn id="3" xr3:uid="{87DE653F-8EF1-405F-B4A7-479CD7C5DD97}" name="wins" dataDxfId="249">
      <calculatedColumnFormula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calculatedColumnFormula>
    </tableColumn>
    <tableColumn id="5" xr3:uid="{30777B54-84B2-475D-B26F-19D51218558B}" name="win-rate" totalsRowFunction="sum" dataDxfId="248" totalsRowDxfId="247">
      <calculatedColumnFormula>IF(Table340[[#This Row],[battles]],Table340[[#This Row],[wins]]/Table340[[#This Row],[battles]],0)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773F6931-BB03-4540-9CB9-09CF7C07E1BD}" name="Table641" displayName="Table641" ref="U1:W6" totalsRowShown="0">
  <autoFilter ref="U1:W6" xr:uid="{21FB0D7B-4BDC-4B81-A663-E75531662A7B}"/>
  <tableColumns count="3">
    <tableColumn id="1" xr3:uid="{3905B64C-07AB-49CA-906E-1B3EFDA5D5F4}" name="Think Time"/>
    <tableColumn id="2" xr3:uid="{84711717-1DDC-40F7-B239-77A0090D7A85}" name="Estimated Battle Time (mins)" dataDxfId="246">
      <calculatedColumnFormula>Table641[[#This Row],[Think Time]]*$S$6/1000/60</calculatedColumnFormula>
    </tableColumn>
    <tableColumn id="3" xr3:uid="{0FA5B76A-E646-4973-9E9A-8A991294D912}" name="Estimated Full Run Time (hours)" dataDxfId="245">
      <calculatedColumnFormula>Table641[[#This Row],[Estimated Battle Time (mins)]]*COUNTA(Таблица26[hero-1])/60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405EB0-A525-4FAC-AD12-CF7C798DE05C}" name="Table4" displayName="Table4" ref="A1:D9" totalsRowShown="0">
  <autoFilter ref="A1:D9" xr:uid="{63405EB0-A525-4FAC-AD12-CF7C798DE05C}"/>
  <tableColumns count="4">
    <tableColumn id="1" xr3:uid="{85B8E500-D508-49B7-B6C2-4293FF88864C}" name="hero"/>
    <tableColumn id="2" xr3:uid="{58A5592F-1F6D-4BC0-A001-DA1EE7044444}" name="battles" dataDxfId="244">
      <calculatedColumnFormula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calculatedColumnFormula>
    </tableColumn>
    <tableColumn id="3" xr3:uid="{907E2C9A-88EE-4007-82F2-9E1679E4E1E8}" name="wins" dataDxfId="243">
      <calculatedColumnFormula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calculatedColumnFormula>
    </tableColumn>
    <tableColumn id="4" xr3:uid="{6F2DCA26-2AD4-4FD6-9D9C-74EB1F995BF0}" name="win-rate" dataDxfId="242">
      <calculatedColumnFormula>Table4[[#This Row],[wins]]/Table4[[#This Row],[battles]]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table" Target="../tables/table31.xml"/><Relationship Id="rId1" Type="http://schemas.openxmlformats.org/officeDocument/2006/relationships/table" Target="../tables/table30.xml"/><Relationship Id="rId5" Type="http://schemas.openxmlformats.org/officeDocument/2006/relationships/table" Target="../tables/table34.xml"/><Relationship Id="rId4" Type="http://schemas.openxmlformats.org/officeDocument/2006/relationships/table" Target="../tables/table3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7.xml"/><Relationship Id="rId2" Type="http://schemas.openxmlformats.org/officeDocument/2006/relationships/table" Target="../tables/table36.xml"/><Relationship Id="rId1" Type="http://schemas.openxmlformats.org/officeDocument/2006/relationships/table" Target="../tables/table35.xml"/><Relationship Id="rId5" Type="http://schemas.openxmlformats.org/officeDocument/2006/relationships/table" Target="../tables/table39.xml"/><Relationship Id="rId4" Type="http://schemas.openxmlformats.org/officeDocument/2006/relationships/table" Target="../tables/table3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2.xml"/><Relationship Id="rId2" Type="http://schemas.openxmlformats.org/officeDocument/2006/relationships/table" Target="../tables/table41.xml"/><Relationship Id="rId1" Type="http://schemas.openxmlformats.org/officeDocument/2006/relationships/table" Target="../tables/table40.xml"/><Relationship Id="rId5" Type="http://schemas.openxmlformats.org/officeDocument/2006/relationships/table" Target="../tables/table44.xml"/><Relationship Id="rId4" Type="http://schemas.openxmlformats.org/officeDocument/2006/relationships/table" Target="../tables/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7.xml"/><Relationship Id="rId2" Type="http://schemas.openxmlformats.org/officeDocument/2006/relationships/table" Target="../tables/table46.xml"/><Relationship Id="rId1" Type="http://schemas.openxmlformats.org/officeDocument/2006/relationships/table" Target="../tables/table45.xml"/><Relationship Id="rId5" Type="http://schemas.openxmlformats.org/officeDocument/2006/relationships/table" Target="../tables/table49.xml"/><Relationship Id="rId4" Type="http://schemas.openxmlformats.org/officeDocument/2006/relationships/table" Target="../tables/table4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Relationship Id="rId5" Type="http://schemas.openxmlformats.org/officeDocument/2006/relationships/table" Target="../tables/table19.xml"/><Relationship Id="rId4" Type="http://schemas.openxmlformats.org/officeDocument/2006/relationships/table" Target="../tables/table1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5" Type="http://schemas.openxmlformats.org/officeDocument/2006/relationships/table" Target="../tables/table24.xml"/><Relationship Id="rId4" Type="http://schemas.openxmlformats.org/officeDocument/2006/relationships/table" Target="../tables/table2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table" Target="../tables/table25.xml"/><Relationship Id="rId5" Type="http://schemas.openxmlformats.org/officeDocument/2006/relationships/table" Target="../tables/table29.xml"/><Relationship Id="rId4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11"/>
  <sheetViews>
    <sheetView topLeftCell="A191" workbookViewId="0">
      <selection activeCell="F217" sqref="F217"/>
    </sheetView>
  </sheetViews>
  <sheetFormatPr defaultRowHeight="15" x14ac:dyDescent="0.25"/>
  <cols>
    <col min="1" max="1" width="38.42578125" bestFit="1" customWidth="1"/>
    <col min="2" max="2" width="11.42578125" bestFit="1" customWidth="1"/>
    <col min="3" max="3" width="14" bestFit="1" customWidth="1"/>
    <col min="4" max="4" width="13.7109375" bestFit="1" customWidth="1"/>
    <col min="5" max="5" width="13.28515625" bestFit="1" customWidth="1"/>
    <col min="6" max="6" width="18.42578125" bestFit="1" customWidth="1"/>
    <col min="7" max="7" width="19.140625" bestFit="1" customWidth="1"/>
    <col min="8" max="8" width="18" bestFit="1" customWidth="1"/>
    <col min="9" max="9" width="18.42578125" bestFit="1" customWidth="1"/>
    <col min="10" max="10" width="11.42578125" bestFit="1" customWidth="1"/>
    <col min="11" max="11" width="14" bestFit="1" customWidth="1"/>
    <col min="12" max="12" width="13.7109375" bestFit="1" customWidth="1"/>
    <col min="13" max="13" width="13.28515625" bestFit="1" customWidth="1"/>
    <col min="14" max="14" width="18.42578125" bestFit="1" customWidth="1"/>
    <col min="15" max="15" width="19.140625" bestFit="1" customWidth="1"/>
    <col min="16" max="16" width="19.42578125" bestFit="1" customWidth="1"/>
    <col min="17" max="17" width="18" bestFit="1" customWidth="1"/>
    <col min="18" max="18" width="11.42578125" bestFit="1" customWidth="1"/>
    <col min="19" max="19" width="12.140625" bestFit="1" customWidth="1"/>
    <col min="20" max="20" width="11.85546875" bestFit="1" customWidth="1"/>
    <col min="21" max="21" width="11.42578125" bestFit="1" customWidth="1"/>
    <col min="22" max="22" width="18.42578125" bestFit="1" customWidth="1"/>
    <col min="23" max="23" width="18.7109375" bestFit="1" customWidth="1"/>
    <col min="24" max="24" width="20.7109375" bestFit="1" customWidth="1"/>
    <col min="25" max="25" width="17.28515625" bestFit="1" customWidth="1"/>
    <col min="26" max="26" width="11.42578125" bestFit="1" customWidth="1"/>
    <col min="27" max="27" width="12.140625" bestFit="1" customWidth="1"/>
    <col min="28" max="28" width="11.85546875" bestFit="1" customWidth="1"/>
    <col min="29" max="29" width="11.42578125" bestFit="1" customWidth="1"/>
    <col min="30" max="30" width="24" bestFit="1" customWidth="1"/>
    <col min="31" max="31" width="19.140625" bestFit="1" customWidth="1"/>
    <col min="32" max="32" width="19.42578125" bestFit="1" customWidth="1"/>
    <col min="33" max="33" width="16.140625" bestFit="1" customWidth="1"/>
    <col min="34" max="34" width="9.85546875" bestFit="1" customWidth="1"/>
    <col min="35" max="35" width="7.85546875" bestFit="1" customWidth="1"/>
    <col min="36" max="36" width="12.7109375" bestFit="1" customWidth="1"/>
    <col min="37" max="37" width="9" bestFit="1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140</v>
      </c>
      <c r="AF1" t="s">
        <v>30</v>
      </c>
      <c r="AG1" t="s">
        <v>31</v>
      </c>
      <c r="AH1" t="s">
        <v>64</v>
      </c>
      <c r="AI1" t="s">
        <v>32</v>
      </c>
      <c r="AJ1" t="s">
        <v>348</v>
      </c>
      <c r="AK1" t="s">
        <v>349</v>
      </c>
    </row>
    <row r="2" spans="1:37" x14ac:dyDescent="0.25">
      <c r="A2" t="s">
        <v>83</v>
      </c>
      <c r="B2" t="s">
        <v>53</v>
      </c>
      <c r="C2">
        <v>3</v>
      </c>
      <c r="D2">
        <v>1</v>
      </c>
      <c r="E2">
        <v>1</v>
      </c>
      <c r="F2" t="s">
        <v>54</v>
      </c>
      <c r="G2" t="s">
        <v>84</v>
      </c>
      <c r="J2" t="s">
        <v>56</v>
      </c>
      <c r="K2">
        <v>1</v>
      </c>
      <c r="M2">
        <v>1</v>
      </c>
      <c r="N2" t="s">
        <v>68</v>
      </c>
      <c r="R2" t="s">
        <v>48</v>
      </c>
      <c r="S2">
        <v>1</v>
      </c>
      <c r="U2">
        <v>1</v>
      </c>
      <c r="V2" t="s">
        <v>49</v>
      </c>
      <c r="W2" t="s">
        <v>85</v>
      </c>
      <c r="Z2" t="s">
        <v>33</v>
      </c>
      <c r="AA2">
        <v>1</v>
      </c>
      <c r="AC2">
        <v>2</v>
      </c>
      <c r="AD2" t="s">
        <v>46</v>
      </c>
      <c r="AE2" t="s">
        <v>35</v>
      </c>
      <c r="AH2">
        <v>6</v>
      </c>
      <c r="AI2">
        <v>40</v>
      </c>
      <c r="AJ2">
        <v>30</v>
      </c>
      <c r="AK2">
        <v>2</v>
      </c>
    </row>
    <row r="3" spans="1:37" x14ac:dyDescent="0.25">
      <c r="A3" t="s">
        <v>86</v>
      </c>
      <c r="B3" t="s">
        <v>53</v>
      </c>
      <c r="C3">
        <v>2</v>
      </c>
      <c r="D3">
        <v>1</v>
      </c>
      <c r="E3">
        <v>2</v>
      </c>
      <c r="F3" t="s">
        <v>54</v>
      </c>
      <c r="G3" t="s">
        <v>55</v>
      </c>
      <c r="J3" t="s">
        <v>56</v>
      </c>
      <c r="K3">
        <v>1</v>
      </c>
      <c r="M3">
        <v>1</v>
      </c>
      <c r="N3" t="s">
        <v>68</v>
      </c>
      <c r="O3" t="s">
        <v>69</v>
      </c>
      <c r="P3" t="s">
        <v>87</v>
      </c>
      <c r="R3" t="s">
        <v>48</v>
      </c>
      <c r="S3">
        <v>1</v>
      </c>
      <c r="U3">
        <v>1</v>
      </c>
      <c r="V3" t="s">
        <v>49</v>
      </c>
      <c r="W3" t="s">
        <v>85</v>
      </c>
      <c r="Z3" t="s">
        <v>43</v>
      </c>
      <c r="AA3">
        <v>1</v>
      </c>
      <c r="AC3">
        <v>2</v>
      </c>
      <c r="AD3" t="s">
        <v>73</v>
      </c>
      <c r="AE3" t="s">
        <v>74</v>
      </c>
      <c r="AH3">
        <v>8</v>
      </c>
      <c r="AI3">
        <v>36</v>
      </c>
      <c r="AJ3">
        <v>30</v>
      </c>
      <c r="AK3">
        <v>2</v>
      </c>
    </row>
    <row r="4" spans="1:37" x14ac:dyDescent="0.25">
      <c r="A4" t="s">
        <v>88</v>
      </c>
      <c r="B4" t="s">
        <v>53</v>
      </c>
      <c r="C4">
        <v>3</v>
      </c>
      <c r="D4">
        <v>1</v>
      </c>
      <c r="E4">
        <v>1</v>
      </c>
      <c r="F4" t="s">
        <v>54</v>
      </c>
      <c r="G4" t="s">
        <v>55</v>
      </c>
      <c r="J4" t="s">
        <v>56</v>
      </c>
      <c r="K4">
        <v>1</v>
      </c>
      <c r="M4">
        <v>1</v>
      </c>
      <c r="N4" t="s">
        <v>68</v>
      </c>
      <c r="R4" t="s">
        <v>48</v>
      </c>
      <c r="S4">
        <v>1</v>
      </c>
      <c r="U4">
        <v>1</v>
      </c>
      <c r="V4" t="s">
        <v>49</v>
      </c>
      <c r="W4" t="s">
        <v>50</v>
      </c>
      <c r="X4" t="s">
        <v>51</v>
      </c>
      <c r="Z4" t="s">
        <v>45</v>
      </c>
      <c r="AA4">
        <v>1</v>
      </c>
      <c r="AC4">
        <v>1</v>
      </c>
      <c r="AD4" t="s">
        <v>89</v>
      </c>
      <c r="AH4">
        <v>5</v>
      </c>
      <c r="AI4">
        <v>37</v>
      </c>
      <c r="AJ4">
        <v>30</v>
      </c>
      <c r="AK4">
        <v>2</v>
      </c>
    </row>
    <row r="5" spans="1:37" x14ac:dyDescent="0.25">
      <c r="A5" t="s">
        <v>90</v>
      </c>
      <c r="B5" t="s">
        <v>53</v>
      </c>
      <c r="C5">
        <v>3</v>
      </c>
      <c r="D5">
        <v>1</v>
      </c>
      <c r="E5">
        <v>1</v>
      </c>
      <c r="F5" t="s">
        <v>54</v>
      </c>
      <c r="G5" t="s">
        <v>84</v>
      </c>
      <c r="J5" t="s">
        <v>56</v>
      </c>
      <c r="K5">
        <v>1</v>
      </c>
      <c r="M5">
        <v>1</v>
      </c>
      <c r="N5" t="s">
        <v>57</v>
      </c>
      <c r="O5" t="s">
        <v>69</v>
      </c>
      <c r="P5" t="s">
        <v>91</v>
      </c>
      <c r="Q5" t="s">
        <v>92</v>
      </c>
      <c r="R5" t="s">
        <v>48</v>
      </c>
      <c r="S5">
        <v>1</v>
      </c>
      <c r="U5">
        <v>1</v>
      </c>
      <c r="V5" t="s">
        <v>93</v>
      </c>
      <c r="W5" t="s">
        <v>85</v>
      </c>
      <c r="X5" t="s">
        <v>94</v>
      </c>
      <c r="Y5" t="s">
        <v>52</v>
      </c>
      <c r="Z5" t="s">
        <v>63</v>
      </c>
      <c r="AA5">
        <v>1</v>
      </c>
      <c r="AC5">
        <v>1</v>
      </c>
      <c r="AD5" t="s">
        <v>72</v>
      </c>
      <c r="AE5" t="s">
        <v>95</v>
      </c>
      <c r="AH5">
        <v>10</v>
      </c>
      <c r="AI5">
        <v>36</v>
      </c>
      <c r="AJ5">
        <v>30</v>
      </c>
      <c r="AK5">
        <v>2</v>
      </c>
    </row>
    <row r="6" spans="1:37" x14ac:dyDescent="0.25">
      <c r="A6" s="4" t="s">
        <v>96</v>
      </c>
      <c r="B6" t="s">
        <v>53</v>
      </c>
      <c r="C6">
        <v>3</v>
      </c>
      <c r="D6">
        <v>1</v>
      </c>
      <c r="E6">
        <v>1</v>
      </c>
      <c r="F6" t="s">
        <v>54</v>
      </c>
      <c r="J6" t="s">
        <v>56</v>
      </c>
      <c r="K6">
        <v>1</v>
      </c>
      <c r="M6">
        <v>1</v>
      </c>
      <c r="N6" t="s">
        <v>68</v>
      </c>
      <c r="O6" t="s">
        <v>69</v>
      </c>
      <c r="R6" t="s">
        <v>48</v>
      </c>
      <c r="S6">
        <v>1</v>
      </c>
      <c r="U6">
        <v>1</v>
      </c>
      <c r="V6" t="s">
        <v>49</v>
      </c>
      <c r="Z6" t="s">
        <v>38</v>
      </c>
      <c r="AA6">
        <v>1</v>
      </c>
      <c r="AB6">
        <v>1</v>
      </c>
      <c r="AC6">
        <v>2</v>
      </c>
      <c r="AD6" t="s">
        <v>67</v>
      </c>
      <c r="AE6" t="s">
        <v>40</v>
      </c>
      <c r="AH6">
        <v>5</v>
      </c>
      <c r="AI6">
        <v>30</v>
      </c>
      <c r="AJ6">
        <v>30</v>
      </c>
      <c r="AK6">
        <v>2</v>
      </c>
    </row>
    <row r="7" spans="1:37" x14ac:dyDescent="0.25">
      <c r="A7" t="s">
        <v>97</v>
      </c>
      <c r="B7" t="s">
        <v>33</v>
      </c>
      <c r="C7">
        <v>1</v>
      </c>
      <c r="E7">
        <v>1</v>
      </c>
      <c r="F7" t="s">
        <v>46</v>
      </c>
      <c r="G7" t="s">
        <v>35</v>
      </c>
      <c r="J7" t="s">
        <v>43</v>
      </c>
      <c r="K7">
        <v>1</v>
      </c>
      <c r="M7">
        <v>1</v>
      </c>
      <c r="N7" t="s">
        <v>73</v>
      </c>
      <c r="O7" t="s">
        <v>74</v>
      </c>
      <c r="P7" t="s">
        <v>75</v>
      </c>
      <c r="R7" t="s">
        <v>53</v>
      </c>
      <c r="S7">
        <v>1</v>
      </c>
      <c r="T7">
        <v>1</v>
      </c>
      <c r="U7">
        <v>1</v>
      </c>
      <c r="V7" t="s">
        <v>54</v>
      </c>
      <c r="W7" t="s">
        <v>84</v>
      </c>
      <c r="Z7" t="s">
        <v>56</v>
      </c>
      <c r="AA7">
        <v>1</v>
      </c>
      <c r="AC7">
        <v>1</v>
      </c>
      <c r="AD7" t="s">
        <v>68</v>
      </c>
      <c r="AE7" t="s">
        <v>69</v>
      </c>
      <c r="AH7">
        <v>5</v>
      </c>
      <c r="AI7">
        <v>30</v>
      </c>
      <c r="AJ7">
        <v>30</v>
      </c>
      <c r="AK7">
        <v>2</v>
      </c>
    </row>
    <row r="8" spans="1:37" x14ac:dyDescent="0.25">
      <c r="A8" t="s">
        <v>98</v>
      </c>
      <c r="B8" t="s">
        <v>33</v>
      </c>
      <c r="C8">
        <v>1</v>
      </c>
      <c r="E8">
        <v>1</v>
      </c>
      <c r="F8" t="s">
        <v>65</v>
      </c>
      <c r="G8" t="s">
        <v>35</v>
      </c>
      <c r="H8" t="s">
        <v>36</v>
      </c>
      <c r="J8" t="s">
        <v>45</v>
      </c>
      <c r="K8">
        <v>1</v>
      </c>
      <c r="M8">
        <v>1</v>
      </c>
      <c r="N8" t="s">
        <v>47</v>
      </c>
      <c r="O8" t="s">
        <v>99</v>
      </c>
      <c r="P8" t="s">
        <v>100</v>
      </c>
      <c r="Q8" t="s">
        <v>101</v>
      </c>
      <c r="R8" t="s">
        <v>53</v>
      </c>
      <c r="S8">
        <v>1</v>
      </c>
      <c r="T8">
        <v>1</v>
      </c>
      <c r="U8">
        <v>1</v>
      </c>
      <c r="V8" t="s">
        <v>54</v>
      </c>
      <c r="W8" t="s">
        <v>84</v>
      </c>
      <c r="Z8" t="s">
        <v>56</v>
      </c>
      <c r="AA8">
        <v>1</v>
      </c>
      <c r="AC8">
        <v>2</v>
      </c>
      <c r="AD8" t="s">
        <v>68</v>
      </c>
      <c r="AE8" t="s">
        <v>69</v>
      </c>
      <c r="AH8">
        <v>8</v>
      </c>
      <c r="AI8">
        <v>35</v>
      </c>
      <c r="AJ8">
        <v>30</v>
      </c>
      <c r="AK8">
        <v>2</v>
      </c>
    </row>
    <row r="9" spans="1:37" x14ac:dyDescent="0.25">
      <c r="A9" t="s">
        <v>102</v>
      </c>
      <c r="B9" t="s">
        <v>53</v>
      </c>
      <c r="C9">
        <v>2</v>
      </c>
      <c r="D9">
        <v>1</v>
      </c>
      <c r="E9">
        <v>1</v>
      </c>
      <c r="F9" t="s">
        <v>54</v>
      </c>
      <c r="J9" t="s">
        <v>56</v>
      </c>
      <c r="K9">
        <v>1</v>
      </c>
      <c r="M9">
        <v>1</v>
      </c>
      <c r="N9" t="s">
        <v>68</v>
      </c>
      <c r="R9" t="s">
        <v>33</v>
      </c>
      <c r="S9">
        <v>1</v>
      </c>
      <c r="U9">
        <v>1</v>
      </c>
      <c r="V9" t="s">
        <v>65</v>
      </c>
      <c r="W9" t="s">
        <v>35</v>
      </c>
      <c r="Z9" t="s">
        <v>63</v>
      </c>
      <c r="AA9">
        <v>1</v>
      </c>
      <c r="AC9">
        <v>1</v>
      </c>
      <c r="AD9" t="s">
        <v>72</v>
      </c>
      <c r="AE9" t="s">
        <v>103</v>
      </c>
      <c r="AH9">
        <v>3</v>
      </c>
      <c r="AI9">
        <v>28</v>
      </c>
      <c r="AJ9">
        <v>30</v>
      </c>
      <c r="AK9">
        <v>2</v>
      </c>
    </row>
    <row r="10" spans="1:37" x14ac:dyDescent="0.25">
      <c r="A10" t="s">
        <v>104</v>
      </c>
      <c r="B10" t="s">
        <v>53</v>
      </c>
      <c r="C10">
        <v>2</v>
      </c>
      <c r="D10">
        <v>1</v>
      </c>
      <c r="E10">
        <v>1</v>
      </c>
      <c r="F10" t="s">
        <v>54</v>
      </c>
      <c r="G10" t="s">
        <v>84</v>
      </c>
      <c r="J10" t="s">
        <v>56</v>
      </c>
      <c r="K10">
        <v>1</v>
      </c>
      <c r="M10">
        <v>2</v>
      </c>
      <c r="N10" t="s">
        <v>68</v>
      </c>
      <c r="R10" t="s">
        <v>33</v>
      </c>
      <c r="S10">
        <v>1</v>
      </c>
      <c r="U10">
        <v>1</v>
      </c>
      <c r="V10" t="s">
        <v>46</v>
      </c>
      <c r="W10" t="s">
        <v>35</v>
      </c>
      <c r="Z10" t="s">
        <v>38</v>
      </c>
      <c r="AA10">
        <v>2</v>
      </c>
      <c r="AB10">
        <v>1</v>
      </c>
      <c r="AC10">
        <v>1</v>
      </c>
      <c r="AD10" t="s">
        <v>67</v>
      </c>
      <c r="AE10" t="s">
        <v>105</v>
      </c>
      <c r="AH10">
        <v>6</v>
      </c>
      <c r="AI10">
        <v>35</v>
      </c>
      <c r="AJ10">
        <v>30</v>
      </c>
      <c r="AK10">
        <v>2</v>
      </c>
    </row>
    <row r="11" spans="1:37" x14ac:dyDescent="0.25">
      <c r="A11" t="s">
        <v>106</v>
      </c>
      <c r="B11" t="s">
        <v>53</v>
      </c>
      <c r="C11">
        <v>2</v>
      </c>
      <c r="D11">
        <v>1</v>
      </c>
      <c r="E11">
        <v>2</v>
      </c>
      <c r="F11" t="s">
        <v>54</v>
      </c>
      <c r="J11" t="s">
        <v>56</v>
      </c>
      <c r="K11">
        <v>1</v>
      </c>
      <c r="M11">
        <v>2</v>
      </c>
      <c r="N11" t="s">
        <v>68</v>
      </c>
      <c r="R11" t="s">
        <v>43</v>
      </c>
      <c r="S11">
        <v>1</v>
      </c>
      <c r="U11">
        <v>1</v>
      </c>
      <c r="V11" t="s">
        <v>73</v>
      </c>
      <c r="W11" t="s">
        <v>74</v>
      </c>
      <c r="Z11" t="s">
        <v>45</v>
      </c>
      <c r="AA11">
        <v>1</v>
      </c>
      <c r="AC11">
        <v>1</v>
      </c>
      <c r="AD11" t="s">
        <v>47</v>
      </c>
      <c r="AE11" t="s">
        <v>76</v>
      </c>
      <c r="AH11">
        <v>5</v>
      </c>
      <c r="AI11">
        <v>29</v>
      </c>
      <c r="AJ11">
        <v>30</v>
      </c>
      <c r="AK11">
        <v>2</v>
      </c>
    </row>
    <row r="12" spans="1:37" x14ac:dyDescent="0.25">
      <c r="A12" t="s">
        <v>107</v>
      </c>
      <c r="B12" t="s">
        <v>53</v>
      </c>
      <c r="C12">
        <v>2</v>
      </c>
      <c r="D12">
        <v>2</v>
      </c>
      <c r="E12">
        <v>1</v>
      </c>
      <c r="F12" t="s">
        <v>54</v>
      </c>
      <c r="G12" t="s">
        <v>84</v>
      </c>
      <c r="H12" t="s">
        <v>108</v>
      </c>
      <c r="I12" t="s">
        <v>109</v>
      </c>
      <c r="J12" t="s">
        <v>56</v>
      </c>
      <c r="K12">
        <v>1</v>
      </c>
      <c r="M12">
        <v>1</v>
      </c>
      <c r="N12" t="s">
        <v>57</v>
      </c>
      <c r="R12" t="s">
        <v>43</v>
      </c>
      <c r="S12">
        <v>1</v>
      </c>
      <c r="U12">
        <v>3</v>
      </c>
      <c r="V12" t="s">
        <v>73</v>
      </c>
      <c r="W12" t="s">
        <v>110</v>
      </c>
      <c r="X12" t="s">
        <v>111</v>
      </c>
      <c r="Y12" t="s">
        <v>112</v>
      </c>
      <c r="Z12" t="s">
        <v>63</v>
      </c>
      <c r="AA12">
        <v>1</v>
      </c>
      <c r="AC12">
        <v>1</v>
      </c>
      <c r="AD12" t="s">
        <v>72</v>
      </c>
      <c r="AH12">
        <v>10</v>
      </c>
      <c r="AI12">
        <v>60</v>
      </c>
      <c r="AJ12">
        <v>30</v>
      </c>
      <c r="AK12">
        <v>2</v>
      </c>
    </row>
    <row r="13" spans="1:37" x14ac:dyDescent="0.25">
      <c r="A13" s="4" t="s">
        <v>113</v>
      </c>
      <c r="B13" t="s">
        <v>53</v>
      </c>
      <c r="C13">
        <v>3</v>
      </c>
      <c r="D13">
        <v>1</v>
      </c>
      <c r="E13">
        <v>1</v>
      </c>
      <c r="F13" t="s">
        <v>54</v>
      </c>
      <c r="G13" t="s">
        <v>84</v>
      </c>
      <c r="J13" t="s">
        <v>56</v>
      </c>
      <c r="K13">
        <v>1</v>
      </c>
      <c r="M13">
        <v>1</v>
      </c>
      <c r="N13" t="s">
        <v>68</v>
      </c>
      <c r="R13" t="s">
        <v>43</v>
      </c>
      <c r="S13">
        <v>1</v>
      </c>
      <c r="U13">
        <v>1</v>
      </c>
      <c r="V13" t="s">
        <v>73</v>
      </c>
      <c r="W13" t="s">
        <v>74</v>
      </c>
      <c r="Z13" t="s">
        <v>38</v>
      </c>
      <c r="AA13">
        <v>2</v>
      </c>
      <c r="AB13">
        <v>1</v>
      </c>
      <c r="AC13">
        <v>2</v>
      </c>
      <c r="AD13" t="s">
        <v>67</v>
      </c>
      <c r="AE13" t="s">
        <v>40</v>
      </c>
      <c r="AH13">
        <v>7</v>
      </c>
      <c r="AI13">
        <v>34</v>
      </c>
      <c r="AJ13">
        <v>30</v>
      </c>
      <c r="AK13">
        <v>2</v>
      </c>
    </row>
    <row r="14" spans="1:37" x14ac:dyDescent="0.25">
      <c r="A14" t="s">
        <v>114</v>
      </c>
      <c r="B14" t="s">
        <v>53</v>
      </c>
      <c r="C14">
        <v>3</v>
      </c>
      <c r="D14">
        <v>1</v>
      </c>
      <c r="E14">
        <v>1</v>
      </c>
      <c r="F14" t="s">
        <v>54</v>
      </c>
      <c r="G14" t="s">
        <v>84</v>
      </c>
      <c r="J14" t="s">
        <v>56</v>
      </c>
      <c r="K14">
        <v>1</v>
      </c>
      <c r="M14">
        <v>1</v>
      </c>
      <c r="N14" t="s">
        <v>68</v>
      </c>
      <c r="R14" t="s">
        <v>45</v>
      </c>
      <c r="S14">
        <v>1</v>
      </c>
      <c r="U14">
        <v>1</v>
      </c>
      <c r="V14" t="s">
        <v>47</v>
      </c>
      <c r="W14" t="s">
        <v>76</v>
      </c>
      <c r="X14" t="s">
        <v>115</v>
      </c>
      <c r="Z14" t="s">
        <v>63</v>
      </c>
      <c r="AA14">
        <v>1</v>
      </c>
      <c r="AC14">
        <v>1</v>
      </c>
      <c r="AD14" t="s">
        <v>72</v>
      </c>
      <c r="AH14">
        <v>5</v>
      </c>
      <c r="AI14">
        <v>29</v>
      </c>
      <c r="AJ14">
        <v>30</v>
      </c>
      <c r="AK14">
        <v>2</v>
      </c>
    </row>
    <row r="15" spans="1:37" x14ac:dyDescent="0.25">
      <c r="A15" t="s">
        <v>116</v>
      </c>
      <c r="B15" t="s">
        <v>53</v>
      </c>
      <c r="C15">
        <v>1</v>
      </c>
      <c r="D15">
        <v>1</v>
      </c>
      <c r="E15">
        <v>1</v>
      </c>
      <c r="F15" t="s">
        <v>54</v>
      </c>
      <c r="J15" t="s">
        <v>56</v>
      </c>
      <c r="K15">
        <v>1</v>
      </c>
      <c r="M15">
        <v>1</v>
      </c>
      <c r="N15" t="s">
        <v>68</v>
      </c>
      <c r="O15" t="s">
        <v>69</v>
      </c>
      <c r="P15" t="s">
        <v>91</v>
      </c>
      <c r="R15" t="s">
        <v>45</v>
      </c>
      <c r="S15">
        <v>1</v>
      </c>
      <c r="U15">
        <v>1</v>
      </c>
      <c r="V15" t="s">
        <v>89</v>
      </c>
      <c r="W15" t="s">
        <v>76</v>
      </c>
      <c r="Z15" t="s">
        <v>38</v>
      </c>
      <c r="AA15">
        <v>1</v>
      </c>
      <c r="AB15">
        <v>1</v>
      </c>
      <c r="AC15">
        <v>1</v>
      </c>
      <c r="AD15" t="s">
        <v>67</v>
      </c>
      <c r="AH15">
        <v>3</v>
      </c>
      <c r="AI15">
        <v>26</v>
      </c>
      <c r="AJ15">
        <v>30</v>
      </c>
      <c r="AK15">
        <v>2</v>
      </c>
    </row>
    <row r="16" spans="1:37" x14ac:dyDescent="0.25">
      <c r="A16" t="s">
        <v>117</v>
      </c>
      <c r="B16" t="s">
        <v>53</v>
      </c>
      <c r="C16">
        <v>2</v>
      </c>
      <c r="D16">
        <v>1</v>
      </c>
      <c r="E16">
        <v>1</v>
      </c>
      <c r="F16" t="s">
        <v>54</v>
      </c>
      <c r="G16" t="s">
        <v>55</v>
      </c>
      <c r="J16" t="s">
        <v>56</v>
      </c>
      <c r="K16">
        <v>1</v>
      </c>
      <c r="M16">
        <v>2</v>
      </c>
      <c r="N16" t="s">
        <v>68</v>
      </c>
      <c r="R16" t="s">
        <v>63</v>
      </c>
      <c r="S16">
        <v>1</v>
      </c>
      <c r="U16">
        <v>2</v>
      </c>
      <c r="V16" t="s">
        <v>118</v>
      </c>
      <c r="W16" t="s">
        <v>95</v>
      </c>
      <c r="X16" t="s">
        <v>119</v>
      </c>
      <c r="Z16" t="s">
        <v>38</v>
      </c>
      <c r="AA16">
        <v>1</v>
      </c>
      <c r="AB16">
        <v>3</v>
      </c>
      <c r="AC16">
        <v>1</v>
      </c>
      <c r="AD16" t="s">
        <v>67</v>
      </c>
      <c r="AE16" t="s">
        <v>40</v>
      </c>
      <c r="AH16">
        <v>9</v>
      </c>
      <c r="AI16">
        <v>43</v>
      </c>
      <c r="AJ16">
        <v>30</v>
      </c>
      <c r="AK16">
        <v>2</v>
      </c>
    </row>
    <row r="17" spans="1:37" x14ac:dyDescent="0.25">
      <c r="A17" t="s">
        <v>120</v>
      </c>
      <c r="B17" t="s">
        <v>56</v>
      </c>
      <c r="C17">
        <v>1</v>
      </c>
      <c r="E17">
        <v>1</v>
      </c>
      <c r="F17" t="s">
        <v>68</v>
      </c>
      <c r="G17" t="s">
        <v>69</v>
      </c>
      <c r="H17" t="s">
        <v>91</v>
      </c>
      <c r="J17" t="s">
        <v>33</v>
      </c>
      <c r="K17">
        <v>1</v>
      </c>
      <c r="M17">
        <v>1</v>
      </c>
      <c r="N17" t="s">
        <v>65</v>
      </c>
      <c r="O17" t="s">
        <v>35</v>
      </c>
      <c r="P17" t="s">
        <v>36</v>
      </c>
      <c r="R17" t="s">
        <v>53</v>
      </c>
      <c r="S17">
        <v>1</v>
      </c>
      <c r="T17">
        <v>1</v>
      </c>
      <c r="U17">
        <v>2</v>
      </c>
      <c r="V17" t="s">
        <v>54</v>
      </c>
      <c r="Z17" t="s">
        <v>48</v>
      </c>
      <c r="AA17">
        <v>1</v>
      </c>
      <c r="AC17">
        <v>1</v>
      </c>
      <c r="AD17" t="s">
        <v>49</v>
      </c>
      <c r="AE17" t="s">
        <v>71</v>
      </c>
      <c r="AH17">
        <v>6</v>
      </c>
      <c r="AI17">
        <v>28</v>
      </c>
      <c r="AJ17">
        <v>30</v>
      </c>
      <c r="AK17">
        <v>2</v>
      </c>
    </row>
    <row r="18" spans="1:37" x14ac:dyDescent="0.25">
      <c r="A18" t="s">
        <v>121</v>
      </c>
      <c r="B18" t="s">
        <v>53</v>
      </c>
      <c r="C18">
        <v>3</v>
      </c>
      <c r="D18">
        <v>1</v>
      </c>
      <c r="E18">
        <v>1</v>
      </c>
      <c r="F18" t="s">
        <v>54</v>
      </c>
      <c r="G18" t="s">
        <v>84</v>
      </c>
      <c r="H18" t="s">
        <v>122</v>
      </c>
      <c r="I18" t="s">
        <v>109</v>
      </c>
      <c r="J18" t="s">
        <v>48</v>
      </c>
      <c r="K18">
        <v>1</v>
      </c>
      <c r="M18">
        <v>1</v>
      </c>
      <c r="N18" t="s">
        <v>49</v>
      </c>
      <c r="R18" t="s">
        <v>56</v>
      </c>
      <c r="S18">
        <v>1</v>
      </c>
      <c r="U18">
        <v>2</v>
      </c>
      <c r="V18" t="s">
        <v>68</v>
      </c>
      <c r="Z18" t="s">
        <v>43</v>
      </c>
      <c r="AA18">
        <v>1</v>
      </c>
      <c r="AC18">
        <v>1</v>
      </c>
      <c r="AD18" t="s">
        <v>73</v>
      </c>
      <c r="AE18" t="s">
        <v>74</v>
      </c>
      <c r="AH18">
        <v>7</v>
      </c>
      <c r="AI18">
        <v>47</v>
      </c>
      <c r="AJ18">
        <v>30</v>
      </c>
      <c r="AK18">
        <v>2</v>
      </c>
    </row>
    <row r="19" spans="1:37" x14ac:dyDescent="0.25">
      <c r="A19" t="s">
        <v>129</v>
      </c>
      <c r="B19" t="s">
        <v>53</v>
      </c>
      <c r="C19">
        <v>2</v>
      </c>
      <c r="D19">
        <v>1</v>
      </c>
      <c r="E19">
        <v>1</v>
      </c>
      <c r="F19" t="s">
        <v>54</v>
      </c>
      <c r="G19" t="s">
        <v>84</v>
      </c>
      <c r="J19" t="s">
        <v>48</v>
      </c>
      <c r="K19">
        <v>1</v>
      </c>
      <c r="M19">
        <v>1</v>
      </c>
      <c r="N19" t="s">
        <v>49</v>
      </c>
      <c r="O19" t="s">
        <v>71</v>
      </c>
      <c r="R19" t="s">
        <v>56</v>
      </c>
      <c r="S19">
        <v>1</v>
      </c>
      <c r="U19">
        <v>1</v>
      </c>
      <c r="V19" t="s">
        <v>68</v>
      </c>
      <c r="Z19" t="s">
        <v>45</v>
      </c>
      <c r="AA19">
        <v>1</v>
      </c>
      <c r="AC19">
        <v>1</v>
      </c>
      <c r="AD19" t="s">
        <v>47</v>
      </c>
      <c r="AH19">
        <v>3</v>
      </c>
      <c r="AI19">
        <v>25</v>
      </c>
      <c r="AJ19">
        <v>30</v>
      </c>
      <c r="AK19">
        <v>2</v>
      </c>
    </row>
    <row r="20" spans="1:37" x14ac:dyDescent="0.25">
      <c r="A20" t="s">
        <v>178</v>
      </c>
      <c r="B20" t="s">
        <v>53</v>
      </c>
      <c r="C20">
        <v>2</v>
      </c>
      <c r="D20">
        <v>1</v>
      </c>
      <c r="E20">
        <v>1</v>
      </c>
      <c r="F20" t="s">
        <v>54</v>
      </c>
      <c r="G20" t="s">
        <v>55</v>
      </c>
      <c r="J20" t="s">
        <v>48</v>
      </c>
      <c r="K20">
        <v>1</v>
      </c>
      <c r="M20">
        <v>1</v>
      </c>
      <c r="N20" t="s">
        <v>49</v>
      </c>
      <c r="O20" t="s">
        <v>50</v>
      </c>
      <c r="P20" t="s">
        <v>51</v>
      </c>
      <c r="R20" t="s">
        <v>56</v>
      </c>
      <c r="S20">
        <v>1</v>
      </c>
      <c r="U20">
        <v>1</v>
      </c>
      <c r="V20" t="s">
        <v>68</v>
      </c>
      <c r="W20" t="s">
        <v>69</v>
      </c>
      <c r="Z20" t="s">
        <v>63</v>
      </c>
      <c r="AA20">
        <v>1</v>
      </c>
      <c r="AC20">
        <v>1</v>
      </c>
      <c r="AD20" t="s">
        <v>72</v>
      </c>
      <c r="AH20">
        <v>5</v>
      </c>
      <c r="AI20">
        <v>34</v>
      </c>
      <c r="AJ20">
        <v>30</v>
      </c>
      <c r="AK20">
        <v>2</v>
      </c>
    </row>
    <row r="21" spans="1:37" x14ac:dyDescent="0.25">
      <c r="A21" t="s">
        <v>179</v>
      </c>
      <c r="B21" t="s">
        <v>56</v>
      </c>
      <c r="C21">
        <v>1</v>
      </c>
      <c r="E21">
        <v>1</v>
      </c>
      <c r="F21" t="s">
        <v>141</v>
      </c>
      <c r="G21" t="s">
        <v>69</v>
      </c>
      <c r="J21" t="s">
        <v>38</v>
      </c>
      <c r="K21">
        <v>3</v>
      </c>
      <c r="L21">
        <v>1</v>
      </c>
      <c r="M21">
        <v>1</v>
      </c>
      <c r="N21" t="s">
        <v>173</v>
      </c>
      <c r="R21" t="s">
        <v>53</v>
      </c>
      <c r="S21">
        <v>2</v>
      </c>
      <c r="T21">
        <v>1</v>
      </c>
      <c r="U21">
        <v>1</v>
      </c>
      <c r="V21" t="s">
        <v>54</v>
      </c>
      <c r="Z21" t="s">
        <v>48</v>
      </c>
      <c r="AA21">
        <v>1</v>
      </c>
      <c r="AC21">
        <v>1</v>
      </c>
      <c r="AD21" t="s">
        <v>49</v>
      </c>
      <c r="AE21" t="s">
        <v>50</v>
      </c>
      <c r="AH21">
        <v>5</v>
      </c>
      <c r="AI21">
        <v>30</v>
      </c>
      <c r="AJ21">
        <v>30</v>
      </c>
      <c r="AK21">
        <v>2</v>
      </c>
    </row>
    <row r="22" spans="1:37" x14ac:dyDescent="0.25">
      <c r="A22" t="s">
        <v>180</v>
      </c>
      <c r="B22" t="s">
        <v>33</v>
      </c>
      <c r="C22">
        <v>1</v>
      </c>
      <c r="E22">
        <v>1</v>
      </c>
      <c r="F22" t="s">
        <v>46</v>
      </c>
      <c r="G22" t="s">
        <v>35</v>
      </c>
      <c r="J22" t="s">
        <v>43</v>
      </c>
      <c r="K22">
        <v>1</v>
      </c>
      <c r="M22">
        <v>1</v>
      </c>
      <c r="N22" t="s">
        <v>73</v>
      </c>
      <c r="O22" t="s">
        <v>74</v>
      </c>
      <c r="R22" t="s">
        <v>53</v>
      </c>
      <c r="S22">
        <v>1</v>
      </c>
      <c r="T22">
        <v>1</v>
      </c>
      <c r="U22">
        <v>2</v>
      </c>
      <c r="V22" t="s">
        <v>54</v>
      </c>
      <c r="Z22" t="s">
        <v>48</v>
      </c>
      <c r="AA22">
        <v>1</v>
      </c>
      <c r="AC22">
        <v>1</v>
      </c>
      <c r="AD22" t="s">
        <v>49</v>
      </c>
      <c r="AE22" t="s">
        <v>85</v>
      </c>
      <c r="AH22">
        <v>4</v>
      </c>
      <c r="AI22">
        <v>25</v>
      </c>
      <c r="AJ22">
        <v>30</v>
      </c>
      <c r="AK22">
        <v>2</v>
      </c>
    </row>
    <row r="23" spans="1:37" x14ac:dyDescent="0.25">
      <c r="A23" t="s">
        <v>181</v>
      </c>
      <c r="B23" t="s">
        <v>33</v>
      </c>
      <c r="C23">
        <v>1</v>
      </c>
      <c r="E23">
        <v>1</v>
      </c>
      <c r="F23" t="s">
        <v>46</v>
      </c>
      <c r="G23" t="s">
        <v>35</v>
      </c>
      <c r="J23" t="s">
        <v>45</v>
      </c>
      <c r="K23">
        <v>1</v>
      </c>
      <c r="M23">
        <v>1</v>
      </c>
      <c r="N23" t="s">
        <v>89</v>
      </c>
      <c r="O23" t="s">
        <v>76</v>
      </c>
      <c r="P23" t="s">
        <v>100</v>
      </c>
      <c r="R23" t="s">
        <v>53</v>
      </c>
      <c r="S23">
        <v>1</v>
      </c>
      <c r="T23">
        <v>1</v>
      </c>
      <c r="U23">
        <v>1</v>
      </c>
      <c r="V23" t="s">
        <v>54</v>
      </c>
      <c r="Z23" t="s">
        <v>48</v>
      </c>
      <c r="AA23">
        <v>1</v>
      </c>
      <c r="AC23">
        <v>1</v>
      </c>
      <c r="AD23" t="s">
        <v>93</v>
      </c>
      <c r="AE23" t="s">
        <v>71</v>
      </c>
      <c r="AH23">
        <v>4</v>
      </c>
      <c r="AI23">
        <v>28</v>
      </c>
      <c r="AJ23">
        <v>30</v>
      </c>
      <c r="AK23">
        <v>2</v>
      </c>
    </row>
    <row r="24" spans="1:37" x14ac:dyDescent="0.25">
      <c r="A24" t="s">
        <v>200</v>
      </c>
      <c r="B24" t="s">
        <v>53</v>
      </c>
      <c r="C24">
        <v>2</v>
      </c>
      <c r="D24">
        <v>1</v>
      </c>
      <c r="E24">
        <v>1</v>
      </c>
      <c r="F24" t="s">
        <v>54</v>
      </c>
      <c r="G24" t="s">
        <v>84</v>
      </c>
      <c r="J24" t="s">
        <v>48</v>
      </c>
      <c r="K24">
        <v>1</v>
      </c>
      <c r="M24">
        <v>1</v>
      </c>
      <c r="N24" t="s">
        <v>49</v>
      </c>
      <c r="O24" t="s">
        <v>71</v>
      </c>
      <c r="P24" t="s">
        <v>148</v>
      </c>
      <c r="R24" t="s">
        <v>33</v>
      </c>
      <c r="S24">
        <v>1</v>
      </c>
      <c r="U24">
        <v>1</v>
      </c>
      <c r="V24" t="s">
        <v>65</v>
      </c>
      <c r="Z24" t="s">
        <v>63</v>
      </c>
      <c r="AA24">
        <v>1</v>
      </c>
      <c r="AC24">
        <v>1</v>
      </c>
      <c r="AD24" t="s">
        <v>72</v>
      </c>
      <c r="AH24">
        <v>4</v>
      </c>
      <c r="AI24">
        <v>25</v>
      </c>
      <c r="AJ24">
        <v>30</v>
      </c>
      <c r="AK24">
        <v>2</v>
      </c>
    </row>
    <row r="25" spans="1:37" x14ac:dyDescent="0.25">
      <c r="A25" t="s">
        <v>201</v>
      </c>
      <c r="B25" t="s">
        <v>33</v>
      </c>
      <c r="C25">
        <v>1</v>
      </c>
      <c r="E25">
        <v>1</v>
      </c>
      <c r="F25" t="s">
        <v>46</v>
      </c>
      <c r="G25" t="s">
        <v>35</v>
      </c>
      <c r="J25" t="s">
        <v>38</v>
      </c>
      <c r="K25">
        <v>3</v>
      </c>
      <c r="L25">
        <v>1</v>
      </c>
      <c r="M25">
        <v>1</v>
      </c>
      <c r="N25" t="s">
        <v>173</v>
      </c>
      <c r="O25" t="s">
        <v>40</v>
      </c>
      <c r="R25" t="s">
        <v>53</v>
      </c>
      <c r="S25">
        <v>2</v>
      </c>
      <c r="T25">
        <v>1</v>
      </c>
      <c r="U25">
        <v>1</v>
      </c>
      <c r="V25" t="s">
        <v>54</v>
      </c>
      <c r="W25" t="s">
        <v>84</v>
      </c>
      <c r="Z25" t="s">
        <v>48</v>
      </c>
      <c r="AA25">
        <v>1</v>
      </c>
      <c r="AC25">
        <v>2</v>
      </c>
      <c r="AD25" t="s">
        <v>49</v>
      </c>
      <c r="AH25">
        <v>7</v>
      </c>
      <c r="AI25">
        <v>23</v>
      </c>
      <c r="AJ25">
        <v>30</v>
      </c>
      <c r="AK25">
        <v>2</v>
      </c>
    </row>
    <row r="26" spans="1:37" x14ac:dyDescent="0.25">
      <c r="A26" t="s">
        <v>202</v>
      </c>
      <c r="B26" t="s">
        <v>53</v>
      </c>
      <c r="C26">
        <v>2</v>
      </c>
      <c r="D26">
        <v>2</v>
      </c>
      <c r="E26">
        <v>1</v>
      </c>
      <c r="F26" t="s">
        <v>54</v>
      </c>
      <c r="J26" t="s">
        <v>48</v>
      </c>
      <c r="K26">
        <v>1</v>
      </c>
      <c r="M26">
        <v>1</v>
      </c>
      <c r="N26" t="s">
        <v>49</v>
      </c>
      <c r="O26" t="s">
        <v>71</v>
      </c>
      <c r="P26" t="s">
        <v>51</v>
      </c>
      <c r="R26" t="s">
        <v>43</v>
      </c>
      <c r="S26">
        <v>1</v>
      </c>
      <c r="U26">
        <v>1</v>
      </c>
      <c r="V26" t="s">
        <v>73</v>
      </c>
      <c r="W26" t="s">
        <v>74</v>
      </c>
      <c r="X26" t="s">
        <v>158</v>
      </c>
      <c r="Y26" t="s">
        <v>112</v>
      </c>
      <c r="Z26" t="s">
        <v>45</v>
      </c>
      <c r="AA26">
        <v>1</v>
      </c>
      <c r="AC26">
        <v>1</v>
      </c>
      <c r="AD26" t="s">
        <v>47</v>
      </c>
      <c r="AH26">
        <v>7</v>
      </c>
      <c r="AI26">
        <v>24</v>
      </c>
      <c r="AJ26">
        <v>30</v>
      </c>
      <c r="AK26">
        <v>2</v>
      </c>
    </row>
    <row r="27" spans="1:37" x14ac:dyDescent="0.25">
      <c r="A27" t="s">
        <v>203</v>
      </c>
      <c r="B27" t="s">
        <v>53</v>
      </c>
      <c r="C27">
        <v>2</v>
      </c>
      <c r="D27">
        <v>1</v>
      </c>
      <c r="E27">
        <v>1</v>
      </c>
      <c r="F27" t="s">
        <v>54</v>
      </c>
      <c r="G27" t="s">
        <v>84</v>
      </c>
      <c r="J27" t="s">
        <v>48</v>
      </c>
      <c r="K27">
        <v>1</v>
      </c>
      <c r="M27">
        <v>1</v>
      </c>
      <c r="N27" t="s">
        <v>49</v>
      </c>
      <c r="O27" t="s">
        <v>71</v>
      </c>
      <c r="R27" t="s">
        <v>43</v>
      </c>
      <c r="S27">
        <v>1</v>
      </c>
      <c r="U27">
        <v>2</v>
      </c>
      <c r="V27" t="s">
        <v>73</v>
      </c>
      <c r="W27" t="s">
        <v>74</v>
      </c>
      <c r="Z27" t="s">
        <v>63</v>
      </c>
      <c r="AA27">
        <v>1</v>
      </c>
      <c r="AC27">
        <v>1</v>
      </c>
      <c r="AD27" t="s">
        <v>72</v>
      </c>
      <c r="AH27">
        <v>5</v>
      </c>
      <c r="AI27">
        <v>32</v>
      </c>
      <c r="AJ27">
        <v>30</v>
      </c>
      <c r="AK27">
        <v>2</v>
      </c>
    </row>
    <row r="28" spans="1:37" x14ac:dyDescent="0.25">
      <c r="A28" t="s">
        <v>204</v>
      </c>
      <c r="B28" t="s">
        <v>53</v>
      </c>
      <c r="C28">
        <v>3</v>
      </c>
      <c r="D28">
        <v>1</v>
      </c>
      <c r="E28">
        <v>1</v>
      </c>
      <c r="F28" t="s">
        <v>54</v>
      </c>
      <c r="G28" t="s">
        <v>55</v>
      </c>
      <c r="J28" t="s">
        <v>48</v>
      </c>
      <c r="K28">
        <v>1</v>
      </c>
      <c r="M28">
        <v>1</v>
      </c>
      <c r="N28" t="s">
        <v>49</v>
      </c>
      <c r="O28" t="s">
        <v>71</v>
      </c>
      <c r="R28" t="s">
        <v>43</v>
      </c>
      <c r="S28">
        <v>1</v>
      </c>
      <c r="U28">
        <v>1</v>
      </c>
      <c r="V28" t="s">
        <v>73</v>
      </c>
      <c r="Z28" t="s">
        <v>38</v>
      </c>
      <c r="AA28">
        <v>1</v>
      </c>
      <c r="AB28">
        <v>1</v>
      </c>
      <c r="AC28">
        <v>1</v>
      </c>
      <c r="AD28" t="s">
        <v>67</v>
      </c>
      <c r="AE28" t="s">
        <v>40</v>
      </c>
      <c r="AH28">
        <v>5</v>
      </c>
      <c r="AI28">
        <v>39</v>
      </c>
      <c r="AJ28">
        <v>30</v>
      </c>
      <c r="AK28">
        <v>2</v>
      </c>
    </row>
    <row r="29" spans="1:37" x14ac:dyDescent="0.25">
      <c r="A29" t="s">
        <v>205</v>
      </c>
      <c r="B29" t="s">
        <v>53</v>
      </c>
      <c r="C29">
        <v>3</v>
      </c>
      <c r="D29">
        <v>1</v>
      </c>
      <c r="E29">
        <v>2</v>
      </c>
      <c r="F29" t="s">
        <v>54</v>
      </c>
      <c r="J29" t="s">
        <v>48</v>
      </c>
      <c r="K29">
        <v>1</v>
      </c>
      <c r="M29">
        <v>1</v>
      </c>
      <c r="N29" t="s">
        <v>49</v>
      </c>
      <c r="O29" t="s">
        <v>50</v>
      </c>
      <c r="R29" t="s">
        <v>45</v>
      </c>
      <c r="S29">
        <v>1</v>
      </c>
      <c r="U29">
        <v>3</v>
      </c>
      <c r="V29" t="s">
        <v>89</v>
      </c>
      <c r="W29" t="s">
        <v>162</v>
      </c>
      <c r="X29" t="s">
        <v>100</v>
      </c>
      <c r="Y29" t="s">
        <v>101</v>
      </c>
      <c r="Z29" t="s">
        <v>63</v>
      </c>
      <c r="AA29">
        <v>1</v>
      </c>
      <c r="AC29">
        <v>1</v>
      </c>
      <c r="AD29" t="s">
        <v>72</v>
      </c>
      <c r="AH29">
        <v>9</v>
      </c>
      <c r="AI29">
        <v>37</v>
      </c>
      <c r="AJ29">
        <v>30</v>
      </c>
      <c r="AK29">
        <v>2</v>
      </c>
    </row>
    <row r="30" spans="1:37" x14ac:dyDescent="0.25">
      <c r="A30" t="s">
        <v>206</v>
      </c>
      <c r="B30" t="s">
        <v>53</v>
      </c>
      <c r="C30">
        <v>1</v>
      </c>
      <c r="D30">
        <v>1</v>
      </c>
      <c r="E30">
        <v>1</v>
      </c>
      <c r="F30" t="s">
        <v>54</v>
      </c>
      <c r="G30" t="s">
        <v>84</v>
      </c>
      <c r="J30" t="s">
        <v>48</v>
      </c>
      <c r="K30">
        <v>1</v>
      </c>
      <c r="M30">
        <v>1</v>
      </c>
      <c r="N30" t="s">
        <v>49</v>
      </c>
      <c r="O30" t="s">
        <v>71</v>
      </c>
      <c r="P30" t="s">
        <v>148</v>
      </c>
      <c r="R30" t="s">
        <v>45</v>
      </c>
      <c r="S30">
        <v>1</v>
      </c>
      <c r="U30">
        <v>1</v>
      </c>
      <c r="V30" t="s">
        <v>47</v>
      </c>
      <c r="W30" t="s">
        <v>76</v>
      </c>
      <c r="Z30" t="s">
        <v>38</v>
      </c>
      <c r="AA30">
        <v>1</v>
      </c>
      <c r="AB30">
        <v>1</v>
      </c>
      <c r="AC30">
        <v>1</v>
      </c>
      <c r="AD30" t="s">
        <v>67</v>
      </c>
      <c r="AH30">
        <v>4</v>
      </c>
      <c r="AI30">
        <v>34</v>
      </c>
      <c r="AJ30">
        <v>30</v>
      </c>
      <c r="AK30">
        <v>2</v>
      </c>
    </row>
    <row r="31" spans="1:37" x14ac:dyDescent="0.25">
      <c r="A31" t="s">
        <v>207</v>
      </c>
      <c r="B31" t="s">
        <v>53</v>
      </c>
      <c r="C31">
        <v>3</v>
      </c>
      <c r="D31">
        <v>1</v>
      </c>
      <c r="E31">
        <v>2</v>
      </c>
      <c r="F31" t="s">
        <v>54</v>
      </c>
      <c r="J31" t="s">
        <v>48</v>
      </c>
      <c r="K31">
        <v>1</v>
      </c>
      <c r="M31">
        <v>1</v>
      </c>
      <c r="N31" t="s">
        <v>49</v>
      </c>
      <c r="O31" t="s">
        <v>71</v>
      </c>
      <c r="P31" t="s">
        <v>51</v>
      </c>
      <c r="R31" t="s">
        <v>63</v>
      </c>
      <c r="S31">
        <v>1</v>
      </c>
      <c r="U31">
        <v>1</v>
      </c>
      <c r="V31" t="s">
        <v>72</v>
      </c>
      <c r="Z31" t="s">
        <v>38</v>
      </c>
      <c r="AA31">
        <v>1</v>
      </c>
      <c r="AB31">
        <v>1</v>
      </c>
      <c r="AC31">
        <v>1</v>
      </c>
      <c r="AD31" t="s">
        <v>67</v>
      </c>
      <c r="AH31">
        <v>5</v>
      </c>
      <c r="AI31">
        <v>33</v>
      </c>
      <c r="AJ31">
        <v>30</v>
      </c>
      <c r="AK31">
        <v>2</v>
      </c>
    </row>
    <row r="32" spans="1:37" x14ac:dyDescent="0.25">
      <c r="A32" t="s">
        <v>208</v>
      </c>
      <c r="B32" t="s">
        <v>53</v>
      </c>
      <c r="C32">
        <v>2</v>
      </c>
      <c r="D32">
        <v>1</v>
      </c>
      <c r="E32">
        <v>1</v>
      </c>
      <c r="F32" t="s">
        <v>54</v>
      </c>
      <c r="G32" t="s">
        <v>84</v>
      </c>
      <c r="J32" t="s">
        <v>33</v>
      </c>
      <c r="K32">
        <v>1</v>
      </c>
      <c r="M32">
        <v>1</v>
      </c>
      <c r="N32" t="s">
        <v>46</v>
      </c>
      <c r="R32" t="s">
        <v>56</v>
      </c>
      <c r="S32">
        <v>1</v>
      </c>
      <c r="U32">
        <v>1</v>
      </c>
      <c r="V32" t="s">
        <v>68</v>
      </c>
      <c r="W32" t="s">
        <v>69</v>
      </c>
      <c r="Z32" t="s">
        <v>48</v>
      </c>
      <c r="AA32">
        <v>1</v>
      </c>
      <c r="AC32">
        <v>1</v>
      </c>
      <c r="AD32" t="s">
        <v>49</v>
      </c>
      <c r="AH32">
        <v>3</v>
      </c>
      <c r="AI32">
        <v>33</v>
      </c>
      <c r="AJ32">
        <v>30</v>
      </c>
      <c r="AK32">
        <v>2</v>
      </c>
    </row>
    <row r="33" spans="1:37" x14ac:dyDescent="0.25">
      <c r="A33" t="s">
        <v>209</v>
      </c>
      <c r="B33" t="s">
        <v>53</v>
      </c>
      <c r="C33">
        <v>3</v>
      </c>
      <c r="D33">
        <v>1</v>
      </c>
      <c r="E33">
        <v>1</v>
      </c>
      <c r="F33" t="s">
        <v>54</v>
      </c>
      <c r="G33" t="s">
        <v>55</v>
      </c>
      <c r="J33" t="s">
        <v>33</v>
      </c>
      <c r="K33">
        <v>1</v>
      </c>
      <c r="M33">
        <v>2</v>
      </c>
      <c r="N33" t="s">
        <v>46</v>
      </c>
      <c r="O33" t="s">
        <v>35</v>
      </c>
      <c r="R33" t="s">
        <v>56</v>
      </c>
      <c r="S33">
        <v>1</v>
      </c>
      <c r="U33">
        <v>3</v>
      </c>
      <c r="V33" t="s">
        <v>68</v>
      </c>
      <c r="Z33" t="s">
        <v>43</v>
      </c>
      <c r="AA33">
        <v>1</v>
      </c>
      <c r="AC33">
        <v>1</v>
      </c>
      <c r="AD33" t="s">
        <v>73</v>
      </c>
      <c r="AE33" t="s">
        <v>74</v>
      </c>
      <c r="AF33" t="s">
        <v>111</v>
      </c>
      <c r="AH33">
        <v>9</v>
      </c>
      <c r="AI33">
        <v>27</v>
      </c>
      <c r="AJ33">
        <v>30</v>
      </c>
      <c r="AK33">
        <v>2</v>
      </c>
    </row>
    <row r="34" spans="1:37" x14ac:dyDescent="0.25">
      <c r="A34" t="s">
        <v>210</v>
      </c>
      <c r="B34" t="s">
        <v>56</v>
      </c>
      <c r="C34">
        <v>1</v>
      </c>
      <c r="E34">
        <v>2</v>
      </c>
      <c r="F34" t="s">
        <v>68</v>
      </c>
      <c r="G34" t="s">
        <v>69</v>
      </c>
      <c r="H34" t="s">
        <v>91</v>
      </c>
      <c r="I34" t="s">
        <v>145</v>
      </c>
      <c r="J34" t="s">
        <v>45</v>
      </c>
      <c r="K34">
        <v>1</v>
      </c>
      <c r="M34">
        <v>1</v>
      </c>
      <c r="N34" t="s">
        <v>47</v>
      </c>
      <c r="O34" t="s">
        <v>162</v>
      </c>
      <c r="P34" t="s">
        <v>100</v>
      </c>
      <c r="Q34" t="s">
        <v>101</v>
      </c>
      <c r="R34" t="s">
        <v>53</v>
      </c>
      <c r="S34">
        <v>2</v>
      </c>
      <c r="T34">
        <v>1</v>
      </c>
      <c r="U34">
        <v>3</v>
      </c>
      <c r="V34" t="s">
        <v>54</v>
      </c>
      <c r="Z34" t="s">
        <v>33</v>
      </c>
      <c r="AA34">
        <v>1</v>
      </c>
      <c r="AC34">
        <v>1</v>
      </c>
      <c r="AD34" t="s">
        <v>46</v>
      </c>
      <c r="AH34">
        <v>10</v>
      </c>
      <c r="AI34">
        <v>42</v>
      </c>
      <c r="AJ34">
        <v>30</v>
      </c>
      <c r="AK34">
        <v>2</v>
      </c>
    </row>
    <row r="35" spans="1:37" x14ac:dyDescent="0.25">
      <c r="A35" t="s">
        <v>211</v>
      </c>
      <c r="B35" t="s">
        <v>53</v>
      </c>
      <c r="C35">
        <v>3</v>
      </c>
      <c r="D35">
        <v>1</v>
      </c>
      <c r="E35">
        <v>1</v>
      </c>
      <c r="F35" t="s">
        <v>54</v>
      </c>
      <c r="J35" t="s">
        <v>33</v>
      </c>
      <c r="K35">
        <v>1</v>
      </c>
      <c r="M35">
        <v>1</v>
      </c>
      <c r="N35" t="s">
        <v>46</v>
      </c>
      <c r="O35" t="s">
        <v>35</v>
      </c>
      <c r="P35" t="s">
        <v>36</v>
      </c>
      <c r="R35" t="s">
        <v>56</v>
      </c>
      <c r="S35">
        <v>1</v>
      </c>
      <c r="U35">
        <v>1</v>
      </c>
      <c r="V35" t="s">
        <v>68</v>
      </c>
      <c r="W35" t="s">
        <v>69</v>
      </c>
      <c r="Z35" t="s">
        <v>63</v>
      </c>
      <c r="AA35">
        <v>1</v>
      </c>
      <c r="AC35">
        <v>1</v>
      </c>
      <c r="AD35" t="s">
        <v>72</v>
      </c>
      <c r="AH35">
        <v>5</v>
      </c>
      <c r="AI35">
        <v>31</v>
      </c>
      <c r="AJ35">
        <v>30</v>
      </c>
      <c r="AK35">
        <v>2</v>
      </c>
    </row>
    <row r="36" spans="1:37" x14ac:dyDescent="0.25">
      <c r="A36" t="s">
        <v>212</v>
      </c>
      <c r="B36" t="s">
        <v>53</v>
      </c>
      <c r="C36">
        <v>3</v>
      </c>
      <c r="D36">
        <v>1</v>
      </c>
      <c r="E36">
        <v>2</v>
      </c>
      <c r="F36" t="s">
        <v>54</v>
      </c>
      <c r="G36" t="s">
        <v>55</v>
      </c>
      <c r="J36" t="s">
        <v>33</v>
      </c>
      <c r="K36">
        <v>1</v>
      </c>
      <c r="M36">
        <v>1</v>
      </c>
      <c r="N36" t="s">
        <v>65</v>
      </c>
      <c r="O36" t="s">
        <v>35</v>
      </c>
      <c r="P36" t="s">
        <v>36</v>
      </c>
      <c r="R36" t="s">
        <v>56</v>
      </c>
      <c r="S36">
        <v>1</v>
      </c>
      <c r="U36">
        <v>3</v>
      </c>
      <c r="V36" t="s">
        <v>68</v>
      </c>
      <c r="W36" t="s">
        <v>69</v>
      </c>
      <c r="X36" t="s">
        <v>144</v>
      </c>
      <c r="Y36" t="s">
        <v>146</v>
      </c>
      <c r="Z36" t="s">
        <v>38</v>
      </c>
      <c r="AA36">
        <v>1</v>
      </c>
      <c r="AB36">
        <v>1</v>
      </c>
      <c r="AC36">
        <v>1</v>
      </c>
      <c r="AD36" t="s">
        <v>67</v>
      </c>
      <c r="AE36" t="s">
        <v>40</v>
      </c>
      <c r="AH36">
        <v>12</v>
      </c>
      <c r="AI36">
        <v>52</v>
      </c>
      <c r="AJ36">
        <v>30</v>
      </c>
      <c r="AK36">
        <v>2</v>
      </c>
    </row>
    <row r="37" spans="1:37" x14ac:dyDescent="0.25">
      <c r="A37" t="s">
        <v>213</v>
      </c>
      <c r="B37" t="s">
        <v>53</v>
      </c>
      <c r="C37">
        <v>2</v>
      </c>
      <c r="D37">
        <v>1</v>
      </c>
      <c r="E37">
        <v>1</v>
      </c>
      <c r="F37" t="s">
        <v>54</v>
      </c>
      <c r="J37" t="s">
        <v>33</v>
      </c>
      <c r="K37">
        <v>1</v>
      </c>
      <c r="M37">
        <v>1</v>
      </c>
      <c r="N37" t="s">
        <v>46</v>
      </c>
      <c r="O37" t="s">
        <v>35</v>
      </c>
      <c r="R37" t="s">
        <v>48</v>
      </c>
      <c r="S37">
        <v>1</v>
      </c>
      <c r="U37">
        <v>1</v>
      </c>
      <c r="V37" t="s">
        <v>49</v>
      </c>
      <c r="Z37" t="s">
        <v>43</v>
      </c>
      <c r="AA37">
        <v>1</v>
      </c>
      <c r="AC37">
        <v>1</v>
      </c>
      <c r="AD37" t="s">
        <v>73</v>
      </c>
      <c r="AE37" t="s">
        <v>74</v>
      </c>
      <c r="AF37" t="s">
        <v>75</v>
      </c>
      <c r="AH37">
        <v>4</v>
      </c>
      <c r="AI37">
        <v>26</v>
      </c>
      <c r="AJ37">
        <v>30</v>
      </c>
      <c r="AK37">
        <v>2</v>
      </c>
    </row>
    <row r="38" spans="1:37" x14ac:dyDescent="0.25">
      <c r="A38" t="s">
        <v>214</v>
      </c>
      <c r="B38" t="s">
        <v>53</v>
      </c>
      <c r="C38">
        <v>2</v>
      </c>
      <c r="D38">
        <v>1</v>
      </c>
      <c r="E38">
        <v>1</v>
      </c>
      <c r="F38" t="s">
        <v>54</v>
      </c>
      <c r="J38" t="s">
        <v>33</v>
      </c>
      <c r="K38">
        <v>1</v>
      </c>
      <c r="M38">
        <v>1</v>
      </c>
      <c r="N38" t="s">
        <v>65</v>
      </c>
      <c r="R38" t="s">
        <v>48</v>
      </c>
      <c r="S38">
        <v>1</v>
      </c>
      <c r="U38">
        <v>1</v>
      </c>
      <c r="V38" t="s">
        <v>49</v>
      </c>
      <c r="W38" t="s">
        <v>71</v>
      </c>
      <c r="Z38" t="s">
        <v>45</v>
      </c>
      <c r="AA38">
        <v>1</v>
      </c>
      <c r="AC38">
        <v>1</v>
      </c>
      <c r="AD38" t="s">
        <v>47</v>
      </c>
      <c r="AH38">
        <v>2</v>
      </c>
      <c r="AI38">
        <v>39</v>
      </c>
      <c r="AJ38">
        <v>30</v>
      </c>
      <c r="AK38">
        <v>2</v>
      </c>
    </row>
    <row r="39" spans="1:37" x14ac:dyDescent="0.25">
      <c r="A39" t="s">
        <v>215</v>
      </c>
      <c r="B39" t="s">
        <v>48</v>
      </c>
      <c r="C39">
        <v>1</v>
      </c>
      <c r="E39">
        <v>1</v>
      </c>
      <c r="F39" t="s">
        <v>49</v>
      </c>
      <c r="G39" t="s">
        <v>71</v>
      </c>
      <c r="H39" t="s">
        <v>51</v>
      </c>
      <c r="I39" t="s">
        <v>52</v>
      </c>
      <c r="J39" t="s">
        <v>63</v>
      </c>
      <c r="K39">
        <v>1</v>
      </c>
      <c r="M39">
        <v>1</v>
      </c>
      <c r="N39" t="s">
        <v>72</v>
      </c>
      <c r="O39" t="s">
        <v>103</v>
      </c>
      <c r="R39" t="s">
        <v>53</v>
      </c>
      <c r="S39">
        <v>2</v>
      </c>
      <c r="T39">
        <v>1</v>
      </c>
      <c r="U39">
        <v>1</v>
      </c>
      <c r="V39" t="s">
        <v>54</v>
      </c>
      <c r="W39" t="s">
        <v>84</v>
      </c>
      <c r="Z39" t="s">
        <v>33</v>
      </c>
      <c r="AA39">
        <v>1</v>
      </c>
      <c r="AC39">
        <v>1</v>
      </c>
      <c r="AD39" t="s">
        <v>46</v>
      </c>
      <c r="AE39" t="s">
        <v>66</v>
      </c>
      <c r="AH39">
        <v>7</v>
      </c>
      <c r="AI39">
        <v>29</v>
      </c>
      <c r="AJ39">
        <v>30</v>
      </c>
      <c r="AK39">
        <v>2</v>
      </c>
    </row>
    <row r="40" spans="1:37" x14ac:dyDescent="0.25">
      <c r="A40" t="s">
        <v>216</v>
      </c>
      <c r="B40" t="s">
        <v>53</v>
      </c>
      <c r="C40">
        <v>1</v>
      </c>
      <c r="D40">
        <v>1</v>
      </c>
      <c r="E40">
        <v>1</v>
      </c>
      <c r="F40" t="s">
        <v>54</v>
      </c>
      <c r="G40" t="s">
        <v>84</v>
      </c>
      <c r="H40" t="s">
        <v>122</v>
      </c>
      <c r="J40" t="s">
        <v>33</v>
      </c>
      <c r="K40">
        <v>1</v>
      </c>
      <c r="M40">
        <v>1</v>
      </c>
      <c r="N40" t="s">
        <v>65</v>
      </c>
      <c r="O40" t="s">
        <v>66</v>
      </c>
      <c r="P40" t="s">
        <v>36</v>
      </c>
      <c r="Q40" t="s">
        <v>37</v>
      </c>
      <c r="R40" t="s">
        <v>48</v>
      </c>
      <c r="S40">
        <v>1</v>
      </c>
      <c r="U40">
        <v>2</v>
      </c>
      <c r="V40" t="s">
        <v>49</v>
      </c>
      <c r="Z40" t="s">
        <v>38</v>
      </c>
      <c r="AA40">
        <v>1</v>
      </c>
      <c r="AB40">
        <v>1</v>
      </c>
      <c r="AC40">
        <v>1</v>
      </c>
      <c r="AD40" t="s">
        <v>67</v>
      </c>
      <c r="AH40">
        <v>6</v>
      </c>
      <c r="AI40">
        <v>38</v>
      </c>
      <c r="AJ40">
        <v>30</v>
      </c>
      <c r="AK40">
        <v>2</v>
      </c>
    </row>
    <row r="41" spans="1:37" x14ac:dyDescent="0.25">
      <c r="A41" t="s">
        <v>217</v>
      </c>
      <c r="B41" t="s">
        <v>53</v>
      </c>
      <c r="C41">
        <v>2</v>
      </c>
      <c r="D41">
        <v>1</v>
      </c>
      <c r="E41">
        <v>1</v>
      </c>
      <c r="F41" t="s">
        <v>54</v>
      </c>
      <c r="G41" t="s">
        <v>84</v>
      </c>
      <c r="J41" t="s">
        <v>33</v>
      </c>
      <c r="K41">
        <v>1</v>
      </c>
      <c r="M41">
        <v>2</v>
      </c>
      <c r="N41" t="s">
        <v>46</v>
      </c>
      <c r="O41" t="s">
        <v>35</v>
      </c>
      <c r="R41" t="s">
        <v>43</v>
      </c>
      <c r="S41">
        <v>1</v>
      </c>
      <c r="U41">
        <v>1</v>
      </c>
      <c r="V41" t="s">
        <v>73</v>
      </c>
      <c r="W41" t="s">
        <v>74</v>
      </c>
      <c r="X41" t="s">
        <v>75</v>
      </c>
      <c r="Z41" t="s">
        <v>45</v>
      </c>
      <c r="AA41">
        <v>1</v>
      </c>
      <c r="AC41">
        <v>1</v>
      </c>
      <c r="AD41" t="s">
        <v>47</v>
      </c>
      <c r="AE41" t="s">
        <v>76</v>
      </c>
      <c r="AH41">
        <v>7</v>
      </c>
      <c r="AI41">
        <v>34</v>
      </c>
      <c r="AJ41">
        <v>30</v>
      </c>
      <c r="AK41">
        <v>2</v>
      </c>
    </row>
    <row r="42" spans="1:37" x14ac:dyDescent="0.25">
      <c r="A42" t="s">
        <v>218</v>
      </c>
      <c r="B42" t="s">
        <v>53</v>
      </c>
      <c r="C42">
        <v>2</v>
      </c>
      <c r="D42">
        <v>1</v>
      </c>
      <c r="E42">
        <v>2</v>
      </c>
      <c r="F42" t="s">
        <v>54</v>
      </c>
      <c r="G42" t="s">
        <v>84</v>
      </c>
      <c r="J42" t="s">
        <v>33</v>
      </c>
      <c r="K42">
        <v>1</v>
      </c>
      <c r="M42">
        <v>1</v>
      </c>
      <c r="N42" t="s">
        <v>46</v>
      </c>
      <c r="R42" t="s">
        <v>43</v>
      </c>
      <c r="S42">
        <v>1</v>
      </c>
      <c r="U42">
        <v>1</v>
      </c>
      <c r="V42" t="s">
        <v>73</v>
      </c>
      <c r="W42" t="s">
        <v>74</v>
      </c>
      <c r="X42" t="s">
        <v>75</v>
      </c>
      <c r="Z42" t="s">
        <v>63</v>
      </c>
      <c r="AA42">
        <v>1</v>
      </c>
      <c r="AC42">
        <v>1</v>
      </c>
      <c r="AD42" t="s">
        <v>72</v>
      </c>
      <c r="AH42">
        <v>5</v>
      </c>
      <c r="AI42">
        <v>32</v>
      </c>
      <c r="AJ42">
        <v>30</v>
      </c>
      <c r="AK42">
        <v>2</v>
      </c>
    </row>
    <row r="43" spans="1:37" x14ac:dyDescent="0.25">
      <c r="A43" t="s">
        <v>219</v>
      </c>
      <c r="B43" t="s">
        <v>43</v>
      </c>
      <c r="C43">
        <v>1</v>
      </c>
      <c r="E43">
        <v>1</v>
      </c>
      <c r="F43" t="s">
        <v>73</v>
      </c>
      <c r="G43" t="s">
        <v>74</v>
      </c>
      <c r="J43" t="s">
        <v>38</v>
      </c>
      <c r="K43">
        <v>3</v>
      </c>
      <c r="L43">
        <v>1</v>
      </c>
      <c r="M43">
        <v>2</v>
      </c>
      <c r="N43" t="s">
        <v>173</v>
      </c>
      <c r="R43" t="s">
        <v>53</v>
      </c>
      <c r="S43">
        <v>2</v>
      </c>
      <c r="T43">
        <v>1</v>
      </c>
      <c r="U43">
        <v>1</v>
      </c>
      <c r="V43" t="s">
        <v>54</v>
      </c>
      <c r="W43" t="s">
        <v>84</v>
      </c>
      <c r="X43" t="s">
        <v>108</v>
      </c>
      <c r="Z43" t="s">
        <v>33</v>
      </c>
      <c r="AA43">
        <v>1</v>
      </c>
      <c r="AC43">
        <v>1</v>
      </c>
      <c r="AD43" t="s">
        <v>65</v>
      </c>
      <c r="AE43" t="s">
        <v>35</v>
      </c>
      <c r="AH43">
        <v>8</v>
      </c>
      <c r="AI43">
        <v>38</v>
      </c>
      <c r="AJ43">
        <v>30</v>
      </c>
      <c r="AK43">
        <v>2</v>
      </c>
    </row>
    <row r="44" spans="1:37" x14ac:dyDescent="0.25">
      <c r="A44" t="s">
        <v>220</v>
      </c>
      <c r="B44" t="s">
        <v>53</v>
      </c>
      <c r="C44">
        <v>2</v>
      </c>
      <c r="D44">
        <v>1</v>
      </c>
      <c r="E44">
        <v>1</v>
      </c>
      <c r="F44" t="s">
        <v>54</v>
      </c>
      <c r="G44" t="s">
        <v>55</v>
      </c>
      <c r="H44" t="s">
        <v>135</v>
      </c>
      <c r="J44" t="s">
        <v>33</v>
      </c>
      <c r="K44">
        <v>1</v>
      </c>
      <c r="M44">
        <v>1</v>
      </c>
      <c r="N44" t="s">
        <v>46</v>
      </c>
      <c r="O44" t="s">
        <v>151</v>
      </c>
      <c r="P44" t="s">
        <v>36</v>
      </c>
      <c r="R44" t="s">
        <v>45</v>
      </c>
      <c r="S44">
        <v>1</v>
      </c>
      <c r="U44">
        <v>2</v>
      </c>
      <c r="V44" t="s">
        <v>47</v>
      </c>
      <c r="Z44" t="s">
        <v>63</v>
      </c>
      <c r="AA44">
        <v>1</v>
      </c>
      <c r="AC44">
        <v>1</v>
      </c>
      <c r="AD44" t="s">
        <v>72</v>
      </c>
      <c r="AH44">
        <v>6</v>
      </c>
      <c r="AI44">
        <v>46</v>
      </c>
      <c r="AJ44">
        <v>30</v>
      </c>
      <c r="AK44">
        <v>2</v>
      </c>
    </row>
    <row r="45" spans="1:37" x14ac:dyDescent="0.25">
      <c r="A45" t="s">
        <v>221</v>
      </c>
      <c r="B45" t="s">
        <v>45</v>
      </c>
      <c r="C45">
        <v>1</v>
      </c>
      <c r="E45">
        <v>1</v>
      </c>
      <c r="F45" t="s">
        <v>47</v>
      </c>
      <c r="G45" t="s">
        <v>162</v>
      </c>
      <c r="J45" t="s">
        <v>38</v>
      </c>
      <c r="K45">
        <v>1</v>
      </c>
      <c r="L45">
        <v>1</v>
      </c>
      <c r="M45">
        <v>1</v>
      </c>
      <c r="N45" t="s">
        <v>67</v>
      </c>
      <c r="O45" t="s">
        <v>40</v>
      </c>
      <c r="P45" t="s">
        <v>175</v>
      </c>
      <c r="Q45" t="s">
        <v>177</v>
      </c>
      <c r="R45" t="s">
        <v>53</v>
      </c>
      <c r="S45">
        <v>3</v>
      </c>
      <c r="T45">
        <v>1</v>
      </c>
      <c r="U45">
        <v>2</v>
      </c>
      <c r="V45" t="s">
        <v>54</v>
      </c>
      <c r="W45" t="s">
        <v>55</v>
      </c>
      <c r="Z45" t="s">
        <v>33</v>
      </c>
      <c r="AA45">
        <v>1</v>
      </c>
      <c r="AC45">
        <v>1</v>
      </c>
      <c r="AD45" t="s">
        <v>65</v>
      </c>
      <c r="AE45" t="s">
        <v>35</v>
      </c>
      <c r="AH45">
        <v>9</v>
      </c>
      <c r="AI45">
        <v>54</v>
      </c>
      <c r="AJ45">
        <v>30</v>
      </c>
      <c r="AK45">
        <v>2</v>
      </c>
    </row>
    <row r="46" spans="1:37" x14ac:dyDescent="0.25">
      <c r="A46" t="s">
        <v>222</v>
      </c>
      <c r="B46" t="s">
        <v>53</v>
      </c>
      <c r="C46">
        <v>2</v>
      </c>
      <c r="D46">
        <v>1</v>
      </c>
      <c r="E46">
        <v>1</v>
      </c>
      <c r="F46" t="s">
        <v>54</v>
      </c>
      <c r="J46" t="s">
        <v>33</v>
      </c>
      <c r="K46">
        <v>1</v>
      </c>
      <c r="M46">
        <v>1</v>
      </c>
      <c r="N46" t="s">
        <v>65</v>
      </c>
      <c r="O46" t="s">
        <v>66</v>
      </c>
      <c r="P46" t="s">
        <v>36</v>
      </c>
      <c r="R46" t="s">
        <v>63</v>
      </c>
      <c r="S46">
        <v>1</v>
      </c>
      <c r="U46">
        <v>1</v>
      </c>
      <c r="V46" t="s">
        <v>72</v>
      </c>
      <c r="Z46" t="s">
        <v>38</v>
      </c>
      <c r="AA46">
        <v>1</v>
      </c>
      <c r="AB46">
        <v>1</v>
      </c>
      <c r="AC46">
        <v>2</v>
      </c>
      <c r="AD46" t="s">
        <v>67</v>
      </c>
      <c r="AE46" t="s">
        <v>40</v>
      </c>
      <c r="AH46">
        <v>5</v>
      </c>
      <c r="AI46">
        <v>27</v>
      </c>
      <c r="AJ46">
        <v>30</v>
      </c>
      <c r="AK46">
        <v>2</v>
      </c>
    </row>
    <row r="47" spans="1:37" x14ac:dyDescent="0.25">
      <c r="A47" t="s">
        <v>223</v>
      </c>
      <c r="B47" t="s">
        <v>56</v>
      </c>
      <c r="C47">
        <v>1</v>
      </c>
      <c r="E47">
        <v>2</v>
      </c>
      <c r="F47" t="s">
        <v>141</v>
      </c>
      <c r="J47" t="s">
        <v>48</v>
      </c>
      <c r="K47">
        <v>1</v>
      </c>
      <c r="M47">
        <v>1</v>
      </c>
      <c r="N47" t="s">
        <v>49</v>
      </c>
      <c r="O47" t="s">
        <v>50</v>
      </c>
      <c r="P47" t="s">
        <v>148</v>
      </c>
      <c r="Q47" t="s">
        <v>52</v>
      </c>
      <c r="R47" t="s">
        <v>53</v>
      </c>
      <c r="S47">
        <v>2</v>
      </c>
      <c r="T47">
        <v>1</v>
      </c>
      <c r="U47">
        <v>1</v>
      </c>
      <c r="V47" t="s">
        <v>54</v>
      </c>
      <c r="W47" t="s">
        <v>84</v>
      </c>
      <c r="Z47" t="s">
        <v>43</v>
      </c>
      <c r="AA47">
        <v>1</v>
      </c>
      <c r="AC47">
        <v>1</v>
      </c>
      <c r="AD47" t="s">
        <v>73</v>
      </c>
      <c r="AH47">
        <v>6</v>
      </c>
      <c r="AI47">
        <v>38</v>
      </c>
      <c r="AJ47">
        <v>30</v>
      </c>
      <c r="AK47">
        <v>2</v>
      </c>
    </row>
    <row r="48" spans="1:37" x14ac:dyDescent="0.25">
      <c r="A48" t="s">
        <v>224</v>
      </c>
      <c r="B48" t="s">
        <v>53</v>
      </c>
      <c r="C48">
        <v>2</v>
      </c>
      <c r="D48">
        <v>1</v>
      </c>
      <c r="E48">
        <v>1</v>
      </c>
      <c r="F48" t="s">
        <v>54</v>
      </c>
      <c r="J48" t="s">
        <v>43</v>
      </c>
      <c r="K48">
        <v>1</v>
      </c>
      <c r="M48">
        <v>2</v>
      </c>
      <c r="N48" t="s">
        <v>73</v>
      </c>
      <c r="O48" t="s">
        <v>74</v>
      </c>
      <c r="R48" t="s">
        <v>56</v>
      </c>
      <c r="S48">
        <v>1</v>
      </c>
      <c r="U48">
        <v>2</v>
      </c>
      <c r="V48" t="s">
        <v>68</v>
      </c>
      <c r="Z48" t="s">
        <v>33</v>
      </c>
      <c r="AA48">
        <v>1</v>
      </c>
      <c r="AC48">
        <v>1</v>
      </c>
      <c r="AD48" t="s">
        <v>34</v>
      </c>
      <c r="AH48">
        <v>4</v>
      </c>
      <c r="AI48">
        <v>30</v>
      </c>
      <c r="AJ48">
        <v>30</v>
      </c>
      <c r="AK48">
        <v>2</v>
      </c>
    </row>
    <row r="49" spans="1:37" x14ac:dyDescent="0.25">
      <c r="A49" t="s">
        <v>225</v>
      </c>
      <c r="B49" t="s">
        <v>56</v>
      </c>
      <c r="C49">
        <v>1</v>
      </c>
      <c r="E49">
        <v>2</v>
      </c>
      <c r="F49" t="s">
        <v>68</v>
      </c>
      <c r="J49" t="s">
        <v>45</v>
      </c>
      <c r="K49">
        <v>3</v>
      </c>
      <c r="M49">
        <v>3</v>
      </c>
      <c r="N49" t="s">
        <v>47</v>
      </c>
      <c r="O49" t="s">
        <v>76</v>
      </c>
      <c r="P49" t="s">
        <v>163</v>
      </c>
      <c r="Q49" t="s">
        <v>164</v>
      </c>
      <c r="R49" t="s">
        <v>53</v>
      </c>
      <c r="S49">
        <v>3</v>
      </c>
      <c r="T49">
        <v>1</v>
      </c>
      <c r="U49">
        <v>1</v>
      </c>
      <c r="V49" t="s">
        <v>54</v>
      </c>
      <c r="W49" t="s">
        <v>84</v>
      </c>
      <c r="X49" t="s">
        <v>108</v>
      </c>
      <c r="Z49" t="s">
        <v>43</v>
      </c>
      <c r="AA49">
        <v>1</v>
      </c>
      <c r="AC49">
        <v>1</v>
      </c>
      <c r="AD49" t="s">
        <v>73</v>
      </c>
      <c r="AE49" t="s">
        <v>110</v>
      </c>
      <c r="AH49">
        <v>14</v>
      </c>
      <c r="AI49">
        <v>55</v>
      </c>
      <c r="AJ49">
        <v>30</v>
      </c>
      <c r="AK49">
        <v>2</v>
      </c>
    </row>
    <row r="50" spans="1:37" x14ac:dyDescent="0.25">
      <c r="A50" s="4" t="s">
        <v>226</v>
      </c>
      <c r="B50" t="s">
        <v>53</v>
      </c>
      <c r="C50">
        <v>2</v>
      </c>
      <c r="D50">
        <v>1</v>
      </c>
      <c r="E50">
        <v>2</v>
      </c>
      <c r="F50" t="s">
        <v>54</v>
      </c>
      <c r="J50" t="s">
        <v>43</v>
      </c>
      <c r="K50">
        <v>1</v>
      </c>
      <c r="M50">
        <v>1</v>
      </c>
      <c r="N50" t="s">
        <v>73</v>
      </c>
      <c r="O50" t="s">
        <v>74</v>
      </c>
      <c r="R50" t="s">
        <v>56</v>
      </c>
      <c r="S50">
        <v>1</v>
      </c>
      <c r="U50">
        <v>3</v>
      </c>
      <c r="V50" t="s">
        <v>141</v>
      </c>
      <c r="W50" t="s">
        <v>69</v>
      </c>
      <c r="X50" t="s">
        <v>91</v>
      </c>
      <c r="Z50" t="s">
        <v>63</v>
      </c>
      <c r="AA50">
        <v>1</v>
      </c>
      <c r="AC50">
        <v>1</v>
      </c>
      <c r="AD50" t="s">
        <v>72</v>
      </c>
      <c r="AH50">
        <v>7</v>
      </c>
      <c r="AI50">
        <v>42</v>
      </c>
      <c r="AJ50">
        <v>30</v>
      </c>
      <c r="AK50">
        <v>2</v>
      </c>
    </row>
    <row r="51" spans="1:37" x14ac:dyDescent="0.25">
      <c r="A51" t="s">
        <v>227</v>
      </c>
      <c r="B51" t="s">
        <v>53</v>
      </c>
      <c r="C51">
        <v>2</v>
      </c>
      <c r="D51">
        <v>1</v>
      </c>
      <c r="E51">
        <v>1</v>
      </c>
      <c r="F51" t="s">
        <v>54</v>
      </c>
      <c r="J51" t="s">
        <v>43</v>
      </c>
      <c r="K51">
        <v>1</v>
      </c>
      <c r="M51">
        <v>1</v>
      </c>
      <c r="N51" t="s">
        <v>73</v>
      </c>
      <c r="R51" t="s">
        <v>56</v>
      </c>
      <c r="S51">
        <v>1</v>
      </c>
      <c r="U51">
        <v>1</v>
      </c>
      <c r="V51" t="s">
        <v>141</v>
      </c>
      <c r="Z51" t="s">
        <v>38</v>
      </c>
      <c r="AA51">
        <v>1</v>
      </c>
      <c r="AB51">
        <v>1</v>
      </c>
      <c r="AC51">
        <v>1</v>
      </c>
      <c r="AD51" t="s">
        <v>67</v>
      </c>
      <c r="AE51" t="s">
        <v>40</v>
      </c>
      <c r="AH51">
        <v>2</v>
      </c>
      <c r="AI51">
        <v>33</v>
      </c>
      <c r="AJ51">
        <v>30</v>
      </c>
      <c r="AK51">
        <v>2</v>
      </c>
    </row>
    <row r="52" spans="1:37" x14ac:dyDescent="0.25">
      <c r="A52" t="s">
        <v>228</v>
      </c>
      <c r="B52" t="s">
        <v>48</v>
      </c>
      <c r="C52">
        <v>1</v>
      </c>
      <c r="E52">
        <v>1</v>
      </c>
      <c r="F52" t="s">
        <v>49</v>
      </c>
      <c r="G52" t="s">
        <v>71</v>
      </c>
      <c r="J52" t="s">
        <v>33</v>
      </c>
      <c r="K52">
        <v>1</v>
      </c>
      <c r="M52">
        <v>1</v>
      </c>
      <c r="N52" t="s">
        <v>46</v>
      </c>
      <c r="O52" t="s">
        <v>35</v>
      </c>
      <c r="R52" t="s">
        <v>53</v>
      </c>
      <c r="S52">
        <v>1</v>
      </c>
      <c r="T52">
        <v>1</v>
      </c>
      <c r="U52">
        <v>1</v>
      </c>
      <c r="V52" t="s">
        <v>54</v>
      </c>
      <c r="Z52" t="s">
        <v>43</v>
      </c>
      <c r="AA52">
        <v>1</v>
      </c>
      <c r="AC52">
        <v>1</v>
      </c>
      <c r="AD52" t="s">
        <v>73</v>
      </c>
      <c r="AE52" t="s">
        <v>74</v>
      </c>
      <c r="AH52">
        <v>3</v>
      </c>
      <c r="AI52">
        <v>24</v>
      </c>
      <c r="AJ52">
        <v>30</v>
      </c>
      <c r="AK52">
        <v>2</v>
      </c>
    </row>
    <row r="53" spans="1:37" x14ac:dyDescent="0.25">
      <c r="A53" t="s">
        <v>229</v>
      </c>
      <c r="B53" t="s">
        <v>53</v>
      </c>
      <c r="C53">
        <v>1</v>
      </c>
      <c r="D53">
        <v>1</v>
      </c>
      <c r="E53">
        <v>1</v>
      </c>
      <c r="F53" t="s">
        <v>54</v>
      </c>
      <c r="G53" t="s">
        <v>55</v>
      </c>
      <c r="J53" t="s">
        <v>43</v>
      </c>
      <c r="K53">
        <v>1</v>
      </c>
      <c r="M53">
        <v>2</v>
      </c>
      <c r="N53" t="s">
        <v>73</v>
      </c>
      <c r="O53" t="s">
        <v>74</v>
      </c>
      <c r="P53" t="s">
        <v>75</v>
      </c>
      <c r="R53" t="s">
        <v>48</v>
      </c>
      <c r="S53">
        <v>1</v>
      </c>
      <c r="U53">
        <v>1</v>
      </c>
      <c r="V53" t="s">
        <v>49</v>
      </c>
      <c r="Z53" t="s">
        <v>45</v>
      </c>
      <c r="AA53">
        <v>1</v>
      </c>
      <c r="AC53">
        <v>1</v>
      </c>
      <c r="AD53" t="s">
        <v>47</v>
      </c>
      <c r="AH53">
        <v>4</v>
      </c>
      <c r="AI53">
        <v>24</v>
      </c>
      <c r="AJ53">
        <v>30</v>
      </c>
      <c r="AK53">
        <v>2</v>
      </c>
    </row>
    <row r="54" spans="1:37" x14ac:dyDescent="0.25">
      <c r="A54" t="s">
        <v>230</v>
      </c>
      <c r="B54" t="s">
        <v>53</v>
      </c>
      <c r="C54">
        <v>2</v>
      </c>
      <c r="D54">
        <v>1</v>
      </c>
      <c r="E54">
        <v>1</v>
      </c>
      <c r="F54" t="s">
        <v>54</v>
      </c>
      <c r="J54" t="s">
        <v>43</v>
      </c>
      <c r="K54">
        <v>1</v>
      </c>
      <c r="M54">
        <v>1</v>
      </c>
      <c r="N54" t="s">
        <v>73</v>
      </c>
      <c r="O54" t="s">
        <v>74</v>
      </c>
      <c r="P54" t="s">
        <v>111</v>
      </c>
      <c r="R54" t="s">
        <v>48</v>
      </c>
      <c r="S54">
        <v>1</v>
      </c>
      <c r="U54">
        <v>1</v>
      </c>
      <c r="V54" t="s">
        <v>49</v>
      </c>
      <c r="W54" t="s">
        <v>50</v>
      </c>
      <c r="Z54" t="s">
        <v>63</v>
      </c>
      <c r="AA54">
        <v>1</v>
      </c>
      <c r="AC54">
        <v>2</v>
      </c>
      <c r="AD54" t="s">
        <v>72</v>
      </c>
      <c r="AH54">
        <v>5</v>
      </c>
      <c r="AI54">
        <v>28</v>
      </c>
      <c r="AJ54">
        <v>30</v>
      </c>
      <c r="AK54">
        <v>2</v>
      </c>
    </row>
    <row r="55" spans="1:37" x14ac:dyDescent="0.25">
      <c r="A55" t="s">
        <v>231</v>
      </c>
      <c r="B55" t="s">
        <v>53</v>
      </c>
      <c r="C55">
        <v>2</v>
      </c>
      <c r="D55">
        <v>1</v>
      </c>
      <c r="E55">
        <v>1</v>
      </c>
      <c r="F55" t="s">
        <v>54</v>
      </c>
      <c r="G55" t="s">
        <v>84</v>
      </c>
      <c r="J55" t="s">
        <v>43</v>
      </c>
      <c r="K55">
        <v>1</v>
      </c>
      <c r="M55">
        <v>1</v>
      </c>
      <c r="N55" t="s">
        <v>73</v>
      </c>
      <c r="R55" t="s">
        <v>48</v>
      </c>
      <c r="S55">
        <v>1</v>
      </c>
      <c r="U55">
        <v>1</v>
      </c>
      <c r="V55" t="s">
        <v>147</v>
      </c>
      <c r="W55" t="s">
        <v>71</v>
      </c>
      <c r="X55" t="s">
        <v>51</v>
      </c>
      <c r="Z55" t="s">
        <v>38</v>
      </c>
      <c r="AA55">
        <v>2</v>
      </c>
      <c r="AB55">
        <v>1</v>
      </c>
      <c r="AC55">
        <v>1</v>
      </c>
      <c r="AD55" t="s">
        <v>67</v>
      </c>
      <c r="AE55" t="s">
        <v>40</v>
      </c>
      <c r="AF55" t="s">
        <v>41</v>
      </c>
      <c r="AH55">
        <v>7</v>
      </c>
      <c r="AI55">
        <v>38</v>
      </c>
      <c r="AJ55">
        <v>30</v>
      </c>
      <c r="AK55">
        <v>2</v>
      </c>
    </row>
    <row r="56" spans="1:37" x14ac:dyDescent="0.25">
      <c r="A56" t="s">
        <v>232</v>
      </c>
      <c r="B56" t="s">
        <v>53</v>
      </c>
      <c r="C56">
        <v>3</v>
      </c>
      <c r="D56">
        <v>2</v>
      </c>
      <c r="E56">
        <v>1</v>
      </c>
      <c r="F56" t="s">
        <v>54</v>
      </c>
      <c r="G56" t="s">
        <v>84</v>
      </c>
      <c r="J56" t="s">
        <v>43</v>
      </c>
      <c r="K56">
        <v>1</v>
      </c>
      <c r="M56">
        <v>1</v>
      </c>
      <c r="N56" t="s">
        <v>73</v>
      </c>
      <c r="O56" t="s">
        <v>110</v>
      </c>
      <c r="P56" t="s">
        <v>158</v>
      </c>
      <c r="R56" t="s">
        <v>33</v>
      </c>
      <c r="S56">
        <v>1</v>
      </c>
      <c r="U56">
        <v>1</v>
      </c>
      <c r="V56" t="s">
        <v>46</v>
      </c>
      <c r="Z56" t="s">
        <v>45</v>
      </c>
      <c r="AA56">
        <v>1</v>
      </c>
      <c r="AC56">
        <v>1</v>
      </c>
      <c r="AD56" t="s">
        <v>47</v>
      </c>
      <c r="AE56" t="s">
        <v>162</v>
      </c>
      <c r="AF56" t="s">
        <v>163</v>
      </c>
      <c r="AG56" t="s">
        <v>164</v>
      </c>
      <c r="AH56">
        <v>9</v>
      </c>
      <c r="AI56">
        <v>29</v>
      </c>
      <c r="AJ56">
        <v>30</v>
      </c>
      <c r="AK56">
        <v>2</v>
      </c>
    </row>
    <row r="57" spans="1:37" x14ac:dyDescent="0.25">
      <c r="A57" t="s">
        <v>233</v>
      </c>
      <c r="B57" t="s">
        <v>53</v>
      </c>
      <c r="C57">
        <v>3</v>
      </c>
      <c r="D57">
        <v>1</v>
      </c>
      <c r="E57">
        <v>1</v>
      </c>
      <c r="F57" t="s">
        <v>54</v>
      </c>
      <c r="G57" t="s">
        <v>84</v>
      </c>
      <c r="H57" t="s">
        <v>122</v>
      </c>
      <c r="I57" t="s">
        <v>109</v>
      </c>
      <c r="J57" t="s">
        <v>43</v>
      </c>
      <c r="K57">
        <v>1</v>
      </c>
      <c r="M57">
        <v>1</v>
      </c>
      <c r="N57" t="s">
        <v>73</v>
      </c>
      <c r="O57" t="s">
        <v>74</v>
      </c>
      <c r="R57" t="s">
        <v>33</v>
      </c>
      <c r="S57">
        <v>1</v>
      </c>
      <c r="U57">
        <v>1</v>
      </c>
      <c r="V57" t="s">
        <v>65</v>
      </c>
      <c r="W57" t="s">
        <v>35</v>
      </c>
      <c r="Z57" t="s">
        <v>63</v>
      </c>
      <c r="AA57">
        <v>1</v>
      </c>
      <c r="AC57">
        <v>2</v>
      </c>
      <c r="AD57" t="s">
        <v>72</v>
      </c>
      <c r="AE57" t="s">
        <v>167</v>
      </c>
      <c r="AF57" t="s">
        <v>169</v>
      </c>
      <c r="AG57" t="s">
        <v>172</v>
      </c>
      <c r="AH57">
        <v>11</v>
      </c>
      <c r="AI57">
        <v>31</v>
      </c>
      <c r="AJ57">
        <v>30</v>
      </c>
      <c r="AK57">
        <v>2</v>
      </c>
    </row>
    <row r="58" spans="1:37" x14ac:dyDescent="0.25">
      <c r="A58" t="s">
        <v>234</v>
      </c>
      <c r="B58" t="s">
        <v>53</v>
      </c>
      <c r="C58">
        <v>1</v>
      </c>
      <c r="D58">
        <v>1</v>
      </c>
      <c r="E58">
        <v>1</v>
      </c>
      <c r="F58" t="s">
        <v>54</v>
      </c>
      <c r="J58" t="s">
        <v>43</v>
      </c>
      <c r="K58">
        <v>1</v>
      </c>
      <c r="M58">
        <v>1</v>
      </c>
      <c r="N58" t="s">
        <v>73</v>
      </c>
      <c r="O58" t="s">
        <v>74</v>
      </c>
      <c r="R58" t="s">
        <v>33</v>
      </c>
      <c r="S58">
        <v>1</v>
      </c>
      <c r="U58">
        <v>1</v>
      </c>
      <c r="V58" t="s">
        <v>46</v>
      </c>
      <c r="Z58" t="s">
        <v>38</v>
      </c>
      <c r="AA58">
        <v>1</v>
      </c>
      <c r="AB58">
        <v>1</v>
      </c>
      <c r="AC58">
        <v>1</v>
      </c>
      <c r="AD58" t="s">
        <v>67</v>
      </c>
      <c r="AE58" t="s">
        <v>105</v>
      </c>
      <c r="AF58" t="s">
        <v>175</v>
      </c>
      <c r="AH58">
        <v>3</v>
      </c>
      <c r="AI58">
        <v>35</v>
      </c>
      <c r="AJ58">
        <v>30</v>
      </c>
      <c r="AK58">
        <v>2</v>
      </c>
    </row>
    <row r="59" spans="1:37" x14ac:dyDescent="0.25">
      <c r="A59" t="s">
        <v>235</v>
      </c>
      <c r="B59" t="s">
        <v>53</v>
      </c>
      <c r="C59">
        <v>1</v>
      </c>
      <c r="D59">
        <v>1</v>
      </c>
      <c r="E59">
        <v>1</v>
      </c>
      <c r="F59" t="s">
        <v>54</v>
      </c>
      <c r="J59" t="s">
        <v>43</v>
      </c>
      <c r="K59">
        <v>1</v>
      </c>
      <c r="M59">
        <v>1</v>
      </c>
      <c r="N59" t="s">
        <v>73</v>
      </c>
      <c r="O59" t="s">
        <v>74</v>
      </c>
      <c r="P59" t="s">
        <v>158</v>
      </c>
      <c r="R59" t="s">
        <v>45</v>
      </c>
      <c r="S59">
        <v>1</v>
      </c>
      <c r="U59">
        <v>1</v>
      </c>
      <c r="V59" t="s">
        <v>47</v>
      </c>
      <c r="W59" t="s">
        <v>99</v>
      </c>
      <c r="Z59" t="s">
        <v>63</v>
      </c>
      <c r="AA59">
        <v>1</v>
      </c>
      <c r="AC59">
        <v>1</v>
      </c>
      <c r="AD59" t="s">
        <v>72</v>
      </c>
      <c r="AE59" t="s">
        <v>95</v>
      </c>
      <c r="AF59" t="s">
        <v>168</v>
      </c>
      <c r="AH59">
        <v>5</v>
      </c>
      <c r="AI59">
        <v>33</v>
      </c>
      <c r="AJ59">
        <v>30</v>
      </c>
      <c r="AK59">
        <v>2</v>
      </c>
    </row>
    <row r="60" spans="1:37" x14ac:dyDescent="0.25">
      <c r="A60" t="s">
        <v>236</v>
      </c>
      <c r="B60" t="s">
        <v>53</v>
      </c>
      <c r="C60">
        <v>2</v>
      </c>
      <c r="D60">
        <v>1</v>
      </c>
      <c r="E60">
        <v>1</v>
      </c>
      <c r="F60" t="s">
        <v>54</v>
      </c>
      <c r="J60" t="s">
        <v>43</v>
      </c>
      <c r="K60">
        <v>1</v>
      </c>
      <c r="M60">
        <v>1</v>
      </c>
      <c r="N60" t="s">
        <v>73</v>
      </c>
      <c r="O60" t="s">
        <v>74</v>
      </c>
      <c r="P60" t="s">
        <v>75</v>
      </c>
      <c r="R60" t="s">
        <v>45</v>
      </c>
      <c r="S60">
        <v>1</v>
      </c>
      <c r="U60">
        <v>1</v>
      </c>
      <c r="V60" t="s">
        <v>47</v>
      </c>
      <c r="Z60" t="s">
        <v>38</v>
      </c>
      <c r="AA60">
        <v>1</v>
      </c>
      <c r="AB60">
        <v>1</v>
      </c>
      <c r="AC60">
        <v>1</v>
      </c>
      <c r="AD60" t="s">
        <v>67</v>
      </c>
      <c r="AH60">
        <v>3</v>
      </c>
      <c r="AI60">
        <v>35</v>
      </c>
      <c r="AJ60">
        <v>30</v>
      </c>
      <c r="AK60">
        <v>2</v>
      </c>
    </row>
    <row r="61" spans="1:37" x14ac:dyDescent="0.25">
      <c r="A61" t="s">
        <v>237</v>
      </c>
      <c r="B61" t="s">
        <v>63</v>
      </c>
      <c r="C61">
        <v>1</v>
      </c>
      <c r="E61">
        <v>1</v>
      </c>
      <c r="F61" t="s">
        <v>72</v>
      </c>
      <c r="G61" t="s">
        <v>167</v>
      </c>
      <c r="J61" t="s">
        <v>38</v>
      </c>
      <c r="K61">
        <v>3</v>
      </c>
      <c r="L61">
        <v>1</v>
      </c>
      <c r="M61">
        <v>2</v>
      </c>
      <c r="N61" t="s">
        <v>67</v>
      </c>
      <c r="O61" t="s">
        <v>40</v>
      </c>
      <c r="R61" t="s">
        <v>53</v>
      </c>
      <c r="S61">
        <v>2</v>
      </c>
      <c r="T61">
        <v>1</v>
      </c>
      <c r="U61">
        <v>2</v>
      </c>
      <c r="V61" t="s">
        <v>54</v>
      </c>
      <c r="Z61" t="s">
        <v>43</v>
      </c>
      <c r="AA61">
        <v>1</v>
      </c>
      <c r="AC61">
        <v>1</v>
      </c>
      <c r="AD61" t="s">
        <v>73</v>
      </c>
      <c r="AH61">
        <v>7</v>
      </c>
      <c r="AI61">
        <v>42</v>
      </c>
      <c r="AJ61">
        <v>30</v>
      </c>
      <c r="AK61">
        <v>2</v>
      </c>
    </row>
    <row r="62" spans="1:37" x14ac:dyDescent="0.25">
      <c r="A62" t="s">
        <v>238</v>
      </c>
      <c r="B62" t="s">
        <v>56</v>
      </c>
      <c r="C62">
        <v>1</v>
      </c>
      <c r="E62">
        <v>1</v>
      </c>
      <c r="F62" t="s">
        <v>68</v>
      </c>
      <c r="G62" t="s">
        <v>69</v>
      </c>
      <c r="J62" t="s">
        <v>48</v>
      </c>
      <c r="K62">
        <v>1</v>
      </c>
      <c r="M62">
        <v>1</v>
      </c>
      <c r="N62" t="s">
        <v>49</v>
      </c>
      <c r="O62" t="s">
        <v>71</v>
      </c>
      <c r="P62" t="s">
        <v>51</v>
      </c>
      <c r="R62" t="s">
        <v>53</v>
      </c>
      <c r="S62">
        <v>2</v>
      </c>
      <c r="T62">
        <v>1</v>
      </c>
      <c r="U62">
        <v>3</v>
      </c>
      <c r="V62" t="s">
        <v>54</v>
      </c>
      <c r="W62" t="s">
        <v>134</v>
      </c>
      <c r="Z62" t="s">
        <v>45</v>
      </c>
      <c r="AA62">
        <v>1</v>
      </c>
      <c r="AC62">
        <v>1</v>
      </c>
      <c r="AD62" t="s">
        <v>89</v>
      </c>
      <c r="AE62" t="s">
        <v>76</v>
      </c>
      <c r="AH62">
        <v>8</v>
      </c>
      <c r="AI62">
        <v>40</v>
      </c>
      <c r="AJ62">
        <v>30</v>
      </c>
      <c r="AK62">
        <v>2</v>
      </c>
    </row>
    <row r="63" spans="1:37" x14ac:dyDescent="0.25">
      <c r="A63" t="s">
        <v>239</v>
      </c>
      <c r="B63" t="s">
        <v>56</v>
      </c>
      <c r="C63">
        <v>1</v>
      </c>
      <c r="E63">
        <v>1</v>
      </c>
      <c r="F63" t="s">
        <v>68</v>
      </c>
      <c r="J63" t="s">
        <v>33</v>
      </c>
      <c r="K63">
        <v>1</v>
      </c>
      <c r="M63">
        <v>1</v>
      </c>
      <c r="N63" t="s">
        <v>65</v>
      </c>
      <c r="O63" t="s">
        <v>35</v>
      </c>
      <c r="P63" t="s">
        <v>36</v>
      </c>
      <c r="R63" t="s">
        <v>53</v>
      </c>
      <c r="S63">
        <v>2</v>
      </c>
      <c r="T63">
        <v>1</v>
      </c>
      <c r="U63">
        <v>1</v>
      </c>
      <c r="V63" t="s">
        <v>54</v>
      </c>
      <c r="W63" t="s">
        <v>84</v>
      </c>
      <c r="Z63" t="s">
        <v>45</v>
      </c>
      <c r="AA63">
        <v>1</v>
      </c>
      <c r="AC63">
        <v>1</v>
      </c>
      <c r="AD63" t="s">
        <v>47</v>
      </c>
      <c r="AH63">
        <v>4</v>
      </c>
      <c r="AI63">
        <v>25</v>
      </c>
      <c r="AJ63">
        <v>30</v>
      </c>
      <c r="AK63">
        <v>2</v>
      </c>
    </row>
    <row r="64" spans="1:37" x14ac:dyDescent="0.25">
      <c r="A64" t="s">
        <v>240</v>
      </c>
      <c r="B64" t="s">
        <v>53</v>
      </c>
      <c r="C64">
        <v>3</v>
      </c>
      <c r="D64">
        <v>1</v>
      </c>
      <c r="E64">
        <v>1</v>
      </c>
      <c r="F64" t="s">
        <v>54</v>
      </c>
      <c r="G64" t="s">
        <v>84</v>
      </c>
      <c r="H64" t="s">
        <v>135</v>
      </c>
      <c r="J64" t="s">
        <v>45</v>
      </c>
      <c r="K64">
        <v>1</v>
      </c>
      <c r="M64">
        <v>1</v>
      </c>
      <c r="N64" t="s">
        <v>47</v>
      </c>
      <c r="O64" t="s">
        <v>76</v>
      </c>
      <c r="R64" t="s">
        <v>56</v>
      </c>
      <c r="S64">
        <v>1</v>
      </c>
      <c r="U64">
        <v>2</v>
      </c>
      <c r="V64" t="s">
        <v>68</v>
      </c>
      <c r="W64" t="s">
        <v>69</v>
      </c>
      <c r="Z64" t="s">
        <v>43</v>
      </c>
      <c r="AA64">
        <v>1</v>
      </c>
      <c r="AC64">
        <v>1</v>
      </c>
      <c r="AD64" t="s">
        <v>73</v>
      </c>
      <c r="AE64" t="s">
        <v>110</v>
      </c>
      <c r="AF64" t="s">
        <v>111</v>
      </c>
      <c r="AG64" t="s">
        <v>112</v>
      </c>
      <c r="AH64">
        <v>10</v>
      </c>
      <c r="AI64">
        <v>32</v>
      </c>
      <c r="AJ64">
        <v>30</v>
      </c>
      <c r="AK64">
        <v>2</v>
      </c>
    </row>
    <row r="65" spans="1:37" x14ac:dyDescent="0.25">
      <c r="A65" t="s">
        <v>241</v>
      </c>
      <c r="B65" t="s">
        <v>53</v>
      </c>
      <c r="C65">
        <v>3</v>
      </c>
      <c r="D65">
        <v>1</v>
      </c>
      <c r="E65">
        <v>1</v>
      </c>
      <c r="F65" t="s">
        <v>54</v>
      </c>
      <c r="G65" t="s">
        <v>55</v>
      </c>
      <c r="J65" t="s">
        <v>45</v>
      </c>
      <c r="K65">
        <v>1</v>
      </c>
      <c r="M65">
        <v>1</v>
      </c>
      <c r="N65" t="s">
        <v>47</v>
      </c>
      <c r="O65" t="s">
        <v>76</v>
      </c>
      <c r="P65" t="s">
        <v>100</v>
      </c>
      <c r="Q65" t="s">
        <v>164</v>
      </c>
      <c r="R65" t="s">
        <v>56</v>
      </c>
      <c r="S65">
        <v>1</v>
      </c>
      <c r="U65">
        <v>3</v>
      </c>
      <c r="V65" t="s">
        <v>68</v>
      </c>
      <c r="W65" t="s">
        <v>142</v>
      </c>
      <c r="X65" t="s">
        <v>91</v>
      </c>
      <c r="Z65" t="s">
        <v>63</v>
      </c>
      <c r="AA65">
        <v>1</v>
      </c>
      <c r="AC65">
        <v>2</v>
      </c>
      <c r="AD65" t="s">
        <v>72</v>
      </c>
      <c r="AE65" t="s">
        <v>167</v>
      </c>
      <c r="AH65">
        <v>12</v>
      </c>
      <c r="AI65">
        <v>70</v>
      </c>
      <c r="AJ65">
        <v>30</v>
      </c>
      <c r="AK65">
        <v>2</v>
      </c>
    </row>
    <row r="66" spans="1:37" x14ac:dyDescent="0.25">
      <c r="A66" t="s">
        <v>242</v>
      </c>
      <c r="B66" t="s">
        <v>56</v>
      </c>
      <c r="C66">
        <v>1</v>
      </c>
      <c r="E66">
        <v>3</v>
      </c>
      <c r="F66" t="s">
        <v>68</v>
      </c>
      <c r="J66" t="s">
        <v>38</v>
      </c>
      <c r="K66">
        <v>3</v>
      </c>
      <c r="L66">
        <v>2</v>
      </c>
      <c r="M66">
        <v>1</v>
      </c>
      <c r="N66" t="s">
        <v>67</v>
      </c>
      <c r="O66" t="s">
        <v>40</v>
      </c>
      <c r="P66" t="s">
        <v>175</v>
      </c>
      <c r="Q66" t="s">
        <v>176</v>
      </c>
      <c r="R66" t="s">
        <v>53</v>
      </c>
      <c r="S66">
        <v>2</v>
      </c>
      <c r="T66">
        <v>1</v>
      </c>
      <c r="U66">
        <v>3</v>
      </c>
      <c r="V66" t="s">
        <v>54</v>
      </c>
      <c r="W66" t="s">
        <v>84</v>
      </c>
      <c r="Z66" t="s">
        <v>45</v>
      </c>
      <c r="AA66">
        <v>1</v>
      </c>
      <c r="AC66">
        <v>1</v>
      </c>
      <c r="AD66" t="s">
        <v>47</v>
      </c>
      <c r="AE66" t="s">
        <v>76</v>
      </c>
      <c r="AH66">
        <v>13</v>
      </c>
      <c r="AI66">
        <v>60</v>
      </c>
      <c r="AJ66">
        <v>30</v>
      </c>
      <c r="AK66">
        <v>2</v>
      </c>
    </row>
    <row r="67" spans="1:37" x14ac:dyDescent="0.25">
      <c r="A67" t="s">
        <v>243</v>
      </c>
      <c r="B67" t="s">
        <v>53</v>
      </c>
      <c r="C67">
        <v>3</v>
      </c>
      <c r="D67">
        <v>1</v>
      </c>
      <c r="E67">
        <v>1</v>
      </c>
      <c r="F67" t="s">
        <v>54</v>
      </c>
      <c r="G67" t="s">
        <v>84</v>
      </c>
      <c r="J67" t="s">
        <v>45</v>
      </c>
      <c r="K67">
        <v>1</v>
      </c>
      <c r="M67">
        <v>2</v>
      </c>
      <c r="N67" t="s">
        <v>47</v>
      </c>
      <c r="O67" t="s">
        <v>99</v>
      </c>
      <c r="R67" t="s">
        <v>48</v>
      </c>
      <c r="S67">
        <v>1</v>
      </c>
      <c r="U67">
        <v>1</v>
      </c>
      <c r="V67" t="s">
        <v>147</v>
      </c>
      <c r="Z67" t="s">
        <v>33</v>
      </c>
      <c r="AA67">
        <v>1</v>
      </c>
      <c r="AC67">
        <v>1</v>
      </c>
      <c r="AD67" t="s">
        <v>46</v>
      </c>
      <c r="AH67">
        <v>5</v>
      </c>
      <c r="AI67">
        <v>34</v>
      </c>
      <c r="AJ67">
        <v>30</v>
      </c>
      <c r="AK67">
        <v>2</v>
      </c>
    </row>
    <row r="68" spans="1:37" x14ac:dyDescent="0.25">
      <c r="A68" t="s">
        <v>244</v>
      </c>
      <c r="B68" t="s">
        <v>48</v>
      </c>
      <c r="C68">
        <v>1</v>
      </c>
      <c r="E68">
        <v>2</v>
      </c>
      <c r="F68" t="s">
        <v>49</v>
      </c>
      <c r="G68" t="s">
        <v>71</v>
      </c>
      <c r="H68" t="s">
        <v>51</v>
      </c>
      <c r="I68" t="s">
        <v>52</v>
      </c>
      <c r="J68" t="s">
        <v>43</v>
      </c>
      <c r="K68">
        <v>1</v>
      </c>
      <c r="M68">
        <v>1</v>
      </c>
      <c r="N68" t="s">
        <v>73</v>
      </c>
      <c r="R68" t="s">
        <v>53</v>
      </c>
      <c r="S68">
        <v>2</v>
      </c>
      <c r="T68">
        <v>2</v>
      </c>
      <c r="U68">
        <v>1</v>
      </c>
      <c r="V68" t="s">
        <v>54</v>
      </c>
      <c r="W68" t="s">
        <v>84</v>
      </c>
      <c r="Z68" t="s">
        <v>45</v>
      </c>
      <c r="AA68">
        <v>1</v>
      </c>
      <c r="AC68">
        <v>1</v>
      </c>
      <c r="AD68" t="s">
        <v>47</v>
      </c>
      <c r="AH68">
        <v>7</v>
      </c>
      <c r="AI68">
        <v>57</v>
      </c>
      <c r="AJ68">
        <v>30</v>
      </c>
      <c r="AK68">
        <v>2</v>
      </c>
    </row>
    <row r="69" spans="1:37" x14ac:dyDescent="0.25">
      <c r="A69" t="s">
        <v>245</v>
      </c>
      <c r="B69" t="s">
        <v>48</v>
      </c>
      <c r="C69">
        <v>1</v>
      </c>
      <c r="E69">
        <v>1</v>
      </c>
      <c r="F69" t="s">
        <v>147</v>
      </c>
      <c r="G69" t="s">
        <v>71</v>
      </c>
      <c r="H69" t="s">
        <v>51</v>
      </c>
      <c r="I69" t="s">
        <v>52</v>
      </c>
      <c r="J69" t="s">
        <v>63</v>
      </c>
      <c r="K69">
        <v>1</v>
      </c>
      <c r="M69">
        <v>1</v>
      </c>
      <c r="N69" t="s">
        <v>72</v>
      </c>
      <c r="O69" t="s">
        <v>167</v>
      </c>
      <c r="R69" t="s">
        <v>53</v>
      </c>
      <c r="S69">
        <v>3</v>
      </c>
      <c r="T69">
        <v>1</v>
      </c>
      <c r="U69">
        <v>1</v>
      </c>
      <c r="V69" t="s">
        <v>54</v>
      </c>
      <c r="W69" t="s">
        <v>84</v>
      </c>
      <c r="Z69" t="s">
        <v>45</v>
      </c>
      <c r="AA69">
        <v>1</v>
      </c>
      <c r="AC69">
        <v>1</v>
      </c>
      <c r="AD69" t="s">
        <v>47</v>
      </c>
      <c r="AE69" t="s">
        <v>99</v>
      </c>
      <c r="AF69" t="s">
        <v>115</v>
      </c>
      <c r="AH69">
        <v>9</v>
      </c>
      <c r="AI69">
        <v>37</v>
      </c>
      <c r="AJ69">
        <v>30</v>
      </c>
      <c r="AK69">
        <v>2</v>
      </c>
    </row>
    <row r="70" spans="1:37" x14ac:dyDescent="0.25">
      <c r="A70" t="s">
        <v>246</v>
      </c>
      <c r="B70" t="s">
        <v>53</v>
      </c>
      <c r="C70">
        <v>3</v>
      </c>
      <c r="D70">
        <v>1</v>
      </c>
      <c r="E70">
        <v>1</v>
      </c>
      <c r="F70" t="s">
        <v>54</v>
      </c>
      <c r="G70" t="s">
        <v>84</v>
      </c>
      <c r="H70" t="s">
        <v>122</v>
      </c>
      <c r="J70" t="s">
        <v>45</v>
      </c>
      <c r="K70">
        <v>1</v>
      </c>
      <c r="M70">
        <v>1</v>
      </c>
      <c r="N70" t="s">
        <v>47</v>
      </c>
      <c r="R70" t="s">
        <v>48</v>
      </c>
      <c r="S70">
        <v>1</v>
      </c>
      <c r="U70">
        <v>2</v>
      </c>
      <c r="V70" t="s">
        <v>49</v>
      </c>
      <c r="Z70" t="s">
        <v>38</v>
      </c>
      <c r="AA70">
        <v>2</v>
      </c>
      <c r="AB70">
        <v>1</v>
      </c>
      <c r="AC70">
        <v>1</v>
      </c>
      <c r="AD70" t="s">
        <v>67</v>
      </c>
      <c r="AE70" t="s">
        <v>105</v>
      </c>
      <c r="AH70">
        <v>7</v>
      </c>
      <c r="AI70">
        <v>38</v>
      </c>
      <c r="AJ70">
        <v>30</v>
      </c>
      <c r="AK70">
        <v>2</v>
      </c>
    </row>
    <row r="71" spans="1:37" x14ac:dyDescent="0.25">
      <c r="A71" t="s">
        <v>247</v>
      </c>
      <c r="B71" t="s">
        <v>53</v>
      </c>
      <c r="C71">
        <v>2</v>
      </c>
      <c r="D71">
        <v>1</v>
      </c>
      <c r="E71">
        <v>1</v>
      </c>
      <c r="F71" t="s">
        <v>54</v>
      </c>
      <c r="J71" t="s">
        <v>45</v>
      </c>
      <c r="K71">
        <v>1</v>
      </c>
      <c r="M71">
        <v>1</v>
      </c>
      <c r="N71" t="s">
        <v>47</v>
      </c>
      <c r="R71" t="s">
        <v>33</v>
      </c>
      <c r="S71">
        <v>1</v>
      </c>
      <c r="U71">
        <v>1</v>
      </c>
      <c r="V71" t="s">
        <v>46</v>
      </c>
      <c r="Z71" t="s">
        <v>43</v>
      </c>
      <c r="AA71">
        <v>1</v>
      </c>
      <c r="AC71">
        <v>1</v>
      </c>
      <c r="AD71" t="s">
        <v>73</v>
      </c>
      <c r="AE71" t="s">
        <v>157</v>
      </c>
      <c r="AH71">
        <v>2</v>
      </c>
      <c r="AI71">
        <v>18</v>
      </c>
      <c r="AJ71">
        <v>30</v>
      </c>
      <c r="AK71">
        <v>2</v>
      </c>
    </row>
    <row r="72" spans="1:37" x14ac:dyDescent="0.25">
      <c r="A72" t="s">
        <v>248</v>
      </c>
      <c r="B72" t="s">
        <v>53</v>
      </c>
      <c r="C72">
        <v>2</v>
      </c>
      <c r="D72">
        <v>1</v>
      </c>
      <c r="E72">
        <v>2</v>
      </c>
      <c r="F72" t="s">
        <v>54</v>
      </c>
      <c r="G72" t="s">
        <v>55</v>
      </c>
      <c r="H72" t="s">
        <v>122</v>
      </c>
      <c r="J72" t="s">
        <v>45</v>
      </c>
      <c r="K72">
        <v>1</v>
      </c>
      <c r="M72">
        <v>1</v>
      </c>
      <c r="N72" t="s">
        <v>47</v>
      </c>
      <c r="O72" t="s">
        <v>76</v>
      </c>
      <c r="P72" t="s">
        <v>163</v>
      </c>
      <c r="Q72" t="s">
        <v>101</v>
      </c>
      <c r="R72" t="s">
        <v>33</v>
      </c>
      <c r="S72">
        <v>1</v>
      </c>
      <c r="U72">
        <v>1</v>
      </c>
      <c r="V72" t="s">
        <v>46</v>
      </c>
      <c r="Z72" t="s">
        <v>63</v>
      </c>
      <c r="AA72">
        <v>1</v>
      </c>
      <c r="AC72">
        <v>3</v>
      </c>
      <c r="AD72" t="s">
        <v>72</v>
      </c>
      <c r="AE72" t="s">
        <v>103</v>
      </c>
      <c r="AF72" t="s">
        <v>168</v>
      </c>
      <c r="AG72" t="s">
        <v>172</v>
      </c>
      <c r="AH72">
        <v>12</v>
      </c>
      <c r="AI72">
        <v>48</v>
      </c>
      <c r="AJ72">
        <v>30</v>
      </c>
      <c r="AK72">
        <v>2</v>
      </c>
    </row>
    <row r="73" spans="1:37" x14ac:dyDescent="0.25">
      <c r="A73" t="s">
        <v>249</v>
      </c>
      <c r="B73" t="s">
        <v>53</v>
      </c>
      <c r="C73">
        <v>3</v>
      </c>
      <c r="D73">
        <v>1</v>
      </c>
      <c r="E73">
        <v>1</v>
      </c>
      <c r="F73" t="s">
        <v>54</v>
      </c>
      <c r="G73" t="s">
        <v>84</v>
      </c>
      <c r="J73" t="s">
        <v>45</v>
      </c>
      <c r="K73">
        <v>1</v>
      </c>
      <c r="M73">
        <v>1</v>
      </c>
      <c r="N73" t="s">
        <v>47</v>
      </c>
      <c r="R73" t="s">
        <v>33</v>
      </c>
      <c r="S73">
        <v>1</v>
      </c>
      <c r="U73">
        <v>1</v>
      </c>
      <c r="V73" t="s">
        <v>46</v>
      </c>
      <c r="Z73" t="s">
        <v>38</v>
      </c>
      <c r="AA73">
        <v>1</v>
      </c>
      <c r="AB73">
        <v>1</v>
      </c>
      <c r="AC73">
        <v>1</v>
      </c>
      <c r="AD73" t="s">
        <v>67</v>
      </c>
      <c r="AE73" t="s">
        <v>40</v>
      </c>
      <c r="AH73">
        <v>4</v>
      </c>
      <c r="AI73">
        <v>27</v>
      </c>
      <c r="AJ73">
        <v>30</v>
      </c>
      <c r="AK73">
        <v>2</v>
      </c>
    </row>
    <row r="74" spans="1:37" x14ac:dyDescent="0.25">
      <c r="A74" t="s">
        <v>250</v>
      </c>
      <c r="B74" t="s">
        <v>53</v>
      </c>
      <c r="C74">
        <v>2</v>
      </c>
      <c r="D74">
        <v>1</v>
      </c>
      <c r="E74">
        <v>1</v>
      </c>
      <c r="F74" t="s">
        <v>54</v>
      </c>
      <c r="G74" t="s">
        <v>84</v>
      </c>
      <c r="J74" t="s">
        <v>45</v>
      </c>
      <c r="K74">
        <v>1</v>
      </c>
      <c r="M74">
        <v>1</v>
      </c>
      <c r="N74" t="s">
        <v>47</v>
      </c>
      <c r="R74" t="s">
        <v>43</v>
      </c>
      <c r="S74">
        <v>1</v>
      </c>
      <c r="U74">
        <v>1</v>
      </c>
      <c r="V74" t="s">
        <v>73</v>
      </c>
      <c r="Z74" t="s">
        <v>63</v>
      </c>
      <c r="AA74">
        <v>1</v>
      </c>
      <c r="AC74">
        <v>1</v>
      </c>
      <c r="AD74" t="s">
        <v>72</v>
      </c>
      <c r="AH74">
        <v>2</v>
      </c>
      <c r="AI74">
        <v>29</v>
      </c>
      <c r="AJ74">
        <v>30</v>
      </c>
      <c r="AK74">
        <v>2</v>
      </c>
    </row>
    <row r="75" spans="1:37" x14ac:dyDescent="0.25">
      <c r="A75" t="s">
        <v>251</v>
      </c>
      <c r="B75" t="s">
        <v>43</v>
      </c>
      <c r="C75">
        <v>1</v>
      </c>
      <c r="E75">
        <v>1</v>
      </c>
      <c r="F75" t="s">
        <v>73</v>
      </c>
      <c r="G75" t="s">
        <v>74</v>
      </c>
      <c r="H75" t="s">
        <v>75</v>
      </c>
      <c r="J75" t="s">
        <v>38</v>
      </c>
      <c r="K75">
        <v>1</v>
      </c>
      <c r="L75">
        <v>1</v>
      </c>
      <c r="M75">
        <v>1</v>
      </c>
      <c r="N75" t="s">
        <v>67</v>
      </c>
      <c r="O75" t="s">
        <v>40</v>
      </c>
      <c r="P75" t="s">
        <v>41</v>
      </c>
      <c r="R75" t="s">
        <v>53</v>
      </c>
      <c r="S75">
        <v>2</v>
      </c>
      <c r="T75">
        <v>1</v>
      </c>
      <c r="U75">
        <v>1</v>
      </c>
      <c r="V75" t="s">
        <v>54</v>
      </c>
      <c r="Z75" t="s">
        <v>45</v>
      </c>
      <c r="AA75">
        <v>1</v>
      </c>
      <c r="AC75">
        <v>2</v>
      </c>
      <c r="AD75" t="s">
        <v>47</v>
      </c>
      <c r="AH75">
        <v>6</v>
      </c>
      <c r="AI75">
        <v>35</v>
      </c>
      <c r="AJ75">
        <v>30</v>
      </c>
      <c r="AK75">
        <v>2</v>
      </c>
    </row>
    <row r="76" spans="1:37" x14ac:dyDescent="0.25">
      <c r="A76" t="s">
        <v>256</v>
      </c>
      <c r="B76" t="s">
        <v>53</v>
      </c>
      <c r="C76">
        <v>3</v>
      </c>
      <c r="D76">
        <v>1</v>
      </c>
      <c r="E76">
        <v>2</v>
      </c>
      <c r="F76" t="s">
        <v>54</v>
      </c>
      <c r="G76" t="s">
        <v>84</v>
      </c>
      <c r="H76" t="s">
        <v>135</v>
      </c>
      <c r="J76" t="s">
        <v>45</v>
      </c>
      <c r="K76">
        <v>1</v>
      </c>
      <c r="M76">
        <v>1</v>
      </c>
      <c r="N76" t="s">
        <v>47</v>
      </c>
      <c r="O76" t="s">
        <v>162</v>
      </c>
      <c r="R76" t="s">
        <v>63</v>
      </c>
      <c r="S76">
        <v>1</v>
      </c>
      <c r="U76">
        <v>1</v>
      </c>
      <c r="V76" t="s">
        <v>72</v>
      </c>
      <c r="W76" t="s">
        <v>103</v>
      </c>
      <c r="X76" t="s">
        <v>119</v>
      </c>
      <c r="Z76" t="s">
        <v>38</v>
      </c>
      <c r="AA76">
        <v>2</v>
      </c>
      <c r="AB76">
        <v>1</v>
      </c>
      <c r="AC76">
        <v>2</v>
      </c>
      <c r="AD76" t="s">
        <v>67</v>
      </c>
      <c r="AE76" t="s">
        <v>40</v>
      </c>
      <c r="AH76">
        <v>11</v>
      </c>
      <c r="AI76">
        <v>37</v>
      </c>
      <c r="AJ76">
        <v>30</v>
      </c>
      <c r="AK76">
        <v>2</v>
      </c>
    </row>
    <row r="77" spans="1:37" x14ac:dyDescent="0.25">
      <c r="A77" t="s">
        <v>257</v>
      </c>
      <c r="B77" t="s">
        <v>53</v>
      </c>
      <c r="C77">
        <v>3</v>
      </c>
      <c r="D77">
        <v>1</v>
      </c>
      <c r="E77">
        <v>1</v>
      </c>
      <c r="F77" t="s">
        <v>54</v>
      </c>
      <c r="G77" t="s">
        <v>84</v>
      </c>
      <c r="H77" t="s">
        <v>135</v>
      </c>
      <c r="I77" t="s">
        <v>137</v>
      </c>
      <c r="J77" t="s">
        <v>63</v>
      </c>
      <c r="K77">
        <v>1</v>
      </c>
      <c r="M77">
        <v>1</v>
      </c>
      <c r="N77" t="s">
        <v>72</v>
      </c>
      <c r="O77" t="s">
        <v>167</v>
      </c>
      <c r="R77" t="s">
        <v>56</v>
      </c>
      <c r="S77">
        <v>1</v>
      </c>
      <c r="U77">
        <v>3</v>
      </c>
      <c r="V77" t="s">
        <v>68</v>
      </c>
      <c r="W77" t="s">
        <v>69</v>
      </c>
      <c r="X77" t="s">
        <v>91</v>
      </c>
      <c r="Z77" t="s">
        <v>48</v>
      </c>
      <c r="AA77">
        <v>1</v>
      </c>
      <c r="AC77">
        <v>1</v>
      </c>
      <c r="AD77" t="s">
        <v>49</v>
      </c>
      <c r="AE77" t="s">
        <v>50</v>
      </c>
      <c r="AH77">
        <v>11</v>
      </c>
      <c r="AI77">
        <v>53</v>
      </c>
      <c r="AJ77">
        <v>30</v>
      </c>
      <c r="AK77">
        <v>2</v>
      </c>
    </row>
    <row r="78" spans="1:37" x14ac:dyDescent="0.25">
      <c r="A78" t="s">
        <v>258</v>
      </c>
      <c r="B78" t="s">
        <v>53</v>
      </c>
      <c r="C78">
        <v>3</v>
      </c>
      <c r="D78">
        <v>1</v>
      </c>
      <c r="E78">
        <v>1</v>
      </c>
      <c r="F78" t="s">
        <v>54</v>
      </c>
      <c r="J78" t="s">
        <v>63</v>
      </c>
      <c r="K78">
        <v>1</v>
      </c>
      <c r="M78">
        <v>1</v>
      </c>
      <c r="N78" t="s">
        <v>72</v>
      </c>
      <c r="R78" t="s">
        <v>56</v>
      </c>
      <c r="S78">
        <v>1</v>
      </c>
      <c r="U78">
        <v>1</v>
      </c>
      <c r="V78" t="s">
        <v>68</v>
      </c>
      <c r="Z78" t="s">
        <v>33</v>
      </c>
      <c r="AA78">
        <v>2</v>
      </c>
      <c r="AC78">
        <v>3</v>
      </c>
      <c r="AD78" t="s">
        <v>46</v>
      </c>
      <c r="AE78" t="s">
        <v>66</v>
      </c>
      <c r="AF78" t="s">
        <v>152</v>
      </c>
      <c r="AG78" t="s">
        <v>154</v>
      </c>
      <c r="AH78">
        <v>9</v>
      </c>
      <c r="AI78">
        <v>51</v>
      </c>
      <c r="AJ78">
        <v>30</v>
      </c>
      <c r="AK78">
        <v>2</v>
      </c>
    </row>
    <row r="79" spans="1:37" x14ac:dyDescent="0.25">
      <c r="A79" t="s">
        <v>259</v>
      </c>
      <c r="B79" t="s">
        <v>53</v>
      </c>
      <c r="C79">
        <v>3</v>
      </c>
      <c r="D79">
        <v>1</v>
      </c>
      <c r="E79">
        <v>1</v>
      </c>
      <c r="F79" t="s">
        <v>54</v>
      </c>
      <c r="G79" t="s">
        <v>55</v>
      </c>
      <c r="J79" t="s">
        <v>63</v>
      </c>
      <c r="K79">
        <v>1</v>
      </c>
      <c r="M79">
        <v>1</v>
      </c>
      <c r="N79" t="s">
        <v>72</v>
      </c>
      <c r="R79" t="s">
        <v>56</v>
      </c>
      <c r="S79">
        <v>1</v>
      </c>
      <c r="U79">
        <v>3</v>
      </c>
      <c r="V79" t="s">
        <v>68</v>
      </c>
      <c r="W79" t="s">
        <v>69</v>
      </c>
      <c r="Z79" t="s">
        <v>43</v>
      </c>
      <c r="AA79">
        <v>1</v>
      </c>
      <c r="AC79">
        <v>1</v>
      </c>
      <c r="AD79" t="s">
        <v>73</v>
      </c>
      <c r="AE79" t="s">
        <v>110</v>
      </c>
      <c r="AH79">
        <v>7</v>
      </c>
      <c r="AI79">
        <v>31</v>
      </c>
      <c r="AJ79">
        <v>30</v>
      </c>
      <c r="AK79">
        <v>2</v>
      </c>
    </row>
    <row r="80" spans="1:37" x14ac:dyDescent="0.25">
      <c r="A80" t="s">
        <v>260</v>
      </c>
      <c r="B80" t="s">
        <v>53</v>
      </c>
      <c r="C80">
        <v>2</v>
      </c>
      <c r="D80">
        <v>1</v>
      </c>
      <c r="E80">
        <v>1</v>
      </c>
      <c r="F80" t="s">
        <v>54</v>
      </c>
      <c r="J80" t="s">
        <v>63</v>
      </c>
      <c r="K80">
        <v>1</v>
      </c>
      <c r="M80">
        <v>1</v>
      </c>
      <c r="N80" t="s">
        <v>72</v>
      </c>
      <c r="R80" t="s">
        <v>56</v>
      </c>
      <c r="S80">
        <v>1</v>
      </c>
      <c r="U80">
        <v>2</v>
      </c>
      <c r="V80" t="s">
        <v>68</v>
      </c>
      <c r="Z80" t="s">
        <v>45</v>
      </c>
      <c r="AA80">
        <v>1</v>
      </c>
      <c r="AC80">
        <v>1</v>
      </c>
      <c r="AD80" t="s">
        <v>47</v>
      </c>
      <c r="AH80">
        <v>2</v>
      </c>
      <c r="AI80">
        <v>29</v>
      </c>
      <c r="AJ80">
        <v>30</v>
      </c>
      <c r="AK80">
        <v>2</v>
      </c>
    </row>
    <row r="81" spans="1:37" x14ac:dyDescent="0.25">
      <c r="A81" t="s">
        <v>261</v>
      </c>
      <c r="B81" t="s">
        <v>56</v>
      </c>
      <c r="C81">
        <v>1</v>
      </c>
      <c r="E81">
        <v>1</v>
      </c>
      <c r="F81" t="s">
        <v>68</v>
      </c>
      <c r="G81" t="s">
        <v>69</v>
      </c>
      <c r="J81" t="s">
        <v>38</v>
      </c>
      <c r="K81">
        <v>1</v>
      </c>
      <c r="L81">
        <v>1</v>
      </c>
      <c r="M81">
        <v>2</v>
      </c>
      <c r="N81" t="s">
        <v>67</v>
      </c>
      <c r="O81" t="s">
        <v>40</v>
      </c>
      <c r="P81" t="s">
        <v>41</v>
      </c>
      <c r="Q81" t="s">
        <v>177</v>
      </c>
      <c r="R81" t="s">
        <v>53</v>
      </c>
      <c r="S81">
        <v>2</v>
      </c>
      <c r="T81">
        <v>1</v>
      </c>
      <c r="U81">
        <v>1</v>
      </c>
      <c r="V81" t="s">
        <v>54</v>
      </c>
      <c r="W81" t="s">
        <v>84</v>
      </c>
      <c r="Z81" t="s">
        <v>63</v>
      </c>
      <c r="AA81">
        <v>1</v>
      </c>
      <c r="AC81">
        <v>2</v>
      </c>
      <c r="AD81" t="s">
        <v>72</v>
      </c>
      <c r="AH81">
        <v>8</v>
      </c>
      <c r="AI81">
        <v>31</v>
      </c>
      <c r="AJ81">
        <v>30</v>
      </c>
      <c r="AK81">
        <v>2</v>
      </c>
    </row>
    <row r="82" spans="1:37" x14ac:dyDescent="0.25">
      <c r="A82" t="s">
        <v>262</v>
      </c>
      <c r="B82" t="s">
        <v>53</v>
      </c>
      <c r="C82">
        <v>1</v>
      </c>
      <c r="D82">
        <v>1</v>
      </c>
      <c r="E82">
        <v>1</v>
      </c>
      <c r="F82" t="s">
        <v>54</v>
      </c>
      <c r="G82" t="s">
        <v>55</v>
      </c>
      <c r="H82" t="s">
        <v>108</v>
      </c>
      <c r="I82" t="s">
        <v>109</v>
      </c>
      <c r="J82" t="s">
        <v>63</v>
      </c>
      <c r="K82">
        <v>1</v>
      </c>
      <c r="M82">
        <v>1</v>
      </c>
      <c r="N82" t="s">
        <v>72</v>
      </c>
      <c r="O82" t="s">
        <v>103</v>
      </c>
      <c r="R82" t="s">
        <v>48</v>
      </c>
      <c r="S82">
        <v>1</v>
      </c>
      <c r="U82">
        <v>1</v>
      </c>
      <c r="V82" t="s">
        <v>49</v>
      </c>
      <c r="W82" t="s">
        <v>50</v>
      </c>
      <c r="Z82" t="s">
        <v>33</v>
      </c>
      <c r="AA82">
        <v>1</v>
      </c>
      <c r="AC82">
        <v>1</v>
      </c>
      <c r="AD82" t="s">
        <v>46</v>
      </c>
      <c r="AH82">
        <v>5</v>
      </c>
      <c r="AI82">
        <v>37</v>
      </c>
      <c r="AJ82">
        <v>30</v>
      </c>
      <c r="AK82">
        <v>2</v>
      </c>
    </row>
    <row r="83" spans="1:37" x14ac:dyDescent="0.25">
      <c r="A83" t="s">
        <v>270</v>
      </c>
      <c r="B83" t="s">
        <v>53</v>
      </c>
      <c r="C83">
        <v>2</v>
      </c>
      <c r="D83">
        <v>1</v>
      </c>
      <c r="E83">
        <v>3</v>
      </c>
      <c r="F83" t="s">
        <v>54</v>
      </c>
      <c r="G83" t="s">
        <v>84</v>
      </c>
      <c r="J83" t="s">
        <v>63</v>
      </c>
      <c r="K83">
        <v>1</v>
      </c>
      <c r="M83">
        <v>1</v>
      </c>
      <c r="N83" t="s">
        <v>72</v>
      </c>
      <c r="O83" t="s">
        <v>103</v>
      </c>
      <c r="P83" t="s">
        <v>119</v>
      </c>
      <c r="R83" t="s">
        <v>48</v>
      </c>
      <c r="S83">
        <v>1</v>
      </c>
      <c r="U83">
        <v>1</v>
      </c>
      <c r="V83" t="s">
        <v>49</v>
      </c>
      <c r="Z83" t="s">
        <v>43</v>
      </c>
      <c r="AA83">
        <v>1</v>
      </c>
      <c r="AC83">
        <v>1</v>
      </c>
      <c r="AD83" t="s">
        <v>73</v>
      </c>
      <c r="AE83" t="s">
        <v>74</v>
      </c>
      <c r="AH83">
        <v>7</v>
      </c>
      <c r="AI83">
        <v>39</v>
      </c>
      <c r="AJ83">
        <v>30</v>
      </c>
      <c r="AK83">
        <v>2</v>
      </c>
    </row>
    <row r="84" spans="1:37" x14ac:dyDescent="0.25">
      <c r="A84" t="s">
        <v>271</v>
      </c>
      <c r="B84" t="s">
        <v>53</v>
      </c>
      <c r="C84">
        <v>3</v>
      </c>
      <c r="D84">
        <v>1</v>
      </c>
      <c r="E84">
        <v>1</v>
      </c>
      <c r="F84" t="s">
        <v>54</v>
      </c>
      <c r="G84" t="s">
        <v>84</v>
      </c>
      <c r="J84" t="s">
        <v>63</v>
      </c>
      <c r="K84">
        <v>1</v>
      </c>
      <c r="M84">
        <v>1</v>
      </c>
      <c r="N84" t="s">
        <v>72</v>
      </c>
      <c r="R84" t="s">
        <v>48</v>
      </c>
      <c r="S84">
        <v>1</v>
      </c>
      <c r="U84">
        <v>1</v>
      </c>
      <c r="V84" t="s">
        <v>147</v>
      </c>
      <c r="W84" t="s">
        <v>71</v>
      </c>
      <c r="X84" t="s">
        <v>51</v>
      </c>
      <c r="Z84" t="s">
        <v>45</v>
      </c>
      <c r="AA84">
        <v>1</v>
      </c>
      <c r="AC84">
        <v>1</v>
      </c>
      <c r="AD84" t="s">
        <v>89</v>
      </c>
      <c r="AE84" t="s">
        <v>162</v>
      </c>
      <c r="AF84" t="s">
        <v>100</v>
      </c>
      <c r="AH84">
        <v>7</v>
      </c>
      <c r="AI84">
        <v>35</v>
      </c>
      <c r="AJ84">
        <v>30</v>
      </c>
      <c r="AK84">
        <v>2</v>
      </c>
    </row>
    <row r="85" spans="1:37" x14ac:dyDescent="0.25">
      <c r="A85" t="s">
        <v>272</v>
      </c>
      <c r="B85" t="s">
        <v>48</v>
      </c>
      <c r="C85">
        <v>1</v>
      </c>
      <c r="E85">
        <v>1</v>
      </c>
      <c r="F85" t="s">
        <v>49</v>
      </c>
      <c r="G85" t="s">
        <v>50</v>
      </c>
      <c r="H85" t="s">
        <v>51</v>
      </c>
      <c r="J85" t="s">
        <v>38</v>
      </c>
      <c r="K85">
        <v>1</v>
      </c>
      <c r="L85">
        <v>1</v>
      </c>
      <c r="M85">
        <v>2</v>
      </c>
      <c r="N85" t="s">
        <v>67</v>
      </c>
      <c r="O85" t="s">
        <v>105</v>
      </c>
      <c r="P85" t="s">
        <v>175</v>
      </c>
      <c r="Q85" t="s">
        <v>177</v>
      </c>
      <c r="R85" t="s">
        <v>53</v>
      </c>
      <c r="S85">
        <v>2</v>
      </c>
      <c r="T85">
        <v>1</v>
      </c>
      <c r="U85">
        <v>1</v>
      </c>
      <c r="V85" t="s">
        <v>54</v>
      </c>
      <c r="Z85" t="s">
        <v>63</v>
      </c>
      <c r="AA85">
        <v>1</v>
      </c>
      <c r="AC85">
        <v>1</v>
      </c>
      <c r="AD85" t="s">
        <v>72</v>
      </c>
      <c r="AE85" t="s">
        <v>167</v>
      </c>
      <c r="AH85">
        <v>8</v>
      </c>
      <c r="AI85">
        <v>49</v>
      </c>
      <c r="AJ85">
        <v>30</v>
      </c>
      <c r="AK85">
        <v>2</v>
      </c>
    </row>
    <row r="86" spans="1:37" x14ac:dyDescent="0.25">
      <c r="A86" t="s">
        <v>273</v>
      </c>
      <c r="B86" t="s">
        <v>33</v>
      </c>
      <c r="C86">
        <v>1</v>
      </c>
      <c r="E86">
        <v>1</v>
      </c>
      <c r="F86" t="s">
        <v>46</v>
      </c>
      <c r="G86" t="s">
        <v>35</v>
      </c>
      <c r="J86" t="s">
        <v>43</v>
      </c>
      <c r="K86">
        <v>1</v>
      </c>
      <c r="M86">
        <v>1</v>
      </c>
      <c r="N86" t="s">
        <v>73</v>
      </c>
      <c r="R86" t="s">
        <v>53</v>
      </c>
      <c r="S86">
        <v>2</v>
      </c>
      <c r="T86">
        <v>1</v>
      </c>
      <c r="U86">
        <v>1</v>
      </c>
      <c r="V86" t="s">
        <v>54</v>
      </c>
      <c r="Z86" t="s">
        <v>63</v>
      </c>
      <c r="AA86">
        <v>1</v>
      </c>
      <c r="AC86">
        <v>1</v>
      </c>
      <c r="AD86" t="s">
        <v>72</v>
      </c>
      <c r="AH86">
        <v>2</v>
      </c>
      <c r="AI86">
        <v>25</v>
      </c>
      <c r="AJ86">
        <v>30</v>
      </c>
      <c r="AK86">
        <v>2</v>
      </c>
    </row>
    <row r="87" spans="1:37" x14ac:dyDescent="0.25">
      <c r="A87" t="s">
        <v>274</v>
      </c>
      <c r="B87" t="s">
        <v>33</v>
      </c>
      <c r="C87">
        <v>1</v>
      </c>
      <c r="E87">
        <v>3</v>
      </c>
      <c r="F87" t="s">
        <v>46</v>
      </c>
      <c r="G87" t="s">
        <v>35</v>
      </c>
      <c r="J87" t="s">
        <v>45</v>
      </c>
      <c r="K87">
        <v>1</v>
      </c>
      <c r="M87">
        <v>1</v>
      </c>
      <c r="N87" t="s">
        <v>47</v>
      </c>
      <c r="O87" t="s">
        <v>162</v>
      </c>
      <c r="P87" t="s">
        <v>115</v>
      </c>
      <c r="R87" t="s">
        <v>53</v>
      </c>
      <c r="S87">
        <v>2</v>
      </c>
      <c r="T87">
        <v>1</v>
      </c>
      <c r="U87">
        <v>2</v>
      </c>
      <c r="V87" t="s">
        <v>54</v>
      </c>
      <c r="Z87" t="s">
        <v>63</v>
      </c>
      <c r="AA87">
        <v>1</v>
      </c>
      <c r="AC87">
        <v>2</v>
      </c>
      <c r="AD87" t="s">
        <v>72</v>
      </c>
      <c r="AE87" t="s">
        <v>95</v>
      </c>
      <c r="AH87">
        <v>9</v>
      </c>
      <c r="AI87">
        <v>39</v>
      </c>
      <c r="AJ87">
        <v>30</v>
      </c>
      <c r="AK87">
        <v>2</v>
      </c>
    </row>
    <row r="88" spans="1:37" x14ac:dyDescent="0.25">
      <c r="A88" t="s">
        <v>275</v>
      </c>
      <c r="B88" t="s">
        <v>53</v>
      </c>
      <c r="C88">
        <v>2</v>
      </c>
      <c r="D88">
        <v>1</v>
      </c>
      <c r="E88">
        <v>1</v>
      </c>
      <c r="F88" t="s">
        <v>54</v>
      </c>
      <c r="G88" t="s">
        <v>55</v>
      </c>
      <c r="J88" t="s">
        <v>63</v>
      </c>
      <c r="K88">
        <v>1</v>
      </c>
      <c r="M88">
        <v>1</v>
      </c>
      <c r="N88" t="s">
        <v>72</v>
      </c>
      <c r="R88" t="s">
        <v>33</v>
      </c>
      <c r="S88">
        <v>1</v>
      </c>
      <c r="U88">
        <v>1</v>
      </c>
      <c r="V88" t="s">
        <v>46</v>
      </c>
      <c r="Z88" t="s">
        <v>38</v>
      </c>
      <c r="AA88">
        <v>2</v>
      </c>
      <c r="AB88">
        <v>1</v>
      </c>
      <c r="AC88">
        <v>1</v>
      </c>
      <c r="AD88" t="s">
        <v>67</v>
      </c>
      <c r="AH88">
        <v>3</v>
      </c>
      <c r="AI88">
        <v>37</v>
      </c>
      <c r="AJ88">
        <v>30</v>
      </c>
      <c r="AK88">
        <v>2</v>
      </c>
    </row>
    <row r="89" spans="1:37" x14ac:dyDescent="0.25">
      <c r="A89" t="s">
        <v>276</v>
      </c>
      <c r="B89" t="s">
        <v>53</v>
      </c>
      <c r="C89">
        <v>1</v>
      </c>
      <c r="D89">
        <v>1</v>
      </c>
      <c r="E89">
        <v>1</v>
      </c>
      <c r="F89" t="s">
        <v>54</v>
      </c>
      <c r="J89" t="s">
        <v>63</v>
      </c>
      <c r="K89">
        <v>1</v>
      </c>
      <c r="M89">
        <v>1</v>
      </c>
      <c r="N89" t="s">
        <v>72</v>
      </c>
      <c r="R89" t="s">
        <v>43</v>
      </c>
      <c r="S89">
        <v>1</v>
      </c>
      <c r="U89">
        <v>1</v>
      </c>
      <c r="V89" t="s">
        <v>73</v>
      </c>
      <c r="W89" t="s">
        <v>74</v>
      </c>
      <c r="Z89" t="s">
        <v>45</v>
      </c>
      <c r="AA89">
        <v>1</v>
      </c>
      <c r="AC89">
        <v>2</v>
      </c>
      <c r="AD89" t="s">
        <v>47</v>
      </c>
      <c r="AE89" t="s">
        <v>76</v>
      </c>
      <c r="AF89" t="s">
        <v>115</v>
      </c>
      <c r="AH89">
        <v>4</v>
      </c>
      <c r="AI89">
        <v>31</v>
      </c>
      <c r="AJ89">
        <v>30</v>
      </c>
      <c r="AK89">
        <v>2</v>
      </c>
    </row>
    <row r="90" spans="1:37" x14ac:dyDescent="0.25">
      <c r="A90" t="s">
        <v>277</v>
      </c>
      <c r="B90" t="s">
        <v>53</v>
      </c>
      <c r="C90">
        <v>2</v>
      </c>
      <c r="D90">
        <v>1</v>
      </c>
      <c r="E90">
        <v>3</v>
      </c>
      <c r="F90" t="s">
        <v>54</v>
      </c>
      <c r="J90" t="s">
        <v>63</v>
      </c>
      <c r="K90">
        <v>1</v>
      </c>
      <c r="M90">
        <v>1</v>
      </c>
      <c r="N90" t="s">
        <v>72</v>
      </c>
      <c r="R90" t="s">
        <v>43</v>
      </c>
      <c r="S90">
        <v>1</v>
      </c>
      <c r="U90">
        <v>1</v>
      </c>
      <c r="V90" t="s">
        <v>73</v>
      </c>
      <c r="W90" t="s">
        <v>74</v>
      </c>
      <c r="X90" t="s">
        <v>75</v>
      </c>
      <c r="Y90" t="s">
        <v>112</v>
      </c>
      <c r="Z90" t="s">
        <v>38</v>
      </c>
      <c r="AA90">
        <v>2</v>
      </c>
      <c r="AB90">
        <v>1</v>
      </c>
      <c r="AC90">
        <v>1</v>
      </c>
      <c r="AD90" t="s">
        <v>67</v>
      </c>
      <c r="AE90" t="s">
        <v>105</v>
      </c>
      <c r="AH90">
        <v>8</v>
      </c>
      <c r="AI90">
        <v>36</v>
      </c>
      <c r="AJ90">
        <v>30</v>
      </c>
      <c r="AK90">
        <v>2</v>
      </c>
    </row>
    <row r="91" spans="1:37" x14ac:dyDescent="0.25">
      <c r="A91" t="s">
        <v>278</v>
      </c>
      <c r="B91" t="s">
        <v>45</v>
      </c>
      <c r="C91">
        <v>1</v>
      </c>
      <c r="E91">
        <v>1</v>
      </c>
      <c r="F91" t="s">
        <v>47</v>
      </c>
      <c r="J91" t="s">
        <v>38</v>
      </c>
      <c r="K91">
        <v>3</v>
      </c>
      <c r="L91">
        <v>2</v>
      </c>
      <c r="M91">
        <v>1</v>
      </c>
      <c r="N91" t="s">
        <v>67</v>
      </c>
      <c r="O91" t="s">
        <v>40</v>
      </c>
      <c r="P91" t="s">
        <v>175</v>
      </c>
      <c r="R91" t="s">
        <v>53</v>
      </c>
      <c r="S91">
        <v>1</v>
      </c>
      <c r="T91">
        <v>1</v>
      </c>
      <c r="U91">
        <v>1</v>
      </c>
      <c r="V91" t="s">
        <v>54</v>
      </c>
      <c r="W91" t="s">
        <v>55</v>
      </c>
      <c r="Z91" t="s">
        <v>63</v>
      </c>
      <c r="AA91">
        <v>1</v>
      </c>
      <c r="AC91">
        <v>1</v>
      </c>
      <c r="AD91" t="s">
        <v>72</v>
      </c>
      <c r="AE91" t="s">
        <v>95</v>
      </c>
      <c r="AH91">
        <v>7</v>
      </c>
      <c r="AI91">
        <v>31</v>
      </c>
      <c r="AJ91">
        <v>30</v>
      </c>
      <c r="AK91">
        <v>2</v>
      </c>
    </row>
    <row r="92" spans="1:37" x14ac:dyDescent="0.25">
      <c r="A92" t="s">
        <v>279</v>
      </c>
      <c r="B92" t="s">
        <v>53</v>
      </c>
      <c r="C92">
        <v>2</v>
      </c>
      <c r="D92">
        <v>1</v>
      </c>
      <c r="E92">
        <v>1</v>
      </c>
      <c r="F92" t="s">
        <v>54</v>
      </c>
      <c r="J92" t="s">
        <v>38</v>
      </c>
      <c r="K92">
        <v>2</v>
      </c>
      <c r="L92">
        <v>1</v>
      </c>
      <c r="M92">
        <v>2</v>
      </c>
      <c r="N92" t="s">
        <v>67</v>
      </c>
      <c r="O92" t="s">
        <v>105</v>
      </c>
      <c r="P92" t="s">
        <v>41</v>
      </c>
      <c r="R92" t="s">
        <v>56</v>
      </c>
      <c r="S92">
        <v>1</v>
      </c>
      <c r="U92">
        <v>2</v>
      </c>
      <c r="V92" t="s">
        <v>68</v>
      </c>
      <c r="W92" t="s">
        <v>69</v>
      </c>
      <c r="X92" t="s">
        <v>91</v>
      </c>
      <c r="Z92" t="s">
        <v>48</v>
      </c>
      <c r="AA92">
        <v>1</v>
      </c>
      <c r="AC92">
        <v>1</v>
      </c>
      <c r="AD92" t="s">
        <v>49</v>
      </c>
      <c r="AE92" t="s">
        <v>71</v>
      </c>
      <c r="AH92">
        <v>9</v>
      </c>
      <c r="AI92">
        <v>42</v>
      </c>
      <c r="AJ92">
        <v>30</v>
      </c>
      <c r="AK92">
        <v>2</v>
      </c>
    </row>
    <row r="93" spans="1:37" x14ac:dyDescent="0.25">
      <c r="A93" t="s">
        <v>280</v>
      </c>
      <c r="B93" t="s">
        <v>53</v>
      </c>
      <c r="C93">
        <v>3</v>
      </c>
      <c r="D93">
        <v>1</v>
      </c>
      <c r="E93">
        <v>1</v>
      </c>
      <c r="F93" t="s">
        <v>54</v>
      </c>
      <c r="J93" t="s">
        <v>38</v>
      </c>
      <c r="K93">
        <v>1</v>
      </c>
      <c r="L93">
        <v>1</v>
      </c>
      <c r="M93">
        <v>1</v>
      </c>
      <c r="N93" t="s">
        <v>67</v>
      </c>
      <c r="R93" t="s">
        <v>56</v>
      </c>
      <c r="S93">
        <v>1</v>
      </c>
      <c r="U93">
        <v>2</v>
      </c>
      <c r="V93" t="s">
        <v>68</v>
      </c>
      <c r="Z93" t="s">
        <v>33</v>
      </c>
      <c r="AA93">
        <v>1</v>
      </c>
      <c r="AC93">
        <v>1</v>
      </c>
      <c r="AD93" t="s">
        <v>65</v>
      </c>
      <c r="AE93" t="s">
        <v>35</v>
      </c>
      <c r="AH93">
        <v>4</v>
      </c>
      <c r="AI93">
        <v>37</v>
      </c>
      <c r="AJ93">
        <v>30</v>
      </c>
      <c r="AK93">
        <v>2</v>
      </c>
    </row>
    <row r="94" spans="1:37" x14ac:dyDescent="0.25">
      <c r="A94" t="s">
        <v>281</v>
      </c>
      <c r="B94" t="s">
        <v>53</v>
      </c>
      <c r="C94">
        <v>2</v>
      </c>
      <c r="D94">
        <v>1</v>
      </c>
      <c r="E94">
        <v>1</v>
      </c>
      <c r="F94" t="s">
        <v>54</v>
      </c>
      <c r="J94" t="s">
        <v>38</v>
      </c>
      <c r="K94">
        <v>2</v>
      </c>
      <c r="L94">
        <v>1</v>
      </c>
      <c r="M94">
        <v>1</v>
      </c>
      <c r="N94" t="s">
        <v>67</v>
      </c>
      <c r="O94" t="s">
        <v>105</v>
      </c>
      <c r="R94" t="s">
        <v>56</v>
      </c>
      <c r="S94">
        <v>1</v>
      </c>
      <c r="U94">
        <v>1</v>
      </c>
      <c r="V94" t="s">
        <v>68</v>
      </c>
      <c r="W94" t="s">
        <v>143</v>
      </c>
      <c r="Z94" t="s">
        <v>43</v>
      </c>
      <c r="AA94">
        <v>1</v>
      </c>
      <c r="AC94">
        <v>2</v>
      </c>
      <c r="AD94" t="s">
        <v>73</v>
      </c>
      <c r="AE94" t="s">
        <v>74</v>
      </c>
      <c r="AH94">
        <v>6</v>
      </c>
      <c r="AI94">
        <v>31</v>
      </c>
      <c r="AJ94">
        <v>30</v>
      </c>
      <c r="AK94">
        <v>2</v>
      </c>
    </row>
    <row r="95" spans="1:37" x14ac:dyDescent="0.25">
      <c r="A95" t="s">
        <v>282</v>
      </c>
      <c r="B95" t="s">
        <v>53</v>
      </c>
      <c r="C95">
        <v>2</v>
      </c>
      <c r="D95">
        <v>1</v>
      </c>
      <c r="E95">
        <v>1</v>
      </c>
      <c r="F95" t="s">
        <v>54</v>
      </c>
      <c r="G95" t="s">
        <v>84</v>
      </c>
      <c r="H95" t="s">
        <v>135</v>
      </c>
      <c r="J95" t="s">
        <v>38</v>
      </c>
      <c r="K95">
        <v>1</v>
      </c>
      <c r="L95">
        <v>1</v>
      </c>
      <c r="M95">
        <v>1</v>
      </c>
      <c r="N95" t="s">
        <v>67</v>
      </c>
      <c r="O95" t="s">
        <v>40</v>
      </c>
      <c r="R95" t="s">
        <v>56</v>
      </c>
      <c r="S95">
        <v>1</v>
      </c>
      <c r="U95">
        <v>1</v>
      </c>
      <c r="V95" t="s">
        <v>141</v>
      </c>
      <c r="W95" t="s">
        <v>69</v>
      </c>
      <c r="X95" t="s">
        <v>91</v>
      </c>
      <c r="Z95" t="s">
        <v>45</v>
      </c>
      <c r="AA95">
        <v>1</v>
      </c>
      <c r="AC95">
        <v>1</v>
      </c>
      <c r="AD95" t="s">
        <v>47</v>
      </c>
      <c r="AH95">
        <v>6</v>
      </c>
      <c r="AI95">
        <v>26</v>
      </c>
      <c r="AJ95">
        <v>30</v>
      </c>
      <c r="AK95">
        <v>2</v>
      </c>
    </row>
    <row r="96" spans="1:37" x14ac:dyDescent="0.25">
      <c r="A96" t="s">
        <v>283</v>
      </c>
      <c r="B96" t="s">
        <v>53</v>
      </c>
      <c r="C96">
        <v>2</v>
      </c>
      <c r="D96">
        <v>1</v>
      </c>
      <c r="E96">
        <v>1</v>
      </c>
      <c r="F96" t="s">
        <v>54</v>
      </c>
      <c r="G96" t="s">
        <v>84</v>
      </c>
      <c r="J96" t="s">
        <v>38</v>
      </c>
      <c r="K96">
        <v>2</v>
      </c>
      <c r="L96">
        <v>1</v>
      </c>
      <c r="M96">
        <v>1</v>
      </c>
      <c r="N96" t="s">
        <v>67</v>
      </c>
      <c r="R96" t="s">
        <v>56</v>
      </c>
      <c r="S96">
        <v>1</v>
      </c>
      <c r="U96">
        <v>2</v>
      </c>
      <c r="V96" t="s">
        <v>68</v>
      </c>
      <c r="W96" t="s">
        <v>69</v>
      </c>
      <c r="Z96" t="s">
        <v>63</v>
      </c>
      <c r="AA96">
        <v>1</v>
      </c>
      <c r="AC96">
        <v>1</v>
      </c>
      <c r="AD96" t="s">
        <v>72</v>
      </c>
      <c r="AH96">
        <v>5</v>
      </c>
      <c r="AI96">
        <v>41</v>
      </c>
      <c r="AJ96">
        <v>30</v>
      </c>
      <c r="AK96">
        <v>2</v>
      </c>
    </row>
    <row r="97" spans="1:37" x14ac:dyDescent="0.25">
      <c r="A97" t="s">
        <v>284</v>
      </c>
      <c r="B97" t="s">
        <v>48</v>
      </c>
      <c r="C97">
        <v>1</v>
      </c>
      <c r="E97">
        <v>1</v>
      </c>
      <c r="F97" t="s">
        <v>49</v>
      </c>
      <c r="G97" t="s">
        <v>71</v>
      </c>
      <c r="H97" t="s">
        <v>51</v>
      </c>
      <c r="J97" t="s">
        <v>33</v>
      </c>
      <c r="K97">
        <v>1</v>
      </c>
      <c r="M97">
        <v>1</v>
      </c>
      <c r="N97" t="s">
        <v>65</v>
      </c>
      <c r="O97" t="s">
        <v>66</v>
      </c>
      <c r="P97" t="s">
        <v>36</v>
      </c>
      <c r="R97" t="s">
        <v>53</v>
      </c>
      <c r="S97">
        <v>2</v>
      </c>
      <c r="T97">
        <v>1</v>
      </c>
      <c r="U97">
        <v>1</v>
      </c>
      <c r="V97" t="s">
        <v>54</v>
      </c>
      <c r="Z97" t="s">
        <v>38</v>
      </c>
      <c r="AA97">
        <v>1</v>
      </c>
      <c r="AB97">
        <v>1</v>
      </c>
      <c r="AC97">
        <v>1</v>
      </c>
      <c r="AD97" t="s">
        <v>67</v>
      </c>
      <c r="AH97">
        <v>5</v>
      </c>
      <c r="AI97">
        <v>35</v>
      </c>
      <c r="AJ97">
        <v>30</v>
      </c>
      <c r="AK97">
        <v>2</v>
      </c>
    </row>
    <row r="98" spans="1:37" x14ac:dyDescent="0.25">
      <c r="A98" t="s">
        <v>285</v>
      </c>
      <c r="B98" t="s">
        <v>53</v>
      </c>
      <c r="C98">
        <v>3</v>
      </c>
      <c r="D98">
        <v>2</v>
      </c>
      <c r="E98">
        <v>1</v>
      </c>
      <c r="F98" t="s">
        <v>54</v>
      </c>
      <c r="G98" t="s">
        <v>55</v>
      </c>
      <c r="H98" t="s">
        <v>108</v>
      </c>
      <c r="J98" t="s">
        <v>38</v>
      </c>
      <c r="K98">
        <v>1</v>
      </c>
      <c r="L98">
        <v>1</v>
      </c>
      <c r="M98">
        <v>1</v>
      </c>
      <c r="N98" t="s">
        <v>67</v>
      </c>
      <c r="R98" t="s">
        <v>48</v>
      </c>
      <c r="S98">
        <v>1</v>
      </c>
      <c r="U98">
        <v>1</v>
      </c>
      <c r="V98" t="s">
        <v>49</v>
      </c>
      <c r="W98" t="s">
        <v>71</v>
      </c>
      <c r="X98" t="s">
        <v>148</v>
      </c>
      <c r="Y98" t="s">
        <v>52</v>
      </c>
      <c r="Z98" t="s">
        <v>43</v>
      </c>
      <c r="AA98">
        <v>3</v>
      </c>
      <c r="AC98">
        <v>3</v>
      </c>
      <c r="AD98" t="s">
        <v>73</v>
      </c>
      <c r="AE98" t="s">
        <v>74</v>
      </c>
      <c r="AF98" t="s">
        <v>75</v>
      </c>
      <c r="AG98" t="s">
        <v>112</v>
      </c>
      <c r="AH98">
        <v>16</v>
      </c>
      <c r="AI98">
        <v>57</v>
      </c>
      <c r="AJ98">
        <v>30</v>
      </c>
      <c r="AK98">
        <v>2</v>
      </c>
    </row>
    <row r="99" spans="1:37" x14ac:dyDescent="0.25">
      <c r="A99" t="s">
        <v>286</v>
      </c>
      <c r="B99" t="s">
        <v>53</v>
      </c>
      <c r="C99">
        <v>2</v>
      </c>
      <c r="D99">
        <v>1</v>
      </c>
      <c r="E99">
        <v>1</v>
      </c>
      <c r="F99" t="s">
        <v>54</v>
      </c>
      <c r="J99" t="s">
        <v>38</v>
      </c>
      <c r="K99">
        <v>1</v>
      </c>
      <c r="L99">
        <v>1</v>
      </c>
      <c r="M99">
        <v>1</v>
      </c>
      <c r="N99" t="s">
        <v>173</v>
      </c>
      <c r="R99" t="s">
        <v>48</v>
      </c>
      <c r="S99">
        <v>1</v>
      </c>
      <c r="U99">
        <v>1</v>
      </c>
      <c r="V99" t="s">
        <v>49</v>
      </c>
      <c r="Z99" t="s">
        <v>45</v>
      </c>
      <c r="AA99">
        <v>1</v>
      </c>
      <c r="AC99">
        <v>3</v>
      </c>
      <c r="AD99" t="s">
        <v>47</v>
      </c>
      <c r="AH99">
        <v>3</v>
      </c>
      <c r="AI99">
        <v>32</v>
      </c>
      <c r="AJ99">
        <v>30</v>
      </c>
      <c r="AK99">
        <v>2</v>
      </c>
    </row>
    <row r="100" spans="1:37" x14ac:dyDescent="0.25">
      <c r="A100" t="s">
        <v>287</v>
      </c>
      <c r="B100" t="s">
        <v>53</v>
      </c>
      <c r="C100">
        <v>3</v>
      </c>
      <c r="D100">
        <v>1</v>
      </c>
      <c r="E100">
        <v>1</v>
      </c>
      <c r="F100" t="s">
        <v>54</v>
      </c>
      <c r="G100" t="s">
        <v>84</v>
      </c>
      <c r="H100" t="s">
        <v>135</v>
      </c>
      <c r="J100" t="s">
        <v>38</v>
      </c>
      <c r="K100">
        <v>2</v>
      </c>
      <c r="L100">
        <v>1</v>
      </c>
      <c r="M100">
        <v>1</v>
      </c>
      <c r="N100" t="s">
        <v>67</v>
      </c>
      <c r="R100" t="s">
        <v>48</v>
      </c>
      <c r="S100">
        <v>1</v>
      </c>
      <c r="U100">
        <v>1</v>
      </c>
      <c r="V100" t="s">
        <v>49</v>
      </c>
      <c r="W100" t="s">
        <v>71</v>
      </c>
      <c r="X100" t="s">
        <v>51</v>
      </c>
      <c r="Y100" t="s">
        <v>52</v>
      </c>
      <c r="Z100" t="s">
        <v>63</v>
      </c>
      <c r="AA100">
        <v>1</v>
      </c>
      <c r="AC100">
        <v>1</v>
      </c>
      <c r="AD100" t="s">
        <v>72</v>
      </c>
      <c r="AH100">
        <v>8</v>
      </c>
      <c r="AI100">
        <v>41</v>
      </c>
      <c r="AJ100">
        <v>30</v>
      </c>
      <c r="AK100">
        <v>2</v>
      </c>
    </row>
    <row r="101" spans="1:37" x14ac:dyDescent="0.25">
      <c r="A101" t="s">
        <v>288</v>
      </c>
      <c r="B101" t="s">
        <v>53</v>
      </c>
      <c r="C101">
        <v>2</v>
      </c>
      <c r="D101">
        <v>2</v>
      </c>
      <c r="E101">
        <v>2</v>
      </c>
      <c r="F101" t="s">
        <v>54</v>
      </c>
      <c r="J101" t="s">
        <v>38</v>
      </c>
      <c r="K101">
        <v>1</v>
      </c>
      <c r="L101">
        <v>1</v>
      </c>
      <c r="M101">
        <v>2</v>
      </c>
      <c r="N101" t="s">
        <v>67</v>
      </c>
      <c r="R101" t="s">
        <v>33</v>
      </c>
      <c r="S101">
        <v>1</v>
      </c>
      <c r="U101">
        <v>2</v>
      </c>
      <c r="V101" t="s">
        <v>65</v>
      </c>
      <c r="W101" t="s">
        <v>35</v>
      </c>
      <c r="X101" t="s">
        <v>36</v>
      </c>
      <c r="Z101" t="s">
        <v>43</v>
      </c>
      <c r="AA101">
        <v>1</v>
      </c>
      <c r="AC101">
        <v>1</v>
      </c>
      <c r="AD101" t="s">
        <v>73</v>
      </c>
      <c r="AH101">
        <v>7</v>
      </c>
      <c r="AI101">
        <v>25</v>
      </c>
      <c r="AJ101">
        <v>30</v>
      </c>
      <c r="AK101">
        <v>2</v>
      </c>
    </row>
    <row r="102" spans="1:37" x14ac:dyDescent="0.25">
      <c r="A102" t="s">
        <v>289</v>
      </c>
      <c r="B102" t="s">
        <v>53</v>
      </c>
      <c r="C102">
        <v>3</v>
      </c>
      <c r="D102">
        <v>1</v>
      </c>
      <c r="E102">
        <v>1</v>
      </c>
      <c r="F102" t="s">
        <v>54</v>
      </c>
      <c r="G102" t="s">
        <v>84</v>
      </c>
      <c r="J102" t="s">
        <v>38</v>
      </c>
      <c r="K102">
        <v>1</v>
      </c>
      <c r="L102">
        <v>1</v>
      </c>
      <c r="M102">
        <v>1</v>
      </c>
      <c r="N102" t="s">
        <v>173</v>
      </c>
      <c r="R102" t="s">
        <v>33</v>
      </c>
      <c r="S102">
        <v>1</v>
      </c>
      <c r="U102">
        <v>1</v>
      </c>
      <c r="V102" t="s">
        <v>65</v>
      </c>
      <c r="Z102" t="s">
        <v>45</v>
      </c>
      <c r="AA102">
        <v>1</v>
      </c>
      <c r="AC102">
        <v>1</v>
      </c>
      <c r="AD102" t="s">
        <v>47</v>
      </c>
      <c r="AE102" t="s">
        <v>76</v>
      </c>
      <c r="AH102">
        <v>4</v>
      </c>
      <c r="AI102">
        <v>21</v>
      </c>
      <c r="AJ102">
        <v>30</v>
      </c>
      <c r="AK102">
        <v>2</v>
      </c>
    </row>
    <row r="103" spans="1:37" x14ac:dyDescent="0.25">
      <c r="A103" t="s">
        <v>290</v>
      </c>
      <c r="B103" t="s">
        <v>53</v>
      </c>
      <c r="C103">
        <v>2</v>
      </c>
      <c r="D103">
        <v>1</v>
      </c>
      <c r="E103">
        <v>1</v>
      </c>
      <c r="F103" t="s">
        <v>54</v>
      </c>
      <c r="J103" t="s">
        <v>38</v>
      </c>
      <c r="K103">
        <v>1</v>
      </c>
      <c r="L103">
        <v>1</v>
      </c>
      <c r="M103">
        <v>1</v>
      </c>
      <c r="N103" t="s">
        <v>67</v>
      </c>
      <c r="R103" t="s">
        <v>33</v>
      </c>
      <c r="S103">
        <v>1</v>
      </c>
      <c r="U103">
        <v>1</v>
      </c>
      <c r="V103" t="s">
        <v>65</v>
      </c>
      <c r="W103" t="s">
        <v>35</v>
      </c>
      <c r="Z103" t="s">
        <v>63</v>
      </c>
      <c r="AA103">
        <v>1</v>
      </c>
      <c r="AC103">
        <v>1</v>
      </c>
      <c r="AD103" t="s">
        <v>72</v>
      </c>
      <c r="AE103" t="s">
        <v>95</v>
      </c>
      <c r="AF103" t="s">
        <v>169</v>
      </c>
      <c r="AH103">
        <v>4</v>
      </c>
      <c r="AI103">
        <v>21</v>
      </c>
      <c r="AJ103">
        <v>30</v>
      </c>
      <c r="AK103">
        <v>2</v>
      </c>
    </row>
    <row r="104" spans="1:37" x14ac:dyDescent="0.25">
      <c r="A104" t="s">
        <v>291</v>
      </c>
      <c r="B104" t="s">
        <v>53</v>
      </c>
      <c r="C104">
        <v>1</v>
      </c>
      <c r="D104">
        <v>1</v>
      </c>
      <c r="E104">
        <v>1</v>
      </c>
      <c r="F104" t="s">
        <v>54</v>
      </c>
      <c r="G104" t="s">
        <v>55</v>
      </c>
      <c r="J104" t="s">
        <v>38</v>
      </c>
      <c r="K104">
        <v>1</v>
      </c>
      <c r="L104">
        <v>1</v>
      </c>
      <c r="M104">
        <v>1</v>
      </c>
      <c r="N104" t="s">
        <v>67</v>
      </c>
      <c r="R104" t="s">
        <v>43</v>
      </c>
      <c r="S104">
        <v>1</v>
      </c>
      <c r="U104">
        <v>1</v>
      </c>
      <c r="V104" t="s">
        <v>73</v>
      </c>
      <c r="W104" t="s">
        <v>74</v>
      </c>
      <c r="Z104" t="s">
        <v>45</v>
      </c>
      <c r="AA104">
        <v>1</v>
      </c>
      <c r="AC104">
        <v>1</v>
      </c>
      <c r="AD104" t="s">
        <v>47</v>
      </c>
      <c r="AH104">
        <v>2</v>
      </c>
      <c r="AI104">
        <v>32</v>
      </c>
      <c r="AJ104">
        <v>30</v>
      </c>
      <c r="AK104">
        <v>2</v>
      </c>
    </row>
    <row r="105" spans="1:37" x14ac:dyDescent="0.25">
      <c r="A105" t="s">
        <v>292</v>
      </c>
      <c r="B105" t="s">
        <v>53</v>
      </c>
      <c r="C105">
        <v>3</v>
      </c>
      <c r="D105">
        <v>1</v>
      </c>
      <c r="E105">
        <v>1</v>
      </c>
      <c r="F105" t="s">
        <v>54</v>
      </c>
      <c r="G105" t="s">
        <v>84</v>
      </c>
      <c r="H105" t="s">
        <v>108</v>
      </c>
      <c r="J105" t="s">
        <v>38</v>
      </c>
      <c r="K105">
        <v>1</v>
      </c>
      <c r="L105">
        <v>1</v>
      </c>
      <c r="M105">
        <v>1</v>
      </c>
      <c r="N105" t="s">
        <v>173</v>
      </c>
      <c r="R105" t="s">
        <v>43</v>
      </c>
      <c r="S105">
        <v>1</v>
      </c>
      <c r="U105">
        <v>3</v>
      </c>
      <c r="V105" t="s">
        <v>73</v>
      </c>
      <c r="W105" t="s">
        <v>74</v>
      </c>
      <c r="X105" t="s">
        <v>111</v>
      </c>
      <c r="Y105" t="s">
        <v>112</v>
      </c>
      <c r="Z105" t="s">
        <v>63</v>
      </c>
      <c r="AA105">
        <v>1</v>
      </c>
      <c r="AC105">
        <v>1</v>
      </c>
      <c r="AD105" t="s">
        <v>72</v>
      </c>
      <c r="AH105">
        <v>9</v>
      </c>
      <c r="AI105">
        <v>59</v>
      </c>
      <c r="AJ105">
        <v>30</v>
      </c>
      <c r="AK105">
        <v>2</v>
      </c>
    </row>
    <row r="106" spans="1:37" x14ac:dyDescent="0.25">
      <c r="A106" t="s">
        <v>293</v>
      </c>
      <c r="B106" t="s">
        <v>53</v>
      </c>
      <c r="C106">
        <v>2</v>
      </c>
      <c r="D106">
        <v>1</v>
      </c>
      <c r="E106">
        <v>1</v>
      </c>
      <c r="F106" t="s">
        <v>54</v>
      </c>
      <c r="G106" t="s">
        <v>55</v>
      </c>
      <c r="J106" t="s">
        <v>38</v>
      </c>
      <c r="K106">
        <v>1</v>
      </c>
      <c r="L106">
        <v>1</v>
      </c>
      <c r="M106">
        <v>1</v>
      </c>
      <c r="N106" t="s">
        <v>67</v>
      </c>
      <c r="R106" t="s">
        <v>45</v>
      </c>
      <c r="S106">
        <v>1</v>
      </c>
      <c r="U106">
        <v>1</v>
      </c>
      <c r="V106" t="s">
        <v>47</v>
      </c>
      <c r="W106" t="s">
        <v>76</v>
      </c>
      <c r="Z106" t="s">
        <v>63</v>
      </c>
      <c r="AA106">
        <v>1</v>
      </c>
      <c r="AC106">
        <v>1</v>
      </c>
      <c r="AD106" t="s">
        <v>72</v>
      </c>
      <c r="AE106" t="s">
        <v>95</v>
      </c>
      <c r="AH106">
        <v>4</v>
      </c>
      <c r="AI106">
        <v>41</v>
      </c>
      <c r="AJ106">
        <v>30</v>
      </c>
      <c r="AK106">
        <v>2</v>
      </c>
    </row>
    <row r="107" spans="1:37" x14ac:dyDescent="0.25">
      <c r="A107" t="s">
        <v>294</v>
      </c>
      <c r="B107" t="s">
        <v>56</v>
      </c>
      <c r="C107">
        <v>1</v>
      </c>
      <c r="E107">
        <v>2</v>
      </c>
      <c r="F107" t="s">
        <v>68</v>
      </c>
      <c r="J107" t="s">
        <v>48</v>
      </c>
      <c r="K107">
        <v>1</v>
      </c>
      <c r="M107">
        <v>1</v>
      </c>
      <c r="N107" t="s">
        <v>49</v>
      </c>
      <c r="R107" t="s">
        <v>33</v>
      </c>
      <c r="S107">
        <v>1</v>
      </c>
      <c r="U107">
        <v>1</v>
      </c>
      <c r="V107" t="s">
        <v>46</v>
      </c>
      <c r="W107" t="s">
        <v>35</v>
      </c>
      <c r="Z107" t="s">
        <v>43</v>
      </c>
      <c r="AA107">
        <v>1</v>
      </c>
      <c r="AC107">
        <v>1</v>
      </c>
      <c r="AD107" t="s">
        <v>73</v>
      </c>
      <c r="AH107">
        <v>2</v>
      </c>
      <c r="AI107">
        <v>22</v>
      </c>
      <c r="AJ107">
        <v>30</v>
      </c>
      <c r="AK107">
        <v>2</v>
      </c>
    </row>
    <row r="108" spans="1:37" x14ac:dyDescent="0.25">
      <c r="A108" t="s">
        <v>295</v>
      </c>
      <c r="B108" t="s">
        <v>56</v>
      </c>
      <c r="C108">
        <v>1</v>
      </c>
      <c r="E108">
        <v>1</v>
      </c>
      <c r="F108" t="s">
        <v>68</v>
      </c>
      <c r="J108" t="s">
        <v>48</v>
      </c>
      <c r="K108">
        <v>1</v>
      </c>
      <c r="M108">
        <v>1</v>
      </c>
      <c r="N108" t="s">
        <v>147</v>
      </c>
      <c r="O108" t="s">
        <v>71</v>
      </c>
      <c r="P108" t="s">
        <v>51</v>
      </c>
      <c r="R108" t="s">
        <v>33</v>
      </c>
      <c r="S108">
        <v>1</v>
      </c>
      <c r="U108">
        <v>1</v>
      </c>
      <c r="V108" t="s">
        <v>46</v>
      </c>
      <c r="W108" t="s">
        <v>35</v>
      </c>
      <c r="Z108" t="s">
        <v>45</v>
      </c>
      <c r="AA108">
        <v>1</v>
      </c>
      <c r="AC108">
        <v>1</v>
      </c>
      <c r="AD108" t="s">
        <v>47</v>
      </c>
      <c r="AE108" t="s">
        <v>99</v>
      </c>
      <c r="AF108" t="s">
        <v>100</v>
      </c>
      <c r="AG108" t="s">
        <v>164</v>
      </c>
      <c r="AH108">
        <v>6</v>
      </c>
      <c r="AI108">
        <v>79</v>
      </c>
      <c r="AJ108">
        <v>30</v>
      </c>
      <c r="AK108">
        <v>2</v>
      </c>
    </row>
    <row r="109" spans="1:37" x14ac:dyDescent="0.25">
      <c r="A109" t="s">
        <v>296</v>
      </c>
      <c r="B109" t="s">
        <v>33</v>
      </c>
      <c r="C109">
        <v>1</v>
      </c>
      <c r="E109">
        <v>1</v>
      </c>
      <c r="F109" t="s">
        <v>46</v>
      </c>
      <c r="J109" t="s">
        <v>63</v>
      </c>
      <c r="K109">
        <v>2</v>
      </c>
      <c r="M109">
        <v>3</v>
      </c>
      <c r="N109" t="s">
        <v>72</v>
      </c>
      <c r="O109" t="s">
        <v>167</v>
      </c>
      <c r="P109" t="s">
        <v>119</v>
      </c>
      <c r="Q109" t="s">
        <v>170</v>
      </c>
      <c r="R109" t="s">
        <v>56</v>
      </c>
      <c r="S109">
        <v>1</v>
      </c>
      <c r="U109">
        <v>1</v>
      </c>
      <c r="V109" t="s">
        <v>68</v>
      </c>
      <c r="W109" t="s">
        <v>142</v>
      </c>
      <c r="Z109" t="s">
        <v>48</v>
      </c>
      <c r="AA109">
        <v>1</v>
      </c>
      <c r="AC109">
        <v>3</v>
      </c>
      <c r="AD109" t="s">
        <v>49</v>
      </c>
      <c r="AE109" t="s">
        <v>71</v>
      </c>
      <c r="AF109" t="s">
        <v>51</v>
      </c>
      <c r="AG109" t="s">
        <v>52</v>
      </c>
      <c r="AH109">
        <v>13</v>
      </c>
      <c r="AI109">
        <v>62</v>
      </c>
      <c r="AJ109">
        <v>30</v>
      </c>
      <c r="AK109">
        <v>2</v>
      </c>
    </row>
    <row r="110" spans="1:37" x14ac:dyDescent="0.25">
      <c r="A110" t="s">
        <v>297</v>
      </c>
      <c r="B110" t="s">
        <v>33</v>
      </c>
      <c r="C110">
        <v>1</v>
      </c>
      <c r="E110">
        <v>1</v>
      </c>
      <c r="F110" t="s">
        <v>46</v>
      </c>
      <c r="G110" t="s">
        <v>35</v>
      </c>
      <c r="J110" t="s">
        <v>38</v>
      </c>
      <c r="K110">
        <v>2</v>
      </c>
      <c r="L110">
        <v>1</v>
      </c>
      <c r="M110">
        <v>1</v>
      </c>
      <c r="N110" t="s">
        <v>67</v>
      </c>
      <c r="R110" t="s">
        <v>56</v>
      </c>
      <c r="S110">
        <v>1</v>
      </c>
      <c r="U110">
        <v>1</v>
      </c>
      <c r="V110" t="s">
        <v>141</v>
      </c>
      <c r="Z110" t="s">
        <v>48</v>
      </c>
      <c r="AA110">
        <v>1</v>
      </c>
      <c r="AC110">
        <v>1</v>
      </c>
      <c r="AD110" t="s">
        <v>49</v>
      </c>
      <c r="AE110" t="s">
        <v>71</v>
      </c>
      <c r="AF110" t="s">
        <v>148</v>
      </c>
      <c r="AG110" t="s">
        <v>52</v>
      </c>
      <c r="AH110">
        <v>5</v>
      </c>
      <c r="AI110">
        <v>25</v>
      </c>
      <c r="AJ110">
        <v>30</v>
      </c>
      <c r="AK110">
        <v>2</v>
      </c>
    </row>
    <row r="111" spans="1:37" x14ac:dyDescent="0.25">
      <c r="A111" t="s">
        <v>298</v>
      </c>
      <c r="B111" t="s">
        <v>56</v>
      </c>
      <c r="C111">
        <v>1</v>
      </c>
      <c r="E111">
        <v>1</v>
      </c>
      <c r="F111" t="s">
        <v>68</v>
      </c>
      <c r="J111" t="s">
        <v>48</v>
      </c>
      <c r="K111">
        <v>1</v>
      </c>
      <c r="M111">
        <v>1</v>
      </c>
      <c r="N111" t="s">
        <v>147</v>
      </c>
      <c r="O111" t="s">
        <v>85</v>
      </c>
      <c r="P111" t="s">
        <v>148</v>
      </c>
      <c r="R111" t="s">
        <v>43</v>
      </c>
      <c r="S111">
        <v>1</v>
      </c>
      <c r="U111">
        <v>1</v>
      </c>
      <c r="V111" t="s">
        <v>73</v>
      </c>
      <c r="W111" t="s">
        <v>74</v>
      </c>
      <c r="Z111" t="s">
        <v>45</v>
      </c>
      <c r="AA111">
        <v>1</v>
      </c>
      <c r="AC111">
        <v>1</v>
      </c>
      <c r="AD111" t="s">
        <v>47</v>
      </c>
      <c r="AE111" t="s">
        <v>76</v>
      </c>
      <c r="AF111" t="s">
        <v>100</v>
      </c>
      <c r="AH111">
        <v>5</v>
      </c>
      <c r="AI111">
        <v>33</v>
      </c>
      <c r="AJ111">
        <v>30</v>
      </c>
      <c r="AK111">
        <v>2</v>
      </c>
    </row>
    <row r="112" spans="1:37" x14ac:dyDescent="0.25">
      <c r="A112" t="s">
        <v>299</v>
      </c>
      <c r="B112" t="s">
        <v>43</v>
      </c>
      <c r="C112">
        <v>1</v>
      </c>
      <c r="E112">
        <v>1</v>
      </c>
      <c r="F112" t="s">
        <v>73</v>
      </c>
      <c r="G112" t="s">
        <v>74</v>
      </c>
      <c r="J112" t="s">
        <v>63</v>
      </c>
      <c r="K112">
        <v>1</v>
      </c>
      <c r="M112">
        <v>1</v>
      </c>
      <c r="N112" t="s">
        <v>72</v>
      </c>
      <c r="R112" t="s">
        <v>56</v>
      </c>
      <c r="S112">
        <v>1</v>
      </c>
      <c r="U112">
        <v>1</v>
      </c>
      <c r="V112" t="s">
        <v>68</v>
      </c>
      <c r="Z112" t="s">
        <v>48</v>
      </c>
      <c r="AA112">
        <v>1</v>
      </c>
      <c r="AC112">
        <v>1</v>
      </c>
      <c r="AD112" t="s">
        <v>49</v>
      </c>
      <c r="AH112">
        <v>1</v>
      </c>
      <c r="AI112">
        <v>22</v>
      </c>
      <c r="AJ112">
        <v>30</v>
      </c>
      <c r="AK112">
        <v>2</v>
      </c>
    </row>
    <row r="113" spans="1:37" x14ac:dyDescent="0.25">
      <c r="A113" t="s">
        <v>300</v>
      </c>
      <c r="B113" t="s">
        <v>43</v>
      </c>
      <c r="C113">
        <v>1</v>
      </c>
      <c r="E113">
        <v>1</v>
      </c>
      <c r="F113" t="s">
        <v>73</v>
      </c>
      <c r="J113" t="s">
        <v>38</v>
      </c>
      <c r="K113">
        <v>3</v>
      </c>
      <c r="L113">
        <v>1</v>
      </c>
      <c r="M113">
        <v>1</v>
      </c>
      <c r="N113" t="s">
        <v>67</v>
      </c>
      <c r="R113" t="s">
        <v>56</v>
      </c>
      <c r="S113">
        <v>1</v>
      </c>
      <c r="U113">
        <v>1</v>
      </c>
      <c r="V113" t="s">
        <v>68</v>
      </c>
      <c r="W113" t="s">
        <v>69</v>
      </c>
      <c r="Z113" t="s">
        <v>48</v>
      </c>
      <c r="AA113">
        <v>1</v>
      </c>
      <c r="AC113">
        <v>1</v>
      </c>
      <c r="AD113" t="s">
        <v>49</v>
      </c>
      <c r="AH113">
        <v>3</v>
      </c>
      <c r="AI113">
        <v>26</v>
      </c>
      <c r="AJ113">
        <v>30</v>
      </c>
      <c r="AK113">
        <v>2</v>
      </c>
    </row>
    <row r="114" spans="1:37" x14ac:dyDescent="0.25">
      <c r="A114" t="s">
        <v>301</v>
      </c>
      <c r="B114" t="s">
        <v>56</v>
      </c>
      <c r="C114">
        <v>1</v>
      </c>
      <c r="E114">
        <v>2</v>
      </c>
      <c r="F114" t="s">
        <v>68</v>
      </c>
      <c r="G114" t="s">
        <v>69</v>
      </c>
      <c r="H114" t="s">
        <v>87</v>
      </c>
      <c r="J114" t="s">
        <v>48</v>
      </c>
      <c r="K114">
        <v>1</v>
      </c>
      <c r="M114">
        <v>1</v>
      </c>
      <c r="N114" t="s">
        <v>49</v>
      </c>
      <c r="O114" t="s">
        <v>71</v>
      </c>
      <c r="P114" t="s">
        <v>51</v>
      </c>
      <c r="R114" t="s">
        <v>45</v>
      </c>
      <c r="S114">
        <v>1</v>
      </c>
      <c r="U114">
        <v>2</v>
      </c>
      <c r="V114" t="s">
        <v>47</v>
      </c>
      <c r="W114" t="s">
        <v>76</v>
      </c>
      <c r="X114" t="s">
        <v>100</v>
      </c>
      <c r="Z114" t="s">
        <v>63</v>
      </c>
      <c r="AA114">
        <v>1</v>
      </c>
      <c r="AC114">
        <v>1</v>
      </c>
      <c r="AD114" t="s">
        <v>72</v>
      </c>
      <c r="AE114" t="s">
        <v>167</v>
      </c>
      <c r="AH114">
        <v>9</v>
      </c>
      <c r="AI114">
        <v>40</v>
      </c>
      <c r="AJ114">
        <v>30</v>
      </c>
      <c r="AK114">
        <v>2</v>
      </c>
    </row>
    <row r="115" spans="1:37" x14ac:dyDescent="0.25">
      <c r="A115" t="s">
        <v>302</v>
      </c>
      <c r="B115" t="s">
        <v>45</v>
      </c>
      <c r="C115">
        <v>1</v>
      </c>
      <c r="E115">
        <v>1</v>
      </c>
      <c r="F115" t="s">
        <v>47</v>
      </c>
      <c r="G115" t="s">
        <v>76</v>
      </c>
      <c r="H115" t="s">
        <v>100</v>
      </c>
      <c r="J115" t="s">
        <v>38</v>
      </c>
      <c r="K115">
        <v>2</v>
      </c>
      <c r="L115">
        <v>1</v>
      </c>
      <c r="M115">
        <v>1</v>
      </c>
      <c r="N115" t="s">
        <v>67</v>
      </c>
      <c r="O115" t="s">
        <v>40</v>
      </c>
      <c r="P115" t="s">
        <v>41</v>
      </c>
      <c r="Q115" t="s">
        <v>177</v>
      </c>
      <c r="R115" t="s">
        <v>56</v>
      </c>
      <c r="S115">
        <v>1</v>
      </c>
      <c r="U115">
        <v>1</v>
      </c>
      <c r="V115" t="s">
        <v>68</v>
      </c>
      <c r="W115" t="s">
        <v>69</v>
      </c>
      <c r="X115" t="s">
        <v>87</v>
      </c>
      <c r="Z115" t="s">
        <v>48</v>
      </c>
      <c r="AA115">
        <v>1</v>
      </c>
      <c r="AC115">
        <v>1</v>
      </c>
      <c r="AD115" t="s">
        <v>49</v>
      </c>
      <c r="AH115">
        <v>8</v>
      </c>
      <c r="AI115">
        <v>39</v>
      </c>
      <c r="AJ115">
        <v>30</v>
      </c>
      <c r="AK115">
        <v>2</v>
      </c>
    </row>
    <row r="116" spans="1:37" x14ac:dyDescent="0.25">
      <c r="A116" t="s">
        <v>303</v>
      </c>
      <c r="B116" t="s">
        <v>63</v>
      </c>
      <c r="C116">
        <v>1</v>
      </c>
      <c r="E116">
        <v>1</v>
      </c>
      <c r="F116" t="s">
        <v>72</v>
      </c>
      <c r="J116" t="s">
        <v>38</v>
      </c>
      <c r="K116">
        <v>1</v>
      </c>
      <c r="L116">
        <v>1</v>
      </c>
      <c r="M116">
        <v>1</v>
      </c>
      <c r="N116" t="s">
        <v>67</v>
      </c>
      <c r="O116" t="s">
        <v>70</v>
      </c>
      <c r="P116" t="s">
        <v>41</v>
      </c>
      <c r="R116" t="s">
        <v>56</v>
      </c>
      <c r="S116">
        <v>1</v>
      </c>
      <c r="U116">
        <v>1</v>
      </c>
      <c r="V116" t="s">
        <v>68</v>
      </c>
      <c r="Z116" t="s">
        <v>48</v>
      </c>
      <c r="AA116">
        <v>1</v>
      </c>
      <c r="AC116">
        <v>1</v>
      </c>
      <c r="AD116" t="s">
        <v>49</v>
      </c>
      <c r="AH116">
        <v>2</v>
      </c>
      <c r="AI116">
        <v>32</v>
      </c>
      <c r="AJ116">
        <v>30</v>
      </c>
      <c r="AK116">
        <v>2</v>
      </c>
    </row>
    <row r="117" spans="1:37" x14ac:dyDescent="0.25">
      <c r="A117" t="s">
        <v>304</v>
      </c>
      <c r="B117" t="s">
        <v>56</v>
      </c>
      <c r="C117">
        <v>1</v>
      </c>
      <c r="E117">
        <v>1</v>
      </c>
      <c r="F117" t="s">
        <v>141</v>
      </c>
      <c r="G117" t="s">
        <v>69</v>
      </c>
      <c r="J117" t="s">
        <v>33</v>
      </c>
      <c r="K117">
        <v>1</v>
      </c>
      <c r="M117">
        <v>1</v>
      </c>
      <c r="N117" t="s">
        <v>46</v>
      </c>
      <c r="O117" t="s">
        <v>35</v>
      </c>
      <c r="R117" t="s">
        <v>48</v>
      </c>
      <c r="S117">
        <v>1</v>
      </c>
      <c r="U117">
        <v>1</v>
      </c>
      <c r="V117" t="s">
        <v>49</v>
      </c>
      <c r="Z117" t="s">
        <v>43</v>
      </c>
      <c r="AA117">
        <v>1</v>
      </c>
      <c r="AC117">
        <v>1</v>
      </c>
      <c r="AD117" t="s">
        <v>73</v>
      </c>
      <c r="AH117">
        <v>2</v>
      </c>
      <c r="AI117">
        <v>20</v>
      </c>
      <c r="AJ117">
        <v>30</v>
      </c>
      <c r="AK117">
        <v>2</v>
      </c>
    </row>
    <row r="118" spans="1:37" x14ac:dyDescent="0.25">
      <c r="A118" s="4" t="s">
        <v>305</v>
      </c>
      <c r="B118" t="s">
        <v>56</v>
      </c>
      <c r="C118">
        <v>1</v>
      </c>
      <c r="E118">
        <v>3</v>
      </c>
      <c r="F118" t="s">
        <v>68</v>
      </c>
      <c r="G118" t="s">
        <v>69</v>
      </c>
      <c r="H118" t="s">
        <v>91</v>
      </c>
      <c r="J118" t="s">
        <v>33</v>
      </c>
      <c r="K118">
        <v>1</v>
      </c>
      <c r="M118">
        <v>1</v>
      </c>
      <c r="N118" t="s">
        <v>46</v>
      </c>
      <c r="R118" t="s">
        <v>48</v>
      </c>
      <c r="S118">
        <v>1</v>
      </c>
      <c r="U118">
        <v>1</v>
      </c>
      <c r="V118" t="s">
        <v>49</v>
      </c>
      <c r="W118" t="s">
        <v>50</v>
      </c>
      <c r="X118" t="s">
        <v>148</v>
      </c>
      <c r="Y118" t="s">
        <v>52</v>
      </c>
      <c r="Z118" t="s">
        <v>45</v>
      </c>
      <c r="AA118">
        <v>1</v>
      </c>
      <c r="AC118">
        <v>2</v>
      </c>
      <c r="AD118" t="s">
        <v>47</v>
      </c>
      <c r="AE118" t="s">
        <v>76</v>
      </c>
      <c r="AF118" t="s">
        <v>100</v>
      </c>
      <c r="AG118" t="s">
        <v>164</v>
      </c>
      <c r="AH118">
        <v>11</v>
      </c>
      <c r="AI118">
        <v>46</v>
      </c>
      <c r="AJ118">
        <v>30</v>
      </c>
      <c r="AK118">
        <v>2</v>
      </c>
    </row>
    <row r="119" spans="1:37" x14ac:dyDescent="0.25">
      <c r="A119" t="s">
        <v>306</v>
      </c>
      <c r="B119" t="s">
        <v>48</v>
      </c>
      <c r="C119">
        <v>1</v>
      </c>
      <c r="E119">
        <v>3</v>
      </c>
      <c r="F119" t="s">
        <v>49</v>
      </c>
      <c r="G119" t="s">
        <v>71</v>
      </c>
      <c r="H119" t="s">
        <v>51</v>
      </c>
      <c r="I119" t="s">
        <v>52</v>
      </c>
      <c r="J119" t="s">
        <v>63</v>
      </c>
      <c r="K119">
        <v>1</v>
      </c>
      <c r="M119">
        <v>1</v>
      </c>
      <c r="N119" t="s">
        <v>72</v>
      </c>
      <c r="O119" t="s">
        <v>167</v>
      </c>
      <c r="R119" t="s">
        <v>56</v>
      </c>
      <c r="S119">
        <v>1</v>
      </c>
      <c r="U119">
        <v>3</v>
      </c>
      <c r="V119" t="s">
        <v>68</v>
      </c>
      <c r="W119" t="s">
        <v>69</v>
      </c>
      <c r="X119" t="s">
        <v>91</v>
      </c>
      <c r="Z119" t="s">
        <v>33</v>
      </c>
      <c r="AA119">
        <v>1</v>
      </c>
      <c r="AC119">
        <v>1</v>
      </c>
      <c r="AD119" t="s">
        <v>46</v>
      </c>
      <c r="AH119">
        <v>10</v>
      </c>
      <c r="AI119">
        <v>36</v>
      </c>
      <c r="AJ119">
        <v>30</v>
      </c>
      <c r="AK119">
        <v>2</v>
      </c>
    </row>
    <row r="120" spans="1:37" x14ac:dyDescent="0.25">
      <c r="A120" t="s">
        <v>307</v>
      </c>
      <c r="B120" t="s">
        <v>56</v>
      </c>
      <c r="C120">
        <v>1</v>
      </c>
      <c r="E120">
        <v>1</v>
      </c>
      <c r="F120" t="s">
        <v>68</v>
      </c>
      <c r="G120" t="s">
        <v>69</v>
      </c>
      <c r="J120" t="s">
        <v>33</v>
      </c>
      <c r="K120">
        <v>1</v>
      </c>
      <c r="M120">
        <v>1</v>
      </c>
      <c r="N120" t="s">
        <v>65</v>
      </c>
      <c r="O120" t="s">
        <v>66</v>
      </c>
      <c r="R120" t="s">
        <v>48</v>
      </c>
      <c r="S120">
        <v>1</v>
      </c>
      <c r="U120">
        <v>1</v>
      </c>
      <c r="V120" t="s">
        <v>49</v>
      </c>
      <c r="Z120" t="s">
        <v>38</v>
      </c>
      <c r="AA120">
        <v>2</v>
      </c>
      <c r="AB120">
        <v>1</v>
      </c>
      <c r="AC120">
        <v>1</v>
      </c>
      <c r="AD120" t="s">
        <v>173</v>
      </c>
      <c r="AH120">
        <v>3</v>
      </c>
      <c r="AI120">
        <v>40</v>
      </c>
      <c r="AJ120">
        <v>30</v>
      </c>
      <c r="AK120">
        <v>2</v>
      </c>
    </row>
    <row r="121" spans="1:37" x14ac:dyDescent="0.25">
      <c r="A121" t="s">
        <v>308</v>
      </c>
      <c r="B121" t="s">
        <v>56</v>
      </c>
      <c r="C121">
        <v>1</v>
      </c>
      <c r="E121">
        <v>1</v>
      </c>
      <c r="F121" t="s">
        <v>68</v>
      </c>
      <c r="J121" t="s">
        <v>33</v>
      </c>
      <c r="K121">
        <v>1</v>
      </c>
      <c r="M121">
        <v>1</v>
      </c>
      <c r="N121" t="s">
        <v>46</v>
      </c>
      <c r="O121" t="s">
        <v>35</v>
      </c>
      <c r="R121" t="s">
        <v>43</v>
      </c>
      <c r="S121">
        <v>1</v>
      </c>
      <c r="U121">
        <v>1</v>
      </c>
      <c r="V121" t="s">
        <v>73</v>
      </c>
      <c r="Z121" t="s">
        <v>45</v>
      </c>
      <c r="AA121">
        <v>1</v>
      </c>
      <c r="AC121">
        <v>1</v>
      </c>
      <c r="AD121" t="s">
        <v>47</v>
      </c>
      <c r="AE121" t="s">
        <v>76</v>
      </c>
      <c r="AF121" t="s">
        <v>100</v>
      </c>
      <c r="AH121">
        <v>3</v>
      </c>
      <c r="AI121">
        <v>32</v>
      </c>
      <c r="AJ121">
        <v>30</v>
      </c>
      <c r="AK121">
        <v>2</v>
      </c>
    </row>
    <row r="122" spans="1:37" x14ac:dyDescent="0.25">
      <c r="A122" t="s">
        <v>309</v>
      </c>
      <c r="B122" t="s">
        <v>43</v>
      </c>
      <c r="C122">
        <v>1</v>
      </c>
      <c r="E122">
        <v>1</v>
      </c>
      <c r="F122" t="s">
        <v>73</v>
      </c>
      <c r="G122" t="s">
        <v>74</v>
      </c>
      <c r="J122" t="s">
        <v>63</v>
      </c>
      <c r="K122">
        <v>1</v>
      </c>
      <c r="M122">
        <v>2</v>
      </c>
      <c r="N122" t="s">
        <v>72</v>
      </c>
      <c r="R122" t="s">
        <v>56</v>
      </c>
      <c r="S122">
        <v>1</v>
      </c>
      <c r="U122">
        <v>1</v>
      </c>
      <c r="V122" t="s">
        <v>68</v>
      </c>
      <c r="W122" t="s">
        <v>69</v>
      </c>
      <c r="Z122" t="s">
        <v>33</v>
      </c>
      <c r="AA122">
        <v>1</v>
      </c>
      <c r="AC122">
        <v>1</v>
      </c>
      <c r="AD122" t="s">
        <v>46</v>
      </c>
      <c r="AH122">
        <v>3</v>
      </c>
      <c r="AI122">
        <v>28</v>
      </c>
      <c r="AJ122">
        <v>30</v>
      </c>
      <c r="AK122">
        <v>2</v>
      </c>
    </row>
    <row r="123" spans="1:37" x14ac:dyDescent="0.25">
      <c r="A123" t="s">
        <v>310</v>
      </c>
      <c r="B123" t="s">
        <v>56</v>
      </c>
      <c r="C123">
        <v>1</v>
      </c>
      <c r="E123">
        <v>1</v>
      </c>
      <c r="F123" t="s">
        <v>68</v>
      </c>
      <c r="G123" t="s">
        <v>69</v>
      </c>
      <c r="J123" t="s">
        <v>33</v>
      </c>
      <c r="K123">
        <v>1</v>
      </c>
      <c r="M123">
        <v>1</v>
      </c>
      <c r="N123" t="s">
        <v>46</v>
      </c>
      <c r="O123" t="s">
        <v>35</v>
      </c>
      <c r="R123" t="s">
        <v>43</v>
      </c>
      <c r="S123">
        <v>1</v>
      </c>
      <c r="U123">
        <v>1</v>
      </c>
      <c r="V123" t="s">
        <v>73</v>
      </c>
      <c r="Z123" t="s">
        <v>38</v>
      </c>
      <c r="AA123">
        <v>1</v>
      </c>
      <c r="AB123">
        <v>1</v>
      </c>
      <c r="AC123">
        <v>1</v>
      </c>
      <c r="AD123" t="s">
        <v>173</v>
      </c>
      <c r="AH123">
        <v>2</v>
      </c>
      <c r="AI123">
        <v>24</v>
      </c>
      <c r="AJ123">
        <v>30</v>
      </c>
      <c r="AK123">
        <v>2</v>
      </c>
    </row>
    <row r="124" spans="1:37" x14ac:dyDescent="0.25">
      <c r="A124" t="s">
        <v>311</v>
      </c>
      <c r="B124" t="s">
        <v>56</v>
      </c>
      <c r="C124">
        <v>1</v>
      </c>
      <c r="E124">
        <v>2</v>
      </c>
      <c r="F124" t="s">
        <v>68</v>
      </c>
      <c r="J124" t="s">
        <v>33</v>
      </c>
      <c r="K124">
        <v>1</v>
      </c>
      <c r="M124">
        <v>1</v>
      </c>
      <c r="N124" t="s">
        <v>46</v>
      </c>
      <c r="O124" t="s">
        <v>35</v>
      </c>
      <c r="R124" t="s">
        <v>45</v>
      </c>
      <c r="S124">
        <v>1</v>
      </c>
      <c r="U124">
        <v>1</v>
      </c>
      <c r="V124" t="s">
        <v>47</v>
      </c>
      <c r="W124" t="s">
        <v>76</v>
      </c>
      <c r="Z124" t="s">
        <v>63</v>
      </c>
      <c r="AA124">
        <v>1</v>
      </c>
      <c r="AC124">
        <v>1</v>
      </c>
      <c r="AD124" t="s">
        <v>72</v>
      </c>
      <c r="AH124">
        <v>3</v>
      </c>
      <c r="AI124">
        <v>29</v>
      </c>
      <c r="AJ124">
        <v>30</v>
      </c>
      <c r="AK124">
        <v>2</v>
      </c>
    </row>
    <row r="125" spans="1:37" x14ac:dyDescent="0.25">
      <c r="A125" t="s">
        <v>350</v>
      </c>
      <c r="B125" t="s">
        <v>45</v>
      </c>
      <c r="C125">
        <v>1</v>
      </c>
      <c r="E125">
        <v>1</v>
      </c>
      <c r="F125" t="s">
        <v>47</v>
      </c>
      <c r="J125" t="s">
        <v>38</v>
      </c>
      <c r="K125">
        <v>3</v>
      </c>
      <c r="L125">
        <v>1</v>
      </c>
      <c r="M125">
        <v>1</v>
      </c>
      <c r="N125" t="s">
        <v>67</v>
      </c>
      <c r="R125" t="s">
        <v>56</v>
      </c>
      <c r="S125">
        <v>1</v>
      </c>
      <c r="U125">
        <v>1</v>
      </c>
      <c r="V125" t="s">
        <v>68</v>
      </c>
      <c r="W125" t="s">
        <v>69</v>
      </c>
      <c r="Z125" t="s">
        <v>33</v>
      </c>
      <c r="AA125">
        <v>1</v>
      </c>
      <c r="AC125">
        <v>1</v>
      </c>
      <c r="AD125" t="s">
        <v>65</v>
      </c>
      <c r="AE125" t="s">
        <v>35</v>
      </c>
      <c r="AH125">
        <v>4</v>
      </c>
      <c r="AI125">
        <v>33</v>
      </c>
      <c r="AJ125">
        <v>30</v>
      </c>
      <c r="AK125">
        <v>2</v>
      </c>
    </row>
    <row r="126" spans="1:37" x14ac:dyDescent="0.25">
      <c r="A126" t="s">
        <v>351</v>
      </c>
      <c r="B126" t="s">
        <v>56</v>
      </c>
      <c r="C126">
        <v>1</v>
      </c>
      <c r="E126">
        <v>1</v>
      </c>
      <c r="F126" t="s">
        <v>68</v>
      </c>
      <c r="G126" t="s">
        <v>69</v>
      </c>
      <c r="H126" t="s">
        <v>91</v>
      </c>
      <c r="I126" t="s">
        <v>92</v>
      </c>
      <c r="J126" t="s">
        <v>33</v>
      </c>
      <c r="K126">
        <v>1</v>
      </c>
      <c r="M126">
        <v>1</v>
      </c>
      <c r="N126" t="s">
        <v>65</v>
      </c>
      <c r="O126" t="s">
        <v>35</v>
      </c>
      <c r="R126" t="s">
        <v>63</v>
      </c>
      <c r="S126">
        <v>1</v>
      </c>
      <c r="U126">
        <v>1</v>
      </c>
      <c r="V126" t="s">
        <v>72</v>
      </c>
      <c r="Z126" t="s">
        <v>38</v>
      </c>
      <c r="AA126">
        <v>1</v>
      </c>
      <c r="AB126">
        <v>1</v>
      </c>
      <c r="AC126">
        <v>1</v>
      </c>
      <c r="AD126" t="s">
        <v>67</v>
      </c>
      <c r="AE126" t="s">
        <v>70</v>
      </c>
      <c r="AF126" t="s">
        <v>41</v>
      </c>
      <c r="AH126">
        <v>6</v>
      </c>
      <c r="AI126">
        <v>32</v>
      </c>
      <c r="AJ126">
        <v>30</v>
      </c>
      <c r="AK126">
        <v>2</v>
      </c>
    </row>
    <row r="127" spans="1:37" x14ac:dyDescent="0.25">
      <c r="A127" t="s">
        <v>352</v>
      </c>
      <c r="B127" t="s">
        <v>56</v>
      </c>
      <c r="C127">
        <v>1</v>
      </c>
      <c r="E127">
        <v>1</v>
      </c>
      <c r="F127" t="s">
        <v>68</v>
      </c>
      <c r="G127" t="s">
        <v>69</v>
      </c>
      <c r="J127" t="s">
        <v>43</v>
      </c>
      <c r="K127">
        <v>1</v>
      </c>
      <c r="M127">
        <v>1</v>
      </c>
      <c r="N127" t="s">
        <v>73</v>
      </c>
      <c r="R127" t="s">
        <v>48</v>
      </c>
      <c r="S127">
        <v>1</v>
      </c>
      <c r="U127">
        <v>1</v>
      </c>
      <c r="V127" t="s">
        <v>49</v>
      </c>
      <c r="Z127" t="s">
        <v>33</v>
      </c>
      <c r="AA127">
        <v>1</v>
      </c>
      <c r="AC127">
        <v>1</v>
      </c>
      <c r="AD127" t="s">
        <v>46</v>
      </c>
      <c r="AH127">
        <v>1</v>
      </c>
      <c r="AI127">
        <v>25</v>
      </c>
      <c r="AJ127">
        <v>30</v>
      </c>
      <c r="AK127">
        <v>2</v>
      </c>
    </row>
    <row r="128" spans="1:37" x14ac:dyDescent="0.25">
      <c r="A128" t="s">
        <v>353</v>
      </c>
      <c r="B128" t="s">
        <v>48</v>
      </c>
      <c r="C128">
        <v>1</v>
      </c>
      <c r="E128">
        <v>1</v>
      </c>
      <c r="F128" t="s">
        <v>49</v>
      </c>
      <c r="G128" t="s">
        <v>71</v>
      </c>
      <c r="J128" t="s">
        <v>45</v>
      </c>
      <c r="K128">
        <v>1</v>
      </c>
      <c r="M128">
        <v>1</v>
      </c>
      <c r="N128" t="s">
        <v>47</v>
      </c>
      <c r="R128" t="s">
        <v>56</v>
      </c>
      <c r="S128">
        <v>1</v>
      </c>
      <c r="U128">
        <v>1</v>
      </c>
      <c r="V128" t="s">
        <v>68</v>
      </c>
      <c r="Z128" t="s">
        <v>43</v>
      </c>
      <c r="AA128">
        <v>1</v>
      </c>
      <c r="AC128">
        <v>1</v>
      </c>
      <c r="AD128" t="s">
        <v>73</v>
      </c>
      <c r="AH128">
        <v>1</v>
      </c>
      <c r="AI128">
        <v>28</v>
      </c>
      <c r="AJ128">
        <v>30</v>
      </c>
      <c r="AK128">
        <v>2</v>
      </c>
    </row>
    <row r="129" spans="1:37" x14ac:dyDescent="0.25">
      <c r="A129" t="s">
        <v>354</v>
      </c>
      <c r="B129" t="s">
        <v>56</v>
      </c>
      <c r="C129">
        <v>1</v>
      </c>
      <c r="E129">
        <v>1</v>
      </c>
      <c r="F129" t="s">
        <v>68</v>
      </c>
      <c r="G129" t="s">
        <v>69</v>
      </c>
      <c r="J129" t="s">
        <v>43</v>
      </c>
      <c r="K129">
        <v>1</v>
      </c>
      <c r="M129">
        <v>1</v>
      </c>
      <c r="N129" t="s">
        <v>73</v>
      </c>
      <c r="O129" t="s">
        <v>74</v>
      </c>
      <c r="R129" t="s">
        <v>48</v>
      </c>
      <c r="S129">
        <v>1</v>
      </c>
      <c r="U129">
        <v>1</v>
      </c>
      <c r="V129" t="s">
        <v>147</v>
      </c>
      <c r="W129" t="s">
        <v>50</v>
      </c>
      <c r="X129" t="s">
        <v>51</v>
      </c>
      <c r="Z129" t="s">
        <v>63</v>
      </c>
      <c r="AA129">
        <v>1</v>
      </c>
      <c r="AC129">
        <v>1</v>
      </c>
      <c r="AD129" t="s">
        <v>72</v>
      </c>
      <c r="AE129" t="s">
        <v>167</v>
      </c>
      <c r="AH129">
        <v>5</v>
      </c>
      <c r="AI129">
        <v>62</v>
      </c>
      <c r="AJ129">
        <v>30</v>
      </c>
      <c r="AK129">
        <v>2</v>
      </c>
    </row>
    <row r="130" spans="1:37" x14ac:dyDescent="0.25">
      <c r="A130" t="s">
        <v>355</v>
      </c>
      <c r="B130" t="s">
        <v>48</v>
      </c>
      <c r="C130">
        <v>1</v>
      </c>
      <c r="E130">
        <v>1</v>
      </c>
      <c r="F130" t="s">
        <v>147</v>
      </c>
      <c r="G130" t="s">
        <v>85</v>
      </c>
      <c r="H130" t="s">
        <v>148</v>
      </c>
      <c r="J130" t="s">
        <v>38</v>
      </c>
      <c r="K130">
        <v>1</v>
      </c>
      <c r="L130">
        <v>1</v>
      </c>
      <c r="M130">
        <v>1</v>
      </c>
      <c r="N130" t="s">
        <v>67</v>
      </c>
      <c r="O130" t="s">
        <v>105</v>
      </c>
      <c r="R130" t="s">
        <v>56</v>
      </c>
      <c r="S130">
        <v>1</v>
      </c>
      <c r="U130">
        <v>1</v>
      </c>
      <c r="V130" t="s">
        <v>68</v>
      </c>
      <c r="W130" t="s">
        <v>69</v>
      </c>
      <c r="X130" t="s">
        <v>91</v>
      </c>
      <c r="Z130" t="s">
        <v>43</v>
      </c>
      <c r="AA130">
        <v>1</v>
      </c>
      <c r="AC130">
        <v>1</v>
      </c>
      <c r="AD130" t="s">
        <v>73</v>
      </c>
      <c r="AH130">
        <v>5</v>
      </c>
      <c r="AI130">
        <v>31</v>
      </c>
      <c r="AJ130">
        <v>30</v>
      </c>
      <c r="AK130">
        <v>2</v>
      </c>
    </row>
    <row r="131" spans="1:37" x14ac:dyDescent="0.25">
      <c r="A131" t="s">
        <v>356</v>
      </c>
      <c r="B131" t="s">
        <v>56</v>
      </c>
      <c r="C131">
        <v>1</v>
      </c>
      <c r="E131">
        <v>1</v>
      </c>
      <c r="F131" t="s">
        <v>68</v>
      </c>
      <c r="J131" t="s">
        <v>43</v>
      </c>
      <c r="K131">
        <v>1</v>
      </c>
      <c r="M131">
        <v>1</v>
      </c>
      <c r="N131" t="s">
        <v>73</v>
      </c>
      <c r="O131" t="s">
        <v>110</v>
      </c>
      <c r="P131" t="s">
        <v>75</v>
      </c>
      <c r="R131" t="s">
        <v>33</v>
      </c>
      <c r="S131">
        <v>1</v>
      </c>
      <c r="U131">
        <v>1</v>
      </c>
      <c r="V131" t="s">
        <v>46</v>
      </c>
      <c r="Z131" t="s">
        <v>45</v>
      </c>
      <c r="AA131">
        <v>1</v>
      </c>
      <c r="AC131">
        <v>1</v>
      </c>
      <c r="AD131" t="s">
        <v>47</v>
      </c>
      <c r="AH131">
        <v>2</v>
      </c>
      <c r="AI131">
        <v>21</v>
      </c>
      <c r="AJ131">
        <v>30</v>
      </c>
      <c r="AK131">
        <v>2</v>
      </c>
    </row>
    <row r="132" spans="1:37" x14ac:dyDescent="0.25">
      <c r="A132" t="s">
        <v>357</v>
      </c>
      <c r="B132" t="s">
        <v>33</v>
      </c>
      <c r="C132">
        <v>1</v>
      </c>
      <c r="E132">
        <v>1</v>
      </c>
      <c r="F132" t="s">
        <v>46</v>
      </c>
      <c r="G132" t="s">
        <v>35</v>
      </c>
      <c r="J132" t="s">
        <v>63</v>
      </c>
      <c r="K132">
        <v>1</v>
      </c>
      <c r="M132">
        <v>1</v>
      </c>
      <c r="N132" t="s">
        <v>72</v>
      </c>
      <c r="O132" t="s">
        <v>167</v>
      </c>
      <c r="R132" t="s">
        <v>56</v>
      </c>
      <c r="S132">
        <v>1</v>
      </c>
      <c r="U132">
        <v>1</v>
      </c>
      <c r="V132" t="s">
        <v>68</v>
      </c>
      <c r="Z132" t="s">
        <v>43</v>
      </c>
      <c r="AA132">
        <v>1</v>
      </c>
      <c r="AC132">
        <v>1</v>
      </c>
      <c r="AD132" t="s">
        <v>73</v>
      </c>
      <c r="AE132" t="s">
        <v>74</v>
      </c>
      <c r="AH132">
        <v>3</v>
      </c>
      <c r="AI132">
        <v>22</v>
      </c>
      <c r="AJ132">
        <v>30</v>
      </c>
      <c r="AK132">
        <v>2</v>
      </c>
    </row>
    <row r="133" spans="1:37" x14ac:dyDescent="0.25">
      <c r="A133" t="s">
        <v>358</v>
      </c>
      <c r="B133" t="s">
        <v>33</v>
      </c>
      <c r="C133">
        <v>1</v>
      </c>
      <c r="E133">
        <v>1</v>
      </c>
      <c r="F133" t="s">
        <v>46</v>
      </c>
      <c r="G133" t="s">
        <v>35</v>
      </c>
      <c r="J133" t="s">
        <v>38</v>
      </c>
      <c r="K133">
        <v>2</v>
      </c>
      <c r="L133">
        <v>1</v>
      </c>
      <c r="M133">
        <v>1</v>
      </c>
      <c r="N133" t="s">
        <v>67</v>
      </c>
      <c r="O133" t="s">
        <v>105</v>
      </c>
      <c r="R133" t="s">
        <v>56</v>
      </c>
      <c r="S133">
        <v>1</v>
      </c>
      <c r="U133">
        <v>1</v>
      </c>
      <c r="V133" t="s">
        <v>68</v>
      </c>
      <c r="Z133" t="s">
        <v>43</v>
      </c>
      <c r="AA133">
        <v>1</v>
      </c>
      <c r="AC133">
        <v>1</v>
      </c>
      <c r="AD133" t="s">
        <v>73</v>
      </c>
      <c r="AE133" t="s">
        <v>74</v>
      </c>
      <c r="AH133">
        <v>4</v>
      </c>
      <c r="AI133">
        <v>20</v>
      </c>
      <c r="AJ133">
        <v>30</v>
      </c>
      <c r="AK133">
        <v>2</v>
      </c>
    </row>
    <row r="134" spans="1:37" x14ac:dyDescent="0.25">
      <c r="A134" s="4" t="s">
        <v>359</v>
      </c>
      <c r="B134" t="s">
        <v>56</v>
      </c>
      <c r="C134">
        <v>1</v>
      </c>
      <c r="E134">
        <v>1</v>
      </c>
      <c r="F134" t="s">
        <v>68</v>
      </c>
      <c r="G134" t="s">
        <v>69</v>
      </c>
      <c r="H134" t="s">
        <v>91</v>
      </c>
      <c r="J134" t="s">
        <v>43</v>
      </c>
      <c r="K134">
        <v>1</v>
      </c>
      <c r="M134">
        <v>1</v>
      </c>
      <c r="N134" t="s">
        <v>73</v>
      </c>
      <c r="O134" t="s">
        <v>74</v>
      </c>
      <c r="R134" t="s">
        <v>45</v>
      </c>
      <c r="S134">
        <v>1</v>
      </c>
      <c r="U134">
        <v>1</v>
      </c>
      <c r="V134" t="s">
        <v>47</v>
      </c>
      <c r="W134" t="s">
        <v>99</v>
      </c>
      <c r="X134" t="s">
        <v>115</v>
      </c>
      <c r="Y134" t="s">
        <v>165</v>
      </c>
      <c r="Z134" t="s">
        <v>63</v>
      </c>
      <c r="AA134">
        <v>1</v>
      </c>
      <c r="AC134">
        <v>1</v>
      </c>
      <c r="AD134" t="s">
        <v>72</v>
      </c>
      <c r="AH134">
        <v>6</v>
      </c>
      <c r="AI134">
        <v>34</v>
      </c>
      <c r="AJ134">
        <v>30</v>
      </c>
      <c r="AK134">
        <v>2</v>
      </c>
    </row>
    <row r="135" spans="1:37" x14ac:dyDescent="0.25">
      <c r="A135" t="s">
        <v>360</v>
      </c>
      <c r="B135" t="s">
        <v>56</v>
      </c>
      <c r="C135">
        <v>1</v>
      </c>
      <c r="E135">
        <v>1</v>
      </c>
      <c r="F135" t="s">
        <v>68</v>
      </c>
      <c r="G135" t="s">
        <v>69</v>
      </c>
      <c r="J135" t="s">
        <v>43</v>
      </c>
      <c r="K135">
        <v>1</v>
      </c>
      <c r="M135">
        <v>1</v>
      </c>
      <c r="N135" t="s">
        <v>73</v>
      </c>
      <c r="O135" t="s">
        <v>74</v>
      </c>
      <c r="P135" t="s">
        <v>75</v>
      </c>
      <c r="R135" t="s">
        <v>45</v>
      </c>
      <c r="S135">
        <v>1</v>
      </c>
      <c r="U135">
        <v>1</v>
      </c>
      <c r="V135" t="s">
        <v>47</v>
      </c>
      <c r="Z135" t="s">
        <v>38</v>
      </c>
      <c r="AA135">
        <v>2</v>
      </c>
      <c r="AB135">
        <v>1</v>
      </c>
      <c r="AC135">
        <v>1</v>
      </c>
      <c r="AD135" t="s">
        <v>67</v>
      </c>
      <c r="AH135">
        <v>4</v>
      </c>
      <c r="AI135">
        <v>20</v>
      </c>
      <c r="AJ135">
        <v>30</v>
      </c>
      <c r="AK135">
        <v>2</v>
      </c>
    </row>
    <row r="136" spans="1:37" x14ac:dyDescent="0.25">
      <c r="A136" t="s">
        <v>361</v>
      </c>
      <c r="B136" t="s">
        <v>63</v>
      </c>
      <c r="C136">
        <v>1</v>
      </c>
      <c r="E136">
        <v>2</v>
      </c>
      <c r="F136" t="s">
        <v>72</v>
      </c>
      <c r="J136" t="s">
        <v>38</v>
      </c>
      <c r="K136">
        <v>3</v>
      </c>
      <c r="L136">
        <v>1</v>
      </c>
      <c r="M136">
        <v>1</v>
      </c>
      <c r="N136" t="s">
        <v>67</v>
      </c>
      <c r="O136" t="s">
        <v>105</v>
      </c>
      <c r="P136" t="s">
        <v>175</v>
      </c>
      <c r="Q136" t="s">
        <v>177</v>
      </c>
      <c r="R136" t="s">
        <v>56</v>
      </c>
      <c r="S136">
        <v>1</v>
      </c>
      <c r="U136">
        <v>2</v>
      </c>
      <c r="V136" t="s">
        <v>68</v>
      </c>
      <c r="W136" t="s">
        <v>69</v>
      </c>
      <c r="X136" t="s">
        <v>87</v>
      </c>
      <c r="Z136" t="s">
        <v>43</v>
      </c>
      <c r="AA136">
        <v>1</v>
      </c>
      <c r="AC136">
        <v>1</v>
      </c>
      <c r="AD136" t="s">
        <v>73</v>
      </c>
      <c r="AH136">
        <v>9</v>
      </c>
      <c r="AI136">
        <v>34</v>
      </c>
      <c r="AJ136">
        <v>30</v>
      </c>
      <c r="AK136">
        <v>2</v>
      </c>
    </row>
    <row r="137" spans="1:37" x14ac:dyDescent="0.25">
      <c r="A137" t="s">
        <v>368</v>
      </c>
      <c r="B137" t="s">
        <v>48</v>
      </c>
      <c r="C137">
        <v>1</v>
      </c>
      <c r="E137">
        <v>1</v>
      </c>
      <c r="F137" t="s">
        <v>49</v>
      </c>
      <c r="G137" t="s">
        <v>71</v>
      </c>
      <c r="J137" t="s">
        <v>33</v>
      </c>
      <c r="K137">
        <v>1</v>
      </c>
      <c r="M137">
        <v>3</v>
      </c>
      <c r="N137" t="s">
        <v>46</v>
      </c>
      <c r="O137" t="s">
        <v>35</v>
      </c>
      <c r="R137" t="s">
        <v>56</v>
      </c>
      <c r="S137">
        <v>1</v>
      </c>
      <c r="U137">
        <v>1</v>
      </c>
      <c r="V137" t="s">
        <v>68</v>
      </c>
      <c r="Z137" t="s">
        <v>45</v>
      </c>
      <c r="AA137">
        <v>1</v>
      </c>
      <c r="AC137">
        <v>1</v>
      </c>
      <c r="AD137" t="s">
        <v>47</v>
      </c>
      <c r="AE137" t="s">
        <v>76</v>
      </c>
      <c r="AH137">
        <v>5</v>
      </c>
      <c r="AI137">
        <v>32</v>
      </c>
      <c r="AJ137">
        <v>30</v>
      </c>
      <c r="AK137">
        <v>2</v>
      </c>
    </row>
    <row r="138" spans="1:37" x14ac:dyDescent="0.25">
      <c r="A138" t="s">
        <v>369</v>
      </c>
      <c r="B138" t="s">
        <v>48</v>
      </c>
      <c r="C138">
        <v>1</v>
      </c>
      <c r="E138">
        <v>1</v>
      </c>
      <c r="F138" t="s">
        <v>49</v>
      </c>
      <c r="G138" t="s">
        <v>71</v>
      </c>
      <c r="J138" t="s">
        <v>43</v>
      </c>
      <c r="K138">
        <v>1</v>
      </c>
      <c r="M138">
        <v>2</v>
      </c>
      <c r="N138" t="s">
        <v>73</v>
      </c>
      <c r="O138" t="s">
        <v>74</v>
      </c>
      <c r="P138" t="s">
        <v>75</v>
      </c>
      <c r="R138" t="s">
        <v>56</v>
      </c>
      <c r="S138">
        <v>1</v>
      </c>
      <c r="U138">
        <v>1</v>
      </c>
      <c r="V138" t="s">
        <v>68</v>
      </c>
      <c r="Z138" t="s">
        <v>45</v>
      </c>
      <c r="AA138">
        <v>1</v>
      </c>
      <c r="AC138">
        <v>1</v>
      </c>
      <c r="AD138" t="s">
        <v>47</v>
      </c>
      <c r="AH138">
        <v>4</v>
      </c>
      <c r="AI138">
        <v>33</v>
      </c>
      <c r="AJ138">
        <v>30</v>
      </c>
      <c r="AK138">
        <v>2</v>
      </c>
    </row>
    <row r="139" spans="1:37" x14ac:dyDescent="0.25">
      <c r="A139" t="s">
        <v>370</v>
      </c>
      <c r="B139" t="s">
        <v>56</v>
      </c>
      <c r="C139">
        <v>1</v>
      </c>
      <c r="E139">
        <v>2</v>
      </c>
      <c r="F139" t="s">
        <v>68</v>
      </c>
      <c r="J139" t="s">
        <v>45</v>
      </c>
      <c r="K139">
        <v>1</v>
      </c>
      <c r="M139">
        <v>1</v>
      </c>
      <c r="N139" t="s">
        <v>47</v>
      </c>
      <c r="O139" t="s">
        <v>76</v>
      </c>
      <c r="P139" t="s">
        <v>100</v>
      </c>
      <c r="R139" t="s">
        <v>48</v>
      </c>
      <c r="S139">
        <v>1</v>
      </c>
      <c r="U139">
        <v>1</v>
      </c>
      <c r="V139" t="s">
        <v>49</v>
      </c>
      <c r="Z139" t="s">
        <v>63</v>
      </c>
      <c r="AA139">
        <v>1</v>
      </c>
      <c r="AC139">
        <v>1</v>
      </c>
      <c r="AD139" t="s">
        <v>72</v>
      </c>
      <c r="AE139" t="s">
        <v>167</v>
      </c>
      <c r="AF139" t="s">
        <v>119</v>
      </c>
      <c r="AH139">
        <v>5</v>
      </c>
      <c r="AI139">
        <v>54</v>
      </c>
      <c r="AJ139">
        <v>30</v>
      </c>
      <c r="AK139">
        <v>2</v>
      </c>
    </row>
    <row r="140" spans="1:37" x14ac:dyDescent="0.25">
      <c r="A140" t="s">
        <v>371</v>
      </c>
      <c r="B140" t="s">
        <v>48</v>
      </c>
      <c r="C140">
        <v>1</v>
      </c>
      <c r="E140">
        <v>1</v>
      </c>
      <c r="F140" t="s">
        <v>49</v>
      </c>
      <c r="G140" t="s">
        <v>71</v>
      </c>
      <c r="J140" t="s">
        <v>38</v>
      </c>
      <c r="K140">
        <v>2</v>
      </c>
      <c r="L140">
        <v>1</v>
      </c>
      <c r="M140">
        <v>1</v>
      </c>
      <c r="N140" t="s">
        <v>67</v>
      </c>
      <c r="O140" t="s">
        <v>105</v>
      </c>
      <c r="P140" t="s">
        <v>175</v>
      </c>
      <c r="Q140" t="s">
        <v>177</v>
      </c>
      <c r="R140" t="s">
        <v>56</v>
      </c>
      <c r="S140">
        <v>1</v>
      </c>
      <c r="U140">
        <v>1</v>
      </c>
      <c r="V140" t="s">
        <v>68</v>
      </c>
      <c r="W140" t="s">
        <v>69</v>
      </c>
      <c r="Z140" t="s">
        <v>45</v>
      </c>
      <c r="AA140">
        <v>1</v>
      </c>
      <c r="AC140">
        <v>2</v>
      </c>
      <c r="AD140" t="s">
        <v>47</v>
      </c>
      <c r="AE140" t="s">
        <v>76</v>
      </c>
      <c r="AF140" t="s">
        <v>100</v>
      </c>
      <c r="AH140">
        <v>9</v>
      </c>
      <c r="AI140">
        <v>41</v>
      </c>
      <c r="AJ140">
        <v>30</v>
      </c>
      <c r="AK140">
        <v>2</v>
      </c>
    </row>
    <row r="141" spans="1:37" x14ac:dyDescent="0.25">
      <c r="A141" t="s">
        <v>372</v>
      </c>
      <c r="B141" t="s">
        <v>33</v>
      </c>
      <c r="C141">
        <v>1</v>
      </c>
      <c r="E141">
        <v>1</v>
      </c>
      <c r="F141" t="s">
        <v>46</v>
      </c>
      <c r="G141" t="s">
        <v>151</v>
      </c>
      <c r="H141" t="s">
        <v>36</v>
      </c>
      <c r="J141" t="s">
        <v>43</v>
      </c>
      <c r="K141">
        <v>1</v>
      </c>
      <c r="M141">
        <v>1</v>
      </c>
      <c r="N141" t="s">
        <v>73</v>
      </c>
      <c r="O141" t="s">
        <v>74</v>
      </c>
      <c r="P141" t="s">
        <v>75</v>
      </c>
      <c r="R141" t="s">
        <v>56</v>
      </c>
      <c r="S141">
        <v>1</v>
      </c>
      <c r="U141">
        <v>1</v>
      </c>
      <c r="V141" t="s">
        <v>68</v>
      </c>
      <c r="W141" t="s">
        <v>69</v>
      </c>
      <c r="X141" t="s">
        <v>91</v>
      </c>
      <c r="Z141" t="s">
        <v>45</v>
      </c>
      <c r="AA141">
        <v>1</v>
      </c>
      <c r="AC141">
        <v>1</v>
      </c>
      <c r="AD141" t="s">
        <v>47</v>
      </c>
      <c r="AE141" t="s">
        <v>76</v>
      </c>
      <c r="AF141" t="s">
        <v>100</v>
      </c>
      <c r="AH141">
        <v>8</v>
      </c>
      <c r="AI141">
        <v>25</v>
      </c>
      <c r="AJ141">
        <v>30</v>
      </c>
      <c r="AK141">
        <v>2</v>
      </c>
    </row>
    <row r="142" spans="1:37" x14ac:dyDescent="0.25">
      <c r="A142" t="s">
        <v>373</v>
      </c>
      <c r="B142" t="s">
        <v>33</v>
      </c>
      <c r="C142">
        <v>1</v>
      </c>
      <c r="E142">
        <v>1</v>
      </c>
      <c r="F142" t="s">
        <v>46</v>
      </c>
      <c r="G142" t="s">
        <v>35</v>
      </c>
      <c r="J142" t="s">
        <v>63</v>
      </c>
      <c r="K142">
        <v>1</v>
      </c>
      <c r="M142">
        <v>1</v>
      </c>
      <c r="N142" t="s">
        <v>72</v>
      </c>
      <c r="R142" t="s">
        <v>56</v>
      </c>
      <c r="S142">
        <v>1</v>
      </c>
      <c r="U142">
        <v>1</v>
      </c>
      <c r="V142" t="s">
        <v>68</v>
      </c>
      <c r="Z142" t="s">
        <v>45</v>
      </c>
      <c r="AA142">
        <v>1</v>
      </c>
      <c r="AC142">
        <v>1</v>
      </c>
      <c r="AD142" t="s">
        <v>89</v>
      </c>
      <c r="AE142" t="s">
        <v>162</v>
      </c>
      <c r="AF142" t="s">
        <v>100</v>
      </c>
      <c r="AG142" t="s">
        <v>164</v>
      </c>
      <c r="AH142">
        <v>4</v>
      </c>
      <c r="AI142">
        <v>26</v>
      </c>
      <c r="AJ142">
        <v>30</v>
      </c>
      <c r="AK142">
        <v>2</v>
      </c>
    </row>
    <row r="143" spans="1:37" x14ac:dyDescent="0.25">
      <c r="A143" t="s">
        <v>374</v>
      </c>
      <c r="B143" t="s">
        <v>33</v>
      </c>
      <c r="C143">
        <v>1</v>
      </c>
      <c r="E143">
        <v>2</v>
      </c>
      <c r="F143" t="s">
        <v>46</v>
      </c>
      <c r="J143" t="s">
        <v>38</v>
      </c>
      <c r="K143">
        <v>2</v>
      </c>
      <c r="L143">
        <v>1</v>
      </c>
      <c r="M143">
        <v>2</v>
      </c>
      <c r="N143" t="s">
        <v>67</v>
      </c>
      <c r="R143" t="s">
        <v>56</v>
      </c>
      <c r="S143">
        <v>1</v>
      </c>
      <c r="U143">
        <v>1</v>
      </c>
      <c r="V143" t="s">
        <v>68</v>
      </c>
      <c r="Z143" t="s">
        <v>45</v>
      </c>
      <c r="AA143">
        <v>1</v>
      </c>
      <c r="AC143">
        <v>1</v>
      </c>
      <c r="AD143" t="s">
        <v>47</v>
      </c>
      <c r="AE143" t="s">
        <v>76</v>
      </c>
      <c r="AH143">
        <v>4</v>
      </c>
      <c r="AI143">
        <v>30</v>
      </c>
      <c r="AJ143">
        <v>30</v>
      </c>
      <c r="AK143">
        <v>2</v>
      </c>
    </row>
    <row r="144" spans="1:37" x14ac:dyDescent="0.25">
      <c r="A144" t="s">
        <v>375</v>
      </c>
      <c r="B144" t="s">
        <v>56</v>
      </c>
      <c r="C144">
        <v>1</v>
      </c>
      <c r="E144">
        <v>3</v>
      </c>
      <c r="F144" t="s">
        <v>68</v>
      </c>
      <c r="G144" t="s">
        <v>69</v>
      </c>
      <c r="H144" t="s">
        <v>91</v>
      </c>
      <c r="J144" t="s">
        <v>45</v>
      </c>
      <c r="K144">
        <v>1</v>
      </c>
      <c r="M144">
        <v>1</v>
      </c>
      <c r="N144" t="s">
        <v>47</v>
      </c>
      <c r="R144" t="s">
        <v>43</v>
      </c>
      <c r="S144">
        <v>1</v>
      </c>
      <c r="U144">
        <v>1</v>
      </c>
      <c r="V144" t="s">
        <v>73</v>
      </c>
      <c r="W144" t="s">
        <v>74</v>
      </c>
      <c r="X144" t="s">
        <v>75</v>
      </c>
      <c r="Y144" t="s">
        <v>112</v>
      </c>
      <c r="Z144" t="s">
        <v>63</v>
      </c>
      <c r="AA144">
        <v>1</v>
      </c>
      <c r="AC144">
        <v>2</v>
      </c>
      <c r="AD144" t="s">
        <v>72</v>
      </c>
      <c r="AE144" t="s">
        <v>95</v>
      </c>
      <c r="AF144" t="s">
        <v>168</v>
      </c>
      <c r="AG144" t="s">
        <v>170</v>
      </c>
      <c r="AH144">
        <v>11</v>
      </c>
      <c r="AI144">
        <v>66</v>
      </c>
      <c r="AJ144">
        <v>30</v>
      </c>
      <c r="AK144">
        <v>2</v>
      </c>
    </row>
    <row r="145" spans="1:37" x14ac:dyDescent="0.25">
      <c r="A145" t="s">
        <v>376</v>
      </c>
      <c r="B145" t="s">
        <v>43</v>
      </c>
      <c r="C145">
        <v>1</v>
      </c>
      <c r="E145">
        <v>1</v>
      </c>
      <c r="F145" t="s">
        <v>73</v>
      </c>
      <c r="G145" t="s">
        <v>74</v>
      </c>
      <c r="J145" t="s">
        <v>38</v>
      </c>
      <c r="K145">
        <v>1</v>
      </c>
      <c r="L145">
        <v>1</v>
      </c>
      <c r="M145">
        <v>1</v>
      </c>
      <c r="N145" t="s">
        <v>67</v>
      </c>
      <c r="R145" t="s">
        <v>56</v>
      </c>
      <c r="S145">
        <v>1</v>
      </c>
      <c r="U145">
        <v>1</v>
      </c>
      <c r="V145" t="s">
        <v>68</v>
      </c>
      <c r="W145" t="s">
        <v>69</v>
      </c>
      <c r="X145" t="s">
        <v>87</v>
      </c>
      <c r="Z145" t="s">
        <v>45</v>
      </c>
      <c r="AA145">
        <v>1</v>
      </c>
      <c r="AC145">
        <v>1</v>
      </c>
      <c r="AD145" t="s">
        <v>47</v>
      </c>
      <c r="AE145" t="s">
        <v>162</v>
      </c>
      <c r="AH145">
        <v>4</v>
      </c>
      <c r="AI145">
        <v>27</v>
      </c>
      <c r="AJ145">
        <v>30</v>
      </c>
      <c r="AK145">
        <v>2</v>
      </c>
    </row>
    <row r="146" spans="1:37" x14ac:dyDescent="0.25">
      <c r="A146" t="s">
        <v>377</v>
      </c>
      <c r="B146" t="s">
        <v>63</v>
      </c>
      <c r="C146">
        <v>1</v>
      </c>
      <c r="E146">
        <v>3</v>
      </c>
      <c r="F146" t="s">
        <v>72</v>
      </c>
      <c r="G146" t="s">
        <v>103</v>
      </c>
      <c r="H146" t="s">
        <v>168</v>
      </c>
      <c r="J146" t="s">
        <v>38</v>
      </c>
      <c r="K146">
        <v>1</v>
      </c>
      <c r="L146">
        <v>1</v>
      </c>
      <c r="M146">
        <v>1</v>
      </c>
      <c r="N146" t="s">
        <v>67</v>
      </c>
      <c r="R146" t="s">
        <v>56</v>
      </c>
      <c r="S146">
        <v>1</v>
      </c>
      <c r="U146">
        <v>2</v>
      </c>
      <c r="V146" t="s">
        <v>68</v>
      </c>
      <c r="W146" t="s">
        <v>69</v>
      </c>
      <c r="Z146" t="s">
        <v>45</v>
      </c>
      <c r="AA146">
        <v>1</v>
      </c>
      <c r="AC146">
        <v>2</v>
      </c>
      <c r="AD146" t="s">
        <v>47</v>
      </c>
      <c r="AE146" t="s">
        <v>76</v>
      </c>
      <c r="AH146">
        <v>8</v>
      </c>
      <c r="AI146">
        <v>55</v>
      </c>
      <c r="AJ146">
        <v>30</v>
      </c>
      <c r="AK146">
        <v>2</v>
      </c>
    </row>
    <row r="147" spans="1:37" x14ac:dyDescent="0.25">
      <c r="A147" t="s">
        <v>378</v>
      </c>
      <c r="B147" t="s">
        <v>48</v>
      </c>
      <c r="C147">
        <v>1</v>
      </c>
      <c r="E147">
        <v>1</v>
      </c>
      <c r="F147" t="s">
        <v>49</v>
      </c>
      <c r="G147" t="s">
        <v>71</v>
      </c>
      <c r="H147" t="s">
        <v>94</v>
      </c>
      <c r="I147" t="s">
        <v>52</v>
      </c>
      <c r="J147" t="s">
        <v>33</v>
      </c>
      <c r="K147">
        <v>1</v>
      </c>
      <c r="M147">
        <v>1</v>
      </c>
      <c r="N147" t="s">
        <v>46</v>
      </c>
      <c r="O147" t="s">
        <v>35</v>
      </c>
      <c r="R147" t="s">
        <v>56</v>
      </c>
      <c r="S147">
        <v>1</v>
      </c>
      <c r="U147">
        <v>2</v>
      </c>
      <c r="V147" t="s">
        <v>57</v>
      </c>
      <c r="Z147" t="s">
        <v>63</v>
      </c>
      <c r="AA147">
        <v>1</v>
      </c>
      <c r="AC147">
        <v>1</v>
      </c>
      <c r="AD147" t="s">
        <v>72</v>
      </c>
      <c r="AE147" t="s">
        <v>167</v>
      </c>
      <c r="AF147" t="s">
        <v>119</v>
      </c>
      <c r="AH147">
        <v>7</v>
      </c>
      <c r="AI147">
        <v>35</v>
      </c>
      <c r="AJ147">
        <v>30</v>
      </c>
      <c r="AK147">
        <v>2</v>
      </c>
    </row>
    <row r="148" spans="1:37" x14ac:dyDescent="0.25">
      <c r="A148" t="s">
        <v>379</v>
      </c>
      <c r="B148" t="s">
        <v>56</v>
      </c>
      <c r="C148">
        <v>1</v>
      </c>
      <c r="E148">
        <v>1</v>
      </c>
      <c r="F148" t="s">
        <v>68</v>
      </c>
      <c r="G148" t="s">
        <v>69</v>
      </c>
      <c r="J148" t="s">
        <v>63</v>
      </c>
      <c r="K148">
        <v>3</v>
      </c>
      <c r="M148">
        <v>3</v>
      </c>
      <c r="N148" t="s">
        <v>72</v>
      </c>
      <c r="O148" t="s">
        <v>167</v>
      </c>
      <c r="P148" t="s">
        <v>119</v>
      </c>
      <c r="Q148" t="s">
        <v>172</v>
      </c>
      <c r="R148" t="s">
        <v>48</v>
      </c>
      <c r="S148">
        <v>2</v>
      </c>
      <c r="U148">
        <v>3</v>
      </c>
      <c r="V148" t="s">
        <v>49</v>
      </c>
      <c r="W148" t="s">
        <v>85</v>
      </c>
      <c r="X148" t="s">
        <v>51</v>
      </c>
      <c r="Y148" t="s">
        <v>52</v>
      </c>
      <c r="Z148" t="s">
        <v>43</v>
      </c>
      <c r="AA148">
        <v>1</v>
      </c>
      <c r="AC148">
        <v>3</v>
      </c>
      <c r="AD148" t="s">
        <v>73</v>
      </c>
      <c r="AE148" t="s">
        <v>74</v>
      </c>
      <c r="AF148" t="s">
        <v>75</v>
      </c>
      <c r="AG148" t="s">
        <v>112</v>
      </c>
      <c r="AH148">
        <v>21</v>
      </c>
      <c r="AI148">
        <v>84</v>
      </c>
      <c r="AJ148">
        <v>30</v>
      </c>
      <c r="AK148">
        <v>2</v>
      </c>
    </row>
    <row r="149" spans="1:37" x14ac:dyDescent="0.25">
      <c r="A149" t="s">
        <v>380</v>
      </c>
      <c r="B149" t="s">
        <v>56</v>
      </c>
      <c r="C149">
        <v>1</v>
      </c>
      <c r="E149">
        <v>1</v>
      </c>
      <c r="F149" t="s">
        <v>68</v>
      </c>
      <c r="G149" t="s">
        <v>69</v>
      </c>
      <c r="H149" t="s">
        <v>91</v>
      </c>
      <c r="J149" t="s">
        <v>63</v>
      </c>
      <c r="K149">
        <v>1</v>
      </c>
      <c r="M149">
        <v>1</v>
      </c>
      <c r="N149" t="s">
        <v>72</v>
      </c>
      <c r="O149" t="s">
        <v>95</v>
      </c>
      <c r="R149" t="s">
        <v>48</v>
      </c>
      <c r="S149">
        <v>1</v>
      </c>
      <c r="U149">
        <v>1</v>
      </c>
      <c r="V149" t="s">
        <v>49</v>
      </c>
      <c r="W149" t="s">
        <v>50</v>
      </c>
      <c r="X149" t="s">
        <v>148</v>
      </c>
      <c r="Z149" t="s">
        <v>45</v>
      </c>
      <c r="AA149">
        <v>1</v>
      </c>
      <c r="AC149">
        <v>1</v>
      </c>
      <c r="AD149" t="s">
        <v>47</v>
      </c>
      <c r="AE149" t="s">
        <v>99</v>
      </c>
      <c r="AF149" t="s">
        <v>100</v>
      </c>
      <c r="AH149">
        <v>7</v>
      </c>
      <c r="AI149">
        <v>27</v>
      </c>
      <c r="AJ149">
        <v>30</v>
      </c>
      <c r="AK149">
        <v>2</v>
      </c>
    </row>
    <row r="150" spans="1:37" x14ac:dyDescent="0.25">
      <c r="A150" t="s">
        <v>381</v>
      </c>
      <c r="B150" t="s">
        <v>56</v>
      </c>
      <c r="C150">
        <v>1</v>
      </c>
      <c r="E150">
        <v>1</v>
      </c>
      <c r="F150" t="s">
        <v>68</v>
      </c>
      <c r="G150" t="s">
        <v>69</v>
      </c>
      <c r="J150" t="s">
        <v>63</v>
      </c>
      <c r="K150">
        <v>1</v>
      </c>
      <c r="M150">
        <v>1</v>
      </c>
      <c r="N150" t="s">
        <v>72</v>
      </c>
      <c r="R150" t="s">
        <v>48</v>
      </c>
      <c r="S150">
        <v>1</v>
      </c>
      <c r="U150">
        <v>1</v>
      </c>
      <c r="V150" t="s">
        <v>49</v>
      </c>
      <c r="Z150" t="s">
        <v>38</v>
      </c>
      <c r="AA150">
        <v>1</v>
      </c>
      <c r="AB150">
        <v>1</v>
      </c>
      <c r="AC150">
        <v>2</v>
      </c>
      <c r="AD150" t="s">
        <v>67</v>
      </c>
      <c r="AH150">
        <v>2</v>
      </c>
      <c r="AI150">
        <v>30</v>
      </c>
      <c r="AJ150">
        <v>30</v>
      </c>
      <c r="AK150">
        <v>2</v>
      </c>
    </row>
    <row r="151" spans="1:37" x14ac:dyDescent="0.25">
      <c r="A151" t="s">
        <v>382</v>
      </c>
      <c r="B151" t="s">
        <v>33</v>
      </c>
      <c r="C151">
        <v>1</v>
      </c>
      <c r="E151">
        <v>1</v>
      </c>
      <c r="F151" t="s">
        <v>46</v>
      </c>
      <c r="J151" t="s">
        <v>43</v>
      </c>
      <c r="K151">
        <v>1</v>
      </c>
      <c r="M151">
        <v>1</v>
      </c>
      <c r="N151" t="s">
        <v>73</v>
      </c>
      <c r="O151" t="s">
        <v>74</v>
      </c>
      <c r="R151" t="s">
        <v>56</v>
      </c>
      <c r="S151">
        <v>1</v>
      </c>
      <c r="U151">
        <v>1</v>
      </c>
      <c r="V151" t="s">
        <v>68</v>
      </c>
      <c r="Z151" t="s">
        <v>63</v>
      </c>
      <c r="AA151">
        <v>1</v>
      </c>
      <c r="AC151">
        <v>1</v>
      </c>
      <c r="AD151" t="s">
        <v>72</v>
      </c>
      <c r="AH151">
        <v>1</v>
      </c>
      <c r="AI151">
        <v>28</v>
      </c>
      <c r="AJ151">
        <v>30</v>
      </c>
      <c r="AK151">
        <v>2</v>
      </c>
    </row>
    <row r="152" spans="1:37" x14ac:dyDescent="0.25">
      <c r="A152" t="s">
        <v>383</v>
      </c>
      <c r="B152" t="s">
        <v>33</v>
      </c>
      <c r="C152">
        <v>1</v>
      </c>
      <c r="E152">
        <v>1</v>
      </c>
      <c r="F152" t="s">
        <v>46</v>
      </c>
      <c r="G152" t="s">
        <v>66</v>
      </c>
      <c r="H152" t="s">
        <v>36</v>
      </c>
      <c r="J152" t="s">
        <v>45</v>
      </c>
      <c r="K152">
        <v>1</v>
      </c>
      <c r="M152">
        <v>1</v>
      </c>
      <c r="N152" t="s">
        <v>47</v>
      </c>
      <c r="O152" t="s">
        <v>76</v>
      </c>
      <c r="P152" t="s">
        <v>100</v>
      </c>
      <c r="R152" t="s">
        <v>56</v>
      </c>
      <c r="S152">
        <v>1</v>
      </c>
      <c r="U152">
        <v>1</v>
      </c>
      <c r="V152" t="s">
        <v>68</v>
      </c>
      <c r="Z152" t="s">
        <v>63</v>
      </c>
      <c r="AA152">
        <v>1</v>
      </c>
      <c r="AC152">
        <v>1</v>
      </c>
      <c r="AD152" t="s">
        <v>72</v>
      </c>
      <c r="AH152">
        <v>4</v>
      </c>
      <c r="AI152">
        <v>41</v>
      </c>
      <c r="AJ152">
        <v>30</v>
      </c>
      <c r="AK152">
        <v>2</v>
      </c>
    </row>
    <row r="153" spans="1:37" x14ac:dyDescent="0.25">
      <c r="A153" t="s">
        <v>395</v>
      </c>
      <c r="B153" t="s">
        <v>56</v>
      </c>
      <c r="C153">
        <v>1</v>
      </c>
      <c r="E153">
        <v>1</v>
      </c>
      <c r="F153" t="s">
        <v>68</v>
      </c>
      <c r="G153" t="s">
        <v>142</v>
      </c>
      <c r="J153" t="s">
        <v>63</v>
      </c>
      <c r="K153">
        <v>1</v>
      </c>
      <c r="M153">
        <v>1</v>
      </c>
      <c r="N153" t="s">
        <v>72</v>
      </c>
      <c r="O153" t="s">
        <v>103</v>
      </c>
      <c r="R153" t="s">
        <v>33</v>
      </c>
      <c r="S153">
        <v>1</v>
      </c>
      <c r="U153">
        <v>1</v>
      </c>
      <c r="V153" t="s">
        <v>46</v>
      </c>
      <c r="Z153" t="s">
        <v>38</v>
      </c>
      <c r="AA153">
        <v>1</v>
      </c>
      <c r="AB153">
        <v>1</v>
      </c>
      <c r="AC153">
        <v>2</v>
      </c>
      <c r="AD153" t="s">
        <v>67</v>
      </c>
      <c r="AE153" t="s">
        <v>40</v>
      </c>
      <c r="AH153">
        <v>4</v>
      </c>
      <c r="AI153">
        <v>40</v>
      </c>
      <c r="AJ153">
        <v>30</v>
      </c>
      <c r="AK153">
        <v>2</v>
      </c>
    </row>
    <row r="154" spans="1:37" x14ac:dyDescent="0.25">
      <c r="A154" t="s">
        <v>396</v>
      </c>
      <c r="B154" t="s">
        <v>56</v>
      </c>
      <c r="C154">
        <v>1</v>
      </c>
      <c r="E154">
        <v>1</v>
      </c>
      <c r="F154" t="s">
        <v>68</v>
      </c>
      <c r="G154" t="s">
        <v>69</v>
      </c>
      <c r="J154" t="s">
        <v>63</v>
      </c>
      <c r="K154">
        <v>1</v>
      </c>
      <c r="M154">
        <v>2</v>
      </c>
      <c r="N154" t="s">
        <v>72</v>
      </c>
      <c r="R154" t="s">
        <v>43</v>
      </c>
      <c r="S154">
        <v>1</v>
      </c>
      <c r="U154">
        <v>1</v>
      </c>
      <c r="V154" t="s">
        <v>73</v>
      </c>
      <c r="Z154" t="s">
        <v>45</v>
      </c>
      <c r="AA154">
        <v>1</v>
      </c>
      <c r="AC154">
        <v>2</v>
      </c>
      <c r="AD154" t="s">
        <v>47</v>
      </c>
      <c r="AE154" t="s">
        <v>76</v>
      </c>
      <c r="AH154">
        <v>4</v>
      </c>
      <c r="AI154">
        <v>36</v>
      </c>
      <c r="AJ154">
        <v>30</v>
      </c>
      <c r="AK154">
        <v>2</v>
      </c>
    </row>
    <row r="155" spans="1:37" x14ac:dyDescent="0.25">
      <c r="A155" t="s">
        <v>397</v>
      </c>
      <c r="B155" t="s">
        <v>43</v>
      </c>
      <c r="C155">
        <v>1</v>
      </c>
      <c r="E155">
        <v>1</v>
      </c>
      <c r="F155" t="s">
        <v>73</v>
      </c>
      <c r="G155" t="s">
        <v>74</v>
      </c>
      <c r="H155" t="s">
        <v>158</v>
      </c>
      <c r="J155" t="s">
        <v>38</v>
      </c>
      <c r="K155">
        <v>2</v>
      </c>
      <c r="L155">
        <v>2</v>
      </c>
      <c r="M155">
        <v>1</v>
      </c>
      <c r="N155" t="s">
        <v>67</v>
      </c>
      <c r="O155" t="s">
        <v>70</v>
      </c>
      <c r="R155" t="s">
        <v>56</v>
      </c>
      <c r="S155">
        <v>1</v>
      </c>
      <c r="U155">
        <v>1</v>
      </c>
      <c r="V155" t="s">
        <v>68</v>
      </c>
      <c r="W155" t="s">
        <v>69</v>
      </c>
      <c r="X155" t="s">
        <v>91</v>
      </c>
      <c r="Z155" t="s">
        <v>63</v>
      </c>
      <c r="AA155">
        <v>1</v>
      </c>
      <c r="AC155">
        <v>1</v>
      </c>
      <c r="AD155" t="s">
        <v>72</v>
      </c>
      <c r="AE155" t="s">
        <v>167</v>
      </c>
      <c r="AH155">
        <v>8</v>
      </c>
      <c r="AI155">
        <v>46</v>
      </c>
      <c r="AJ155">
        <v>30</v>
      </c>
      <c r="AK155">
        <v>2</v>
      </c>
    </row>
    <row r="156" spans="1:37" x14ac:dyDescent="0.25">
      <c r="A156" t="s">
        <v>398</v>
      </c>
      <c r="B156" t="s">
        <v>56</v>
      </c>
      <c r="C156">
        <v>1</v>
      </c>
      <c r="E156">
        <v>3</v>
      </c>
      <c r="F156" t="s">
        <v>68</v>
      </c>
      <c r="G156" t="s">
        <v>69</v>
      </c>
      <c r="J156" t="s">
        <v>63</v>
      </c>
      <c r="K156">
        <v>1</v>
      </c>
      <c r="M156">
        <v>1</v>
      </c>
      <c r="N156" t="s">
        <v>72</v>
      </c>
      <c r="R156" t="s">
        <v>45</v>
      </c>
      <c r="S156">
        <v>1</v>
      </c>
      <c r="U156">
        <v>1</v>
      </c>
      <c r="V156" t="s">
        <v>47</v>
      </c>
      <c r="W156" t="s">
        <v>76</v>
      </c>
      <c r="X156" t="s">
        <v>100</v>
      </c>
      <c r="Y156" t="s">
        <v>164</v>
      </c>
      <c r="Z156" t="s">
        <v>38</v>
      </c>
      <c r="AA156">
        <v>2</v>
      </c>
      <c r="AB156">
        <v>1</v>
      </c>
      <c r="AC156">
        <v>1</v>
      </c>
      <c r="AD156" t="s">
        <v>67</v>
      </c>
      <c r="AH156">
        <v>7</v>
      </c>
      <c r="AI156">
        <v>28</v>
      </c>
      <c r="AJ156">
        <v>30</v>
      </c>
      <c r="AK156">
        <v>2</v>
      </c>
    </row>
    <row r="157" spans="1:37" x14ac:dyDescent="0.25">
      <c r="A157" t="s">
        <v>399</v>
      </c>
      <c r="B157" t="s">
        <v>48</v>
      </c>
      <c r="C157">
        <v>1</v>
      </c>
      <c r="E157">
        <v>1</v>
      </c>
      <c r="F157" t="s">
        <v>49</v>
      </c>
      <c r="G157" t="s">
        <v>50</v>
      </c>
      <c r="J157" t="s">
        <v>33</v>
      </c>
      <c r="K157">
        <v>1</v>
      </c>
      <c r="M157">
        <v>1</v>
      </c>
      <c r="N157" t="s">
        <v>65</v>
      </c>
      <c r="O157" t="s">
        <v>35</v>
      </c>
      <c r="R157" t="s">
        <v>56</v>
      </c>
      <c r="S157">
        <v>1</v>
      </c>
      <c r="U157">
        <v>1</v>
      </c>
      <c r="V157" t="s">
        <v>68</v>
      </c>
      <c r="Z157" t="s">
        <v>38</v>
      </c>
      <c r="AA157">
        <v>1</v>
      </c>
      <c r="AB157">
        <v>1</v>
      </c>
      <c r="AC157">
        <v>1</v>
      </c>
      <c r="AD157" t="s">
        <v>67</v>
      </c>
      <c r="AH157">
        <v>2</v>
      </c>
      <c r="AI157">
        <v>27</v>
      </c>
      <c r="AJ157">
        <v>30</v>
      </c>
      <c r="AK157">
        <v>2</v>
      </c>
    </row>
    <row r="158" spans="1:37" x14ac:dyDescent="0.25">
      <c r="A158" t="s">
        <v>400</v>
      </c>
      <c r="B158" t="s">
        <v>56</v>
      </c>
      <c r="C158">
        <v>1</v>
      </c>
      <c r="E158">
        <v>1</v>
      </c>
      <c r="F158" t="s">
        <v>68</v>
      </c>
      <c r="J158" t="s">
        <v>38</v>
      </c>
      <c r="K158">
        <v>2</v>
      </c>
      <c r="L158">
        <v>1</v>
      </c>
      <c r="M158">
        <v>1</v>
      </c>
      <c r="N158" t="s">
        <v>67</v>
      </c>
      <c r="O158" t="s">
        <v>40</v>
      </c>
      <c r="P158" t="s">
        <v>41</v>
      </c>
      <c r="R158" t="s">
        <v>48</v>
      </c>
      <c r="S158">
        <v>1</v>
      </c>
      <c r="U158">
        <v>1</v>
      </c>
      <c r="V158" t="s">
        <v>49</v>
      </c>
      <c r="Z158" t="s">
        <v>43</v>
      </c>
      <c r="AA158">
        <v>1</v>
      </c>
      <c r="AC158">
        <v>1</v>
      </c>
      <c r="AD158" t="s">
        <v>73</v>
      </c>
      <c r="AE158" t="s">
        <v>74</v>
      </c>
      <c r="AF158" t="s">
        <v>75</v>
      </c>
      <c r="AH158">
        <v>5</v>
      </c>
      <c r="AI158">
        <v>27</v>
      </c>
      <c r="AJ158">
        <v>30</v>
      </c>
      <c r="AK158">
        <v>2</v>
      </c>
    </row>
    <row r="159" spans="1:37" x14ac:dyDescent="0.25">
      <c r="A159" t="s">
        <v>401</v>
      </c>
      <c r="B159" t="s">
        <v>56</v>
      </c>
      <c r="C159">
        <v>1</v>
      </c>
      <c r="E159">
        <v>1</v>
      </c>
      <c r="F159" t="s">
        <v>68</v>
      </c>
      <c r="J159" t="s">
        <v>38</v>
      </c>
      <c r="K159">
        <v>2</v>
      </c>
      <c r="L159">
        <v>1</v>
      </c>
      <c r="M159">
        <v>1</v>
      </c>
      <c r="N159" t="s">
        <v>67</v>
      </c>
      <c r="R159" t="s">
        <v>48</v>
      </c>
      <c r="S159">
        <v>1</v>
      </c>
      <c r="U159">
        <v>2</v>
      </c>
      <c r="V159" t="s">
        <v>49</v>
      </c>
      <c r="Z159" t="s">
        <v>45</v>
      </c>
      <c r="AA159">
        <v>1</v>
      </c>
      <c r="AC159">
        <v>2</v>
      </c>
      <c r="AD159" t="s">
        <v>47</v>
      </c>
      <c r="AE159" t="s">
        <v>76</v>
      </c>
      <c r="AH159">
        <v>4</v>
      </c>
      <c r="AI159">
        <v>39</v>
      </c>
      <c r="AJ159">
        <v>30</v>
      </c>
      <c r="AK159">
        <v>2</v>
      </c>
    </row>
    <row r="160" spans="1:37" x14ac:dyDescent="0.25">
      <c r="A160" t="s">
        <v>402</v>
      </c>
      <c r="B160" t="s">
        <v>56</v>
      </c>
      <c r="C160">
        <v>1</v>
      </c>
      <c r="E160">
        <v>3</v>
      </c>
      <c r="F160" t="s">
        <v>68</v>
      </c>
      <c r="G160" t="s">
        <v>69</v>
      </c>
      <c r="J160" t="s">
        <v>38</v>
      </c>
      <c r="K160">
        <v>1</v>
      </c>
      <c r="L160">
        <v>1</v>
      </c>
      <c r="M160">
        <v>2</v>
      </c>
      <c r="N160" t="s">
        <v>67</v>
      </c>
      <c r="R160" t="s">
        <v>48</v>
      </c>
      <c r="S160">
        <v>1</v>
      </c>
      <c r="U160">
        <v>1</v>
      </c>
      <c r="V160" t="s">
        <v>49</v>
      </c>
      <c r="W160" t="s">
        <v>71</v>
      </c>
      <c r="Z160" t="s">
        <v>63</v>
      </c>
      <c r="AA160">
        <v>1</v>
      </c>
      <c r="AC160">
        <v>1</v>
      </c>
      <c r="AD160" t="s">
        <v>72</v>
      </c>
      <c r="AE160" t="s">
        <v>103</v>
      </c>
      <c r="AF160" t="s">
        <v>168</v>
      </c>
      <c r="AH160">
        <v>7</v>
      </c>
      <c r="AI160">
        <v>31</v>
      </c>
      <c r="AJ160">
        <v>30</v>
      </c>
      <c r="AK160">
        <v>2</v>
      </c>
    </row>
    <row r="161" spans="1:37" x14ac:dyDescent="0.25">
      <c r="A161" t="s">
        <v>403</v>
      </c>
      <c r="B161" t="s">
        <v>56</v>
      </c>
      <c r="C161">
        <v>1</v>
      </c>
      <c r="E161">
        <v>1</v>
      </c>
      <c r="F161" t="s">
        <v>68</v>
      </c>
      <c r="G161" t="s">
        <v>69</v>
      </c>
      <c r="H161" t="s">
        <v>91</v>
      </c>
      <c r="J161" t="s">
        <v>38</v>
      </c>
      <c r="K161">
        <v>1</v>
      </c>
      <c r="L161">
        <v>1</v>
      </c>
      <c r="M161">
        <v>1</v>
      </c>
      <c r="N161" t="s">
        <v>67</v>
      </c>
      <c r="O161" t="s">
        <v>40</v>
      </c>
      <c r="R161" t="s">
        <v>33</v>
      </c>
      <c r="S161">
        <v>1</v>
      </c>
      <c r="U161">
        <v>1</v>
      </c>
      <c r="V161" t="s">
        <v>65</v>
      </c>
      <c r="W161" t="s">
        <v>35</v>
      </c>
      <c r="Z161" t="s">
        <v>43</v>
      </c>
      <c r="AA161">
        <v>1</v>
      </c>
      <c r="AC161">
        <v>1</v>
      </c>
      <c r="AD161" t="s">
        <v>73</v>
      </c>
      <c r="AH161">
        <v>4</v>
      </c>
      <c r="AI161">
        <v>30</v>
      </c>
      <c r="AJ161">
        <v>30</v>
      </c>
      <c r="AK161">
        <v>2</v>
      </c>
    </row>
    <row r="162" spans="1:37" x14ac:dyDescent="0.25">
      <c r="A162" t="s">
        <v>404</v>
      </c>
      <c r="B162" t="s">
        <v>56</v>
      </c>
      <c r="C162">
        <v>1</v>
      </c>
      <c r="E162">
        <v>1</v>
      </c>
      <c r="F162" t="s">
        <v>68</v>
      </c>
      <c r="G162" t="s">
        <v>69</v>
      </c>
      <c r="H162" t="s">
        <v>91</v>
      </c>
      <c r="J162" t="s">
        <v>38</v>
      </c>
      <c r="K162">
        <v>2</v>
      </c>
      <c r="L162">
        <v>1</v>
      </c>
      <c r="M162">
        <v>1</v>
      </c>
      <c r="N162" t="s">
        <v>67</v>
      </c>
      <c r="O162" t="s">
        <v>105</v>
      </c>
      <c r="R162" t="s">
        <v>33</v>
      </c>
      <c r="S162">
        <v>1</v>
      </c>
      <c r="U162">
        <v>1</v>
      </c>
      <c r="V162" t="s">
        <v>65</v>
      </c>
      <c r="W162" t="s">
        <v>35</v>
      </c>
      <c r="Z162" t="s">
        <v>45</v>
      </c>
      <c r="AA162">
        <v>1</v>
      </c>
      <c r="AC162">
        <v>2</v>
      </c>
      <c r="AD162" t="s">
        <v>47</v>
      </c>
      <c r="AE162" t="s">
        <v>76</v>
      </c>
      <c r="AH162">
        <v>7</v>
      </c>
      <c r="AI162">
        <v>31</v>
      </c>
      <c r="AJ162">
        <v>30</v>
      </c>
      <c r="AK162">
        <v>2</v>
      </c>
    </row>
    <row r="163" spans="1:37" x14ac:dyDescent="0.25">
      <c r="A163" t="s">
        <v>405</v>
      </c>
      <c r="B163" t="s">
        <v>33</v>
      </c>
      <c r="C163">
        <v>1</v>
      </c>
      <c r="E163">
        <v>1</v>
      </c>
      <c r="F163" t="s">
        <v>65</v>
      </c>
      <c r="G163" t="s">
        <v>35</v>
      </c>
      <c r="J163" t="s">
        <v>63</v>
      </c>
      <c r="K163">
        <v>1</v>
      </c>
      <c r="M163">
        <v>1</v>
      </c>
      <c r="N163" t="s">
        <v>72</v>
      </c>
      <c r="O163" t="s">
        <v>103</v>
      </c>
      <c r="R163" t="s">
        <v>56</v>
      </c>
      <c r="S163">
        <v>1</v>
      </c>
      <c r="U163">
        <v>2</v>
      </c>
      <c r="V163" t="s">
        <v>68</v>
      </c>
      <c r="Z163" t="s">
        <v>38</v>
      </c>
      <c r="AA163">
        <v>1</v>
      </c>
      <c r="AB163">
        <v>1</v>
      </c>
      <c r="AC163">
        <v>1</v>
      </c>
      <c r="AD163" t="s">
        <v>67</v>
      </c>
      <c r="AE163" t="s">
        <v>40</v>
      </c>
      <c r="AH163">
        <v>4</v>
      </c>
      <c r="AI163">
        <v>32</v>
      </c>
      <c r="AJ163">
        <v>30</v>
      </c>
      <c r="AK163">
        <v>2</v>
      </c>
    </row>
    <row r="164" spans="1:37" x14ac:dyDescent="0.25">
      <c r="A164" t="s">
        <v>406</v>
      </c>
      <c r="B164" t="s">
        <v>56</v>
      </c>
      <c r="C164">
        <v>1</v>
      </c>
      <c r="E164">
        <v>1</v>
      </c>
      <c r="F164" t="s">
        <v>68</v>
      </c>
      <c r="J164" t="s">
        <v>38</v>
      </c>
      <c r="K164">
        <v>1</v>
      </c>
      <c r="L164">
        <v>1</v>
      </c>
      <c r="M164">
        <v>2</v>
      </c>
      <c r="N164" t="s">
        <v>67</v>
      </c>
      <c r="R164" t="s">
        <v>43</v>
      </c>
      <c r="S164">
        <v>1</v>
      </c>
      <c r="U164">
        <v>1</v>
      </c>
      <c r="V164" t="s">
        <v>73</v>
      </c>
      <c r="W164" t="s">
        <v>74</v>
      </c>
      <c r="Z164" t="s">
        <v>45</v>
      </c>
      <c r="AA164">
        <v>1</v>
      </c>
      <c r="AC164">
        <v>1</v>
      </c>
      <c r="AD164" t="s">
        <v>89</v>
      </c>
      <c r="AE164" t="s">
        <v>162</v>
      </c>
      <c r="AH164">
        <v>3</v>
      </c>
      <c r="AI164">
        <v>22</v>
      </c>
      <c r="AJ164">
        <v>30</v>
      </c>
      <c r="AK164">
        <v>2</v>
      </c>
    </row>
    <row r="165" spans="1:37" x14ac:dyDescent="0.25">
      <c r="A165" t="s">
        <v>407</v>
      </c>
      <c r="B165" t="s">
        <v>56</v>
      </c>
      <c r="C165">
        <v>1</v>
      </c>
      <c r="E165">
        <v>2</v>
      </c>
      <c r="F165" t="s">
        <v>68</v>
      </c>
      <c r="G165" t="s">
        <v>143</v>
      </c>
      <c r="J165" t="s">
        <v>38</v>
      </c>
      <c r="K165">
        <v>1</v>
      </c>
      <c r="L165">
        <v>1</v>
      </c>
      <c r="M165">
        <v>1</v>
      </c>
      <c r="N165" t="s">
        <v>67</v>
      </c>
      <c r="O165" t="s">
        <v>105</v>
      </c>
      <c r="P165" t="s">
        <v>41</v>
      </c>
      <c r="Q165" t="s">
        <v>177</v>
      </c>
      <c r="R165" t="s">
        <v>43</v>
      </c>
      <c r="S165">
        <v>1</v>
      </c>
      <c r="U165">
        <v>1</v>
      </c>
      <c r="V165" t="s">
        <v>73</v>
      </c>
      <c r="W165" t="s">
        <v>74</v>
      </c>
      <c r="X165" t="s">
        <v>75</v>
      </c>
      <c r="Z165" t="s">
        <v>63</v>
      </c>
      <c r="AA165">
        <v>1</v>
      </c>
      <c r="AC165">
        <v>1</v>
      </c>
      <c r="AD165" t="s">
        <v>72</v>
      </c>
      <c r="AE165" t="s">
        <v>167</v>
      </c>
      <c r="AH165">
        <v>8</v>
      </c>
      <c r="AI165">
        <v>42</v>
      </c>
      <c r="AJ165">
        <v>30</v>
      </c>
      <c r="AK165">
        <v>2</v>
      </c>
    </row>
    <row r="166" spans="1:37" x14ac:dyDescent="0.25">
      <c r="A166" t="s">
        <v>408</v>
      </c>
      <c r="B166" t="s">
        <v>45</v>
      </c>
      <c r="C166">
        <v>1</v>
      </c>
      <c r="E166">
        <v>1</v>
      </c>
      <c r="F166" t="s">
        <v>47</v>
      </c>
      <c r="G166" t="s">
        <v>76</v>
      </c>
      <c r="J166" t="s">
        <v>63</v>
      </c>
      <c r="K166">
        <v>1</v>
      </c>
      <c r="M166">
        <v>1</v>
      </c>
      <c r="N166" t="s">
        <v>72</v>
      </c>
      <c r="O166" t="s">
        <v>167</v>
      </c>
      <c r="P166" t="s">
        <v>119</v>
      </c>
      <c r="Q166" t="s">
        <v>172</v>
      </c>
      <c r="R166" t="s">
        <v>56</v>
      </c>
      <c r="S166">
        <v>1</v>
      </c>
      <c r="U166">
        <v>1</v>
      </c>
      <c r="V166" t="s">
        <v>68</v>
      </c>
      <c r="W166" t="s">
        <v>143</v>
      </c>
      <c r="Z166" t="s">
        <v>38</v>
      </c>
      <c r="AA166">
        <v>3</v>
      </c>
      <c r="AB166">
        <v>1</v>
      </c>
      <c r="AC166">
        <v>1</v>
      </c>
      <c r="AD166" t="s">
        <v>67</v>
      </c>
      <c r="AH166">
        <v>7</v>
      </c>
      <c r="AI166">
        <v>42</v>
      </c>
      <c r="AJ166">
        <v>30</v>
      </c>
      <c r="AK166">
        <v>2</v>
      </c>
    </row>
    <row r="167" spans="1:37" x14ac:dyDescent="0.25">
      <c r="A167" t="s">
        <v>409</v>
      </c>
      <c r="B167" t="s">
        <v>43</v>
      </c>
      <c r="C167">
        <v>1</v>
      </c>
      <c r="E167">
        <v>1</v>
      </c>
      <c r="F167" t="s">
        <v>73</v>
      </c>
      <c r="G167" t="s">
        <v>74</v>
      </c>
      <c r="H167" t="s">
        <v>75</v>
      </c>
      <c r="J167" t="s">
        <v>45</v>
      </c>
      <c r="K167">
        <v>1</v>
      </c>
      <c r="M167">
        <v>3</v>
      </c>
      <c r="N167" t="s">
        <v>47</v>
      </c>
      <c r="R167" t="s">
        <v>48</v>
      </c>
      <c r="S167">
        <v>1</v>
      </c>
      <c r="U167">
        <v>2</v>
      </c>
      <c r="V167" t="s">
        <v>147</v>
      </c>
      <c r="Z167" t="s">
        <v>33</v>
      </c>
      <c r="AA167">
        <v>1</v>
      </c>
      <c r="AC167">
        <v>2</v>
      </c>
      <c r="AD167" t="s">
        <v>65</v>
      </c>
      <c r="AE167" t="s">
        <v>35</v>
      </c>
      <c r="AF167" t="s">
        <v>36</v>
      </c>
      <c r="AH167">
        <v>8</v>
      </c>
      <c r="AI167">
        <v>35</v>
      </c>
      <c r="AJ167">
        <v>30</v>
      </c>
      <c r="AK167">
        <v>2</v>
      </c>
    </row>
    <row r="168" spans="1:37" x14ac:dyDescent="0.25">
      <c r="A168" t="s">
        <v>410</v>
      </c>
      <c r="B168" t="s">
        <v>43</v>
      </c>
      <c r="C168">
        <v>1</v>
      </c>
      <c r="E168">
        <v>1</v>
      </c>
      <c r="F168" t="s">
        <v>73</v>
      </c>
      <c r="G168" t="s">
        <v>74</v>
      </c>
      <c r="J168" t="s">
        <v>63</v>
      </c>
      <c r="K168">
        <v>1</v>
      </c>
      <c r="M168">
        <v>1</v>
      </c>
      <c r="N168" t="s">
        <v>72</v>
      </c>
      <c r="R168" t="s">
        <v>48</v>
      </c>
      <c r="S168">
        <v>1</v>
      </c>
      <c r="U168">
        <v>1</v>
      </c>
      <c r="V168" t="s">
        <v>49</v>
      </c>
      <c r="Z168" t="s">
        <v>33</v>
      </c>
      <c r="AA168">
        <v>1</v>
      </c>
      <c r="AC168">
        <v>1</v>
      </c>
      <c r="AD168" t="s">
        <v>65</v>
      </c>
      <c r="AE168" t="s">
        <v>35</v>
      </c>
      <c r="AH168">
        <v>2</v>
      </c>
      <c r="AI168">
        <v>29</v>
      </c>
      <c r="AJ168">
        <v>30</v>
      </c>
      <c r="AK168">
        <v>2</v>
      </c>
    </row>
    <row r="169" spans="1:37" x14ac:dyDescent="0.25">
      <c r="A169" t="s">
        <v>411</v>
      </c>
      <c r="B169" t="s">
        <v>43</v>
      </c>
      <c r="C169">
        <v>1</v>
      </c>
      <c r="E169">
        <v>1</v>
      </c>
      <c r="F169" t="s">
        <v>73</v>
      </c>
      <c r="G169" t="s">
        <v>74</v>
      </c>
      <c r="J169" t="s">
        <v>38</v>
      </c>
      <c r="K169">
        <v>1</v>
      </c>
      <c r="L169">
        <v>1</v>
      </c>
      <c r="M169">
        <v>2</v>
      </c>
      <c r="N169" t="s">
        <v>67</v>
      </c>
      <c r="O169" t="s">
        <v>70</v>
      </c>
      <c r="R169" t="s">
        <v>48</v>
      </c>
      <c r="S169">
        <v>1</v>
      </c>
      <c r="U169">
        <v>2</v>
      </c>
      <c r="V169" t="s">
        <v>49</v>
      </c>
      <c r="W169" t="s">
        <v>85</v>
      </c>
      <c r="Z169" t="s">
        <v>33</v>
      </c>
      <c r="AA169">
        <v>1</v>
      </c>
      <c r="AC169">
        <v>1</v>
      </c>
      <c r="AD169" t="s">
        <v>46</v>
      </c>
      <c r="AH169">
        <v>5</v>
      </c>
      <c r="AI169">
        <v>40</v>
      </c>
      <c r="AJ169">
        <v>30</v>
      </c>
      <c r="AK169">
        <v>2</v>
      </c>
    </row>
    <row r="170" spans="1:37" x14ac:dyDescent="0.25">
      <c r="A170" t="s">
        <v>412</v>
      </c>
      <c r="B170" t="s">
        <v>45</v>
      </c>
      <c r="C170">
        <v>1</v>
      </c>
      <c r="E170">
        <v>1</v>
      </c>
      <c r="F170" t="s">
        <v>47</v>
      </c>
      <c r="G170" t="s">
        <v>76</v>
      </c>
      <c r="H170" t="s">
        <v>100</v>
      </c>
      <c r="J170" t="s">
        <v>63</v>
      </c>
      <c r="K170">
        <v>1</v>
      </c>
      <c r="M170">
        <v>1</v>
      </c>
      <c r="N170" t="s">
        <v>72</v>
      </c>
      <c r="O170" t="s">
        <v>167</v>
      </c>
      <c r="R170" t="s">
        <v>48</v>
      </c>
      <c r="S170">
        <v>1</v>
      </c>
      <c r="U170">
        <v>2</v>
      </c>
      <c r="V170" t="s">
        <v>49</v>
      </c>
      <c r="Z170" t="s">
        <v>33</v>
      </c>
      <c r="AA170">
        <v>1</v>
      </c>
      <c r="AC170">
        <v>1</v>
      </c>
      <c r="AD170" t="s">
        <v>46</v>
      </c>
      <c r="AE170" t="s">
        <v>66</v>
      </c>
      <c r="AH170">
        <v>5</v>
      </c>
      <c r="AI170">
        <v>38</v>
      </c>
      <c r="AJ170">
        <v>30</v>
      </c>
      <c r="AK170">
        <v>2</v>
      </c>
    </row>
    <row r="171" spans="1:37" x14ac:dyDescent="0.25">
      <c r="A171" t="s">
        <v>413</v>
      </c>
      <c r="B171" t="s">
        <v>45</v>
      </c>
      <c r="C171">
        <v>1</v>
      </c>
      <c r="E171">
        <v>1</v>
      </c>
      <c r="F171" t="s">
        <v>47</v>
      </c>
      <c r="G171" t="s">
        <v>99</v>
      </c>
      <c r="H171" t="s">
        <v>100</v>
      </c>
      <c r="J171" t="s">
        <v>38</v>
      </c>
      <c r="K171">
        <v>1</v>
      </c>
      <c r="L171">
        <v>1</v>
      </c>
      <c r="M171">
        <v>1</v>
      </c>
      <c r="N171" t="s">
        <v>67</v>
      </c>
      <c r="O171" t="s">
        <v>40</v>
      </c>
      <c r="R171" t="s">
        <v>48</v>
      </c>
      <c r="S171">
        <v>1</v>
      </c>
      <c r="U171">
        <v>1</v>
      </c>
      <c r="V171" t="s">
        <v>49</v>
      </c>
      <c r="W171" t="s">
        <v>71</v>
      </c>
      <c r="X171" t="s">
        <v>51</v>
      </c>
      <c r="Z171" t="s">
        <v>33</v>
      </c>
      <c r="AA171">
        <v>1</v>
      </c>
      <c r="AC171">
        <v>1</v>
      </c>
      <c r="AD171" t="s">
        <v>65</v>
      </c>
      <c r="AE171" t="s">
        <v>35</v>
      </c>
      <c r="AH171">
        <v>6</v>
      </c>
      <c r="AI171">
        <v>28</v>
      </c>
      <c r="AJ171">
        <v>30</v>
      </c>
      <c r="AK171">
        <v>2</v>
      </c>
    </row>
    <row r="172" spans="1:37" x14ac:dyDescent="0.25">
      <c r="A172" t="s">
        <v>414</v>
      </c>
      <c r="B172" t="s">
        <v>63</v>
      </c>
      <c r="C172">
        <v>1</v>
      </c>
      <c r="E172">
        <v>1</v>
      </c>
      <c r="F172" t="s">
        <v>72</v>
      </c>
      <c r="J172" t="s">
        <v>38</v>
      </c>
      <c r="K172">
        <v>2</v>
      </c>
      <c r="L172">
        <v>1</v>
      </c>
      <c r="M172">
        <v>1</v>
      </c>
      <c r="N172" t="s">
        <v>67</v>
      </c>
      <c r="O172" t="s">
        <v>40</v>
      </c>
      <c r="R172" t="s">
        <v>48</v>
      </c>
      <c r="S172">
        <v>1</v>
      </c>
      <c r="U172">
        <v>1</v>
      </c>
      <c r="V172" t="s">
        <v>49</v>
      </c>
      <c r="Z172" t="s">
        <v>33</v>
      </c>
      <c r="AA172">
        <v>1</v>
      </c>
      <c r="AC172">
        <v>1</v>
      </c>
      <c r="AD172" t="s">
        <v>65</v>
      </c>
      <c r="AH172">
        <v>2</v>
      </c>
      <c r="AI172">
        <v>16</v>
      </c>
      <c r="AJ172">
        <v>30</v>
      </c>
      <c r="AK172">
        <v>2</v>
      </c>
    </row>
    <row r="173" spans="1:37" x14ac:dyDescent="0.25">
      <c r="A173" t="s">
        <v>415</v>
      </c>
      <c r="B173" t="s">
        <v>48</v>
      </c>
      <c r="C173">
        <v>1</v>
      </c>
      <c r="E173">
        <v>1</v>
      </c>
      <c r="F173" t="s">
        <v>93</v>
      </c>
      <c r="G173" t="s">
        <v>71</v>
      </c>
      <c r="J173" t="s">
        <v>43</v>
      </c>
      <c r="K173">
        <v>1</v>
      </c>
      <c r="M173">
        <v>1</v>
      </c>
      <c r="N173" t="s">
        <v>73</v>
      </c>
      <c r="O173" t="s">
        <v>110</v>
      </c>
      <c r="P173" t="s">
        <v>75</v>
      </c>
      <c r="R173" t="s">
        <v>33</v>
      </c>
      <c r="S173">
        <v>1</v>
      </c>
      <c r="U173">
        <v>1</v>
      </c>
      <c r="V173" t="s">
        <v>46</v>
      </c>
      <c r="W173" t="s">
        <v>35</v>
      </c>
      <c r="Z173" t="s">
        <v>45</v>
      </c>
      <c r="AA173">
        <v>1</v>
      </c>
      <c r="AC173">
        <v>1</v>
      </c>
      <c r="AD173" t="s">
        <v>47</v>
      </c>
      <c r="AH173">
        <v>4</v>
      </c>
      <c r="AI173">
        <v>24</v>
      </c>
      <c r="AJ173">
        <v>30</v>
      </c>
      <c r="AK173">
        <v>2</v>
      </c>
    </row>
    <row r="174" spans="1:37" x14ac:dyDescent="0.25">
      <c r="A174" t="s">
        <v>416</v>
      </c>
      <c r="B174" t="s">
        <v>48</v>
      </c>
      <c r="C174">
        <v>1</v>
      </c>
      <c r="E174">
        <v>1</v>
      </c>
      <c r="F174" t="s">
        <v>49</v>
      </c>
      <c r="J174" t="s">
        <v>43</v>
      </c>
      <c r="K174">
        <v>1</v>
      </c>
      <c r="M174">
        <v>2</v>
      </c>
      <c r="N174" t="s">
        <v>73</v>
      </c>
      <c r="O174" t="s">
        <v>74</v>
      </c>
      <c r="P174" t="s">
        <v>75</v>
      </c>
      <c r="R174" t="s">
        <v>33</v>
      </c>
      <c r="S174">
        <v>1</v>
      </c>
      <c r="U174">
        <v>1</v>
      </c>
      <c r="V174" t="s">
        <v>65</v>
      </c>
      <c r="W174" t="s">
        <v>35</v>
      </c>
      <c r="Z174" t="s">
        <v>63</v>
      </c>
      <c r="AA174">
        <v>1</v>
      </c>
      <c r="AC174">
        <v>1</v>
      </c>
      <c r="AD174" t="s">
        <v>72</v>
      </c>
      <c r="AH174">
        <v>4</v>
      </c>
      <c r="AI174">
        <v>27</v>
      </c>
      <c r="AJ174">
        <v>30</v>
      </c>
      <c r="AK174">
        <v>2</v>
      </c>
    </row>
    <row r="175" spans="1:37" x14ac:dyDescent="0.25">
      <c r="A175" t="s">
        <v>417</v>
      </c>
      <c r="B175" t="s">
        <v>33</v>
      </c>
      <c r="C175">
        <v>1</v>
      </c>
      <c r="E175">
        <v>1</v>
      </c>
      <c r="F175" t="s">
        <v>46</v>
      </c>
      <c r="G175" t="s">
        <v>35</v>
      </c>
      <c r="J175" t="s">
        <v>38</v>
      </c>
      <c r="K175">
        <v>2</v>
      </c>
      <c r="L175">
        <v>1</v>
      </c>
      <c r="M175">
        <v>1</v>
      </c>
      <c r="N175" t="s">
        <v>67</v>
      </c>
      <c r="R175" t="s">
        <v>48</v>
      </c>
      <c r="S175">
        <v>1</v>
      </c>
      <c r="U175">
        <v>1</v>
      </c>
      <c r="V175" t="s">
        <v>49</v>
      </c>
      <c r="Z175" t="s">
        <v>43</v>
      </c>
      <c r="AA175">
        <v>1</v>
      </c>
      <c r="AC175">
        <v>1</v>
      </c>
      <c r="AD175" t="s">
        <v>73</v>
      </c>
      <c r="AE175" t="s">
        <v>74</v>
      </c>
      <c r="AH175">
        <v>3</v>
      </c>
      <c r="AI175">
        <v>40</v>
      </c>
      <c r="AJ175">
        <v>30</v>
      </c>
      <c r="AK175">
        <v>2</v>
      </c>
    </row>
    <row r="176" spans="1:37" x14ac:dyDescent="0.25">
      <c r="A176" t="s">
        <v>418</v>
      </c>
      <c r="B176" t="s">
        <v>48</v>
      </c>
      <c r="C176">
        <v>1</v>
      </c>
      <c r="E176">
        <v>1</v>
      </c>
      <c r="F176" t="s">
        <v>49</v>
      </c>
      <c r="G176" t="s">
        <v>71</v>
      </c>
      <c r="H176" t="s">
        <v>51</v>
      </c>
      <c r="J176" t="s">
        <v>43</v>
      </c>
      <c r="K176">
        <v>1</v>
      </c>
      <c r="M176">
        <v>1</v>
      </c>
      <c r="N176" t="s">
        <v>73</v>
      </c>
      <c r="O176" t="s">
        <v>74</v>
      </c>
      <c r="P176" t="s">
        <v>158</v>
      </c>
      <c r="R176" t="s">
        <v>45</v>
      </c>
      <c r="S176">
        <v>1</v>
      </c>
      <c r="U176">
        <v>1</v>
      </c>
      <c r="V176" t="s">
        <v>47</v>
      </c>
      <c r="W176" t="s">
        <v>76</v>
      </c>
      <c r="X176" t="s">
        <v>100</v>
      </c>
      <c r="Y176" t="s">
        <v>101</v>
      </c>
      <c r="Z176" t="s">
        <v>63</v>
      </c>
      <c r="AA176">
        <v>1</v>
      </c>
      <c r="AC176">
        <v>1</v>
      </c>
      <c r="AD176" t="s">
        <v>72</v>
      </c>
      <c r="AH176">
        <v>7</v>
      </c>
      <c r="AI176">
        <v>49</v>
      </c>
      <c r="AJ176">
        <v>30</v>
      </c>
      <c r="AK176">
        <v>2</v>
      </c>
    </row>
    <row r="177" spans="1:37" x14ac:dyDescent="0.25">
      <c r="A177" t="s">
        <v>419</v>
      </c>
      <c r="B177" t="s">
        <v>48</v>
      </c>
      <c r="C177">
        <v>1</v>
      </c>
      <c r="E177">
        <v>1</v>
      </c>
      <c r="F177" t="s">
        <v>49</v>
      </c>
      <c r="G177" t="s">
        <v>71</v>
      </c>
      <c r="J177" t="s">
        <v>43</v>
      </c>
      <c r="K177">
        <v>1</v>
      </c>
      <c r="M177">
        <v>2</v>
      </c>
      <c r="N177" t="s">
        <v>73</v>
      </c>
      <c r="O177" t="s">
        <v>74</v>
      </c>
      <c r="P177" t="s">
        <v>75</v>
      </c>
      <c r="Q177" t="s">
        <v>112</v>
      </c>
      <c r="R177" t="s">
        <v>45</v>
      </c>
      <c r="S177">
        <v>1</v>
      </c>
      <c r="U177">
        <v>1</v>
      </c>
      <c r="V177" t="s">
        <v>89</v>
      </c>
      <c r="W177" t="s">
        <v>76</v>
      </c>
      <c r="X177" t="s">
        <v>100</v>
      </c>
      <c r="Z177" t="s">
        <v>38</v>
      </c>
      <c r="AA177">
        <v>1</v>
      </c>
      <c r="AB177">
        <v>1</v>
      </c>
      <c r="AC177">
        <v>1</v>
      </c>
      <c r="AD177" t="s">
        <v>67</v>
      </c>
      <c r="AE177" t="s">
        <v>70</v>
      </c>
      <c r="AF177" t="s">
        <v>41</v>
      </c>
      <c r="AH177">
        <v>9</v>
      </c>
      <c r="AI177">
        <v>27</v>
      </c>
      <c r="AJ177">
        <v>30</v>
      </c>
      <c r="AK177">
        <v>2</v>
      </c>
    </row>
    <row r="178" spans="1:37" x14ac:dyDescent="0.25">
      <c r="A178" t="s">
        <v>420</v>
      </c>
      <c r="B178" t="s">
        <v>63</v>
      </c>
      <c r="C178">
        <v>1</v>
      </c>
      <c r="E178">
        <v>1</v>
      </c>
      <c r="F178" t="s">
        <v>72</v>
      </c>
      <c r="J178" t="s">
        <v>38</v>
      </c>
      <c r="K178">
        <v>2</v>
      </c>
      <c r="L178">
        <v>1</v>
      </c>
      <c r="M178">
        <v>1</v>
      </c>
      <c r="N178" t="s">
        <v>67</v>
      </c>
      <c r="R178" t="s">
        <v>48</v>
      </c>
      <c r="S178">
        <v>1</v>
      </c>
      <c r="U178">
        <v>1</v>
      </c>
      <c r="V178" t="s">
        <v>49</v>
      </c>
      <c r="Z178" t="s">
        <v>43</v>
      </c>
      <c r="AA178">
        <v>1</v>
      </c>
      <c r="AC178">
        <v>1</v>
      </c>
      <c r="AD178" t="s">
        <v>73</v>
      </c>
      <c r="AE178" t="s">
        <v>74</v>
      </c>
      <c r="AH178">
        <v>2</v>
      </c>
      <c r="AI178">
        <v>25</v>
      </c>
      <c r="AJ178">
        <v>30</v>
      </c>
      <c r="AK178">
        <v>2</v>
      </c>
    </row>
    <row r="179" spans="1:37" x14ac:dyDescent="0.25">
      <c r="A179" t="s">
        <v>421</v>
      </c>
      <c r="B179" t="s">
        <v>33</v>
      </c>
      <c r="C179">
        <v>1</v>
      </c>
      <c r="E179">
        <v>1</v>
      </c>
      <c r="F179" t="s">
        <v>46</v>
      </c>
      <c r="G179" t="s">
        <v>35</v>
      </c>
      <c r="H179" t="s">
        <v>36</v>
      </c>
      <c r="J179" t="s">
        <v>43</v>
      </c>
      <c r="K179">
        <v>1</v>
      </c>
      <c r="M179">
        <v>1</v>
      </c>
      <c r="N179" t="s">
        <v>73</v>
      </c>
      <c r="O179" t="s">
        <v>74</v>
      </c>
      <c r="R179" t="s">
        <v>48</v>
      </c>
      <c r="S179">
        <v>1</v>
      </c>
      <c r="U179">
        <v>1</v>
      </c>
      <c r="V179" t="s">
        <v>49</v>
      </c>
      <c r="Z179" t="s">
        <v>45</v>
      </c>
      <c r="AA179">
        <v>1</v>
      </c>
      <c r="AC179">
        <v>1</v>
      </c>
      <c r="AD179" t="s">
        <v>47</v>
      </c>
      <c r="AE179" t="s">
        <v>99</v>
      </c>
      <c r="AF179" t="s">
        <v>100</v>
      </c>
      <c r="AH179">
        <v>5</v>
      </c>
      <c r="AI179">
        <v>27</v>
      </c>
      <c r="AJ179">
        <v>30</v>
      </c>
      <c r="AK179">
        <v>2</v>
      </c>
    </row>
    <row r="180" spans="1:37" x14ac:dyDescent="0.25">
      <c r="A180" t="s">
        <v>422</v>
      </c>
      <c r="B180" t="s">
        <v>33</v>
      </c>
      <c r="C180">
        <v>1</v>
      </c>
      <c r="E180">
        <v>1</v>
      </c>
      <c r="F180" t="s">
        <v>46</v>
      </c>
      <c r="G180" t="s">
        <v>35</v>
      </c>
      <c r="J180" t="s">
        <v>63</v>
      </c>
      <c r="K180">
        <v>1</v>
      </c>
      <c r="M180">
        <v>1</v>
      </c>
      <c r="N180" t="s">
        <v>72</v>
      </c>
      <c r="O180" t="s">
        <v>103</v>
      </c>
      <c r="R180" t="s">
        <v>48</v>
      </c>
      <c r="S180">
        <v>1</v>
      </c>
      <c r="U180">
        <v>1</v>
      </c>
      <c r="V180" t="s">
        <v>49</v>
      </c>
      <c r="Z180" t="s">
        <v>45</v>
      </c>
      <c r="AA180">
        <v>1</v>
      </c>
      <c r="AC180">
        <v>2</v>
      </c>
      <c r="AD180" t="s">
        <v>47</v>
      </c>
      <c r="AH180">
        <v>3</v>
      </c>
      <c r="AI180">
        <v>24</v>
      </c>
      <c r="AJ180">
        <v>30</v>
      </c>
      <c r="AK180">
        <v>2</v>
      </c>
    </row>
    <row r="181" spans="1:37" x14ac:dyDescent="0.25">
      <c r="A181" t="s">
        <v>423</v>
      </c>
      <c r="B181" t="s">
        <v>48</v>
      </c>
      <c r="C181">
        <v>1</v>
      </c>
      <c r="E181">
        <v>1</v>
      </c>
      <c r="F181" t="s">
        <v>49</v>
      </c>
      <c r="G181" t="s">
        <v>71</v>
      </c>
      <c r="H181" t="s">
        <v>51</v>
      </c>
      <c r="J181" t="s">
        <v>45</v>
      </c>
      <c r="K181">
        <v>1</v>
      </c>
      <c r="M181">
        <v>1</v>
      </c>
      <c r="N181" t="s">
        <v>47</v>
      </c>
      <c r="O181" t="s">
        <v>162</v>
      </c>
      <c r="P181" t="s">
        <v>100</v>
      </c>
      <c r="R181" t="s">
        <v>33</v>
      </c>
      <c r="S181">
        <v>1</v>
      </c>
      <c r="U181">
        <v>1</v>
      </c>
      <c r="V181" t="s">
        <v>46</v>
      </c>
      <c r="Z181" t="s">
        <v>38</v>
      </c>
      <c r="AA181">
        <v>2</v>
      </c>
      <c r="AB181">
        <v>1</v>
      </c>
      <c r="AC181">
        <v>2</v>
      </c>
      <c r="AD181" t="s">
        <v>67</v>
      </c>
      <c r="AE181" t="s">
        <v>40</v>
      </c>
      <c r="AH181">
        <v>7</v>
      </c>
      <c r="AI181">
        <v>34</v>
      </c>
      <c r="AJ181">
        <v>30</v>
      </c>
      <c r="AK181">
        <v>2</v>
      </c>
    </row>
    <row r="182" spans="1:37" x14ac:dyDescent="0.25">
      <c r="A182" t="s">
        <v>424</v>
      </c>
      <c r="B182" t="s">
        <v>43</v>
      </c>
      <c r="C182">
        <v>1</v>
      </c>
      <c r="E182">
        <v>3</v>
      </c>
      <c r="F182" t="s">
        <v>73</v>
      </c>
      <c r="G182" t="s">
        <v>74</v>
      </c>
      <c r="H182" t="s">
        <v>111</v>
      </c>
      <c r="I182" t="s">
        <v>112</v>
      </c>
      <c r="J182" t="s">
        <v>63</v>
      </c>
      <c r="K182">
        <v>1</v>
      </c>
      <c r="M182">
        <v>1</v>
      </c>
      <c r="N182" t="s">
        <v>72</v>
      </c>
      <c r="R182" t="s">
        <v>48</v>
      </c>
      <c r="S182">
        <v>1</v>
      </c>
      <c r="U182">
        <v>2</v>
      </c>
      <c r="V182" t="s">
        <v>49</v>
      </c>
      <c r="W182" t="s">
        <v>85</v>
      </c>
      <c r="X182" t="s">
        <v>51</v>
      </c>
      <c r="Z182" t="s">
        <v>45</v>
      </c>
      <c r="AA182">
        <v>1</v>
      </c>
      <c r="AC182">
        <v>1</v>
      </c>
      <c r="AD182" t="s">
        <v>47</v>
      </c>
      <c r="AE182" t="s">
        <v>99</v>
      </c>
      <c r="AF182" t="s">
        <v>115</v>
      </c>
      <c r="AH182">
        <v>10</v>
      </c>
      <c r="AI182">
        <v>40</v>
      </c>
      <c r="AJ182">
        <v>30</v>
      </c>
      <c r="AK182">
        <v>2</v>
      </c>
    </row>
    <row r="183" spans="1:37" x14ac:dyDescent="0.25">
      <c r="A183" t="s">
        <v>425</v>
      </c>
      <c r="B183" t="s">
        <v>43</v>
      </c>
      <c r="C183">
        <v>1</v>
      </c>
      <c r="E183">
        <v>1</v>
      </c>
      <c r="F183" t="s">
        <v>73</v>
      </c>
      <c r="J183" t="s">
        <v>38</v>
      </c>
      <c r="K183">
        <v>1</v>
      </c>
      <c r="L183">
        <v>1</v>
      </c>
      <c r="M183">
        <v>1</v>
      </c>
      <c r="N183" t="s">
        <v>67</v>
      </c>
      <c r="O183" t="s">
        <v>105</v>
      </c>
      <c r="R183" t="s">
        <v>48</v>
      </c>
      <c r="S183">
        <v>1</v>
      </c>
      <c r="U183">
        <v>1</v>
      </c>
      <c r="V183" t="s">
        <v>49</v>
      </c>
      <c r="W183" t="s">
        <v>50</v>
      </c>
      <c r="Z183" t="s">
        <v>45</v>
      </c>
      <c r="AA183">
        <v>1</v>
      </c>
      <c r="AC183">
        <v>1</v>
      </c>
      <c r="AD183" t="s">
        <v>47</v>
      </c>
      <c r="AH183">
        <v>2</v>
      </c>
      <c r="AI183">
        <v>27</v>
      </c>
      <c r="AJ183">
        <v>30</v>
      </c>
      <c r="AK183">
        <v>2</v>
      </c>
    </row>
    <row r="184" spans="1:37" x14ac:dyDescent="0.25">
      <c r="A184" t="s">
        <v>426</v>
      </c>
      <c r="B184" t="s">
        <v>48</v>
      </c>
      <c r="C184">
        <v>1</v>
      </c>
      <c r="E184">
        <v>1</v>
      </c>
      <c r="F184" t="s">
        <v>49</v>
      </c>
      <c r="G184" t="s">
        <v>71</v>
      </c>
      <c r="H184" t="s">
        <v>148</v>
      </c>
      <c r="J184" t="s">
        <v>45</v>
      </c>
      <c r="K184">
        <v>1</v>
      </c>
      <c r="M184">
        <v>2</v>
      </c>
      <c r="N184" t="s">
        <v>89</v>
      </c>
      <c r="O184" t="s">
        <v>76</v>
      </c>
      <c r="P184" t="s">
        <v>100</v>
      </c>
      <c r="R184" t="s">
        <v>63</v>
      </c>
      <c r="S184">
        <v>1</v>
      </c>
      <c r="U184">
        <v>1</v>
      </c>
      <c r="V184" t="s">
        <v>72</v>
      </c>
      <c r="Z184" t="s">
        <v>38</v>
      </c>
      <c r="AA184">
        <v>1</v>
      </c>
      <c r="AB184">
        <v>1</v>
      </c>
      <c r="AC184">
        <v>1</v>
      </c>
      <c r="AD184" t="s">
        <v>67</v>
      </c>
      <c r="AE184" t="s">
        <v>40</v>
      </c>
      <c r="AH184">
        <v>6</v>
      </c>
      <c r="AI184">
        <v>35</v>
      </c>
      <c r="AJ184">
        <v>30</v>
      </c>
      <c r="AK184">
        <v>2</v>
      </c>
    </row>
    <row r="185" spans="1:37" x14ac:dyDescent="0.25">
      <c r="A185" t="s">
        <v>427</v>
      </c>
      <c r="B185" t="s">
        <v>33</v>
      </c>
      <c r="C185">
        <v>1</v>
      </c>
      <c r="E185">
        <v>1</v>
      </c>
      <c r="F185" t="s">
        <v>46</v>
      </c>
      <c r="G185" t="s">
        <v>35</v>
      </c>
      <c r="J185" t="s">
        <v>43</v>
      </c>
      <c r="K185">
        <v>1</v>
      </c>
      <c r="M185">
        <v>1</v>
      </c>
      <c r="N185" t="s">
        <v>73</v>
      </c>
      <c r="R185" t="s">
        <v>48</v>
      </c>
      <c r="S185">
        <v>1</v>
      </c>
      <c r="U185">
        <v>1</v>
      </c>
      <c r="V185" t="s">
        <v>93</v>
      </c>
      <c r="Z185" t="s">
        <v>63</v>
      </c>
      <c r="AA185">
        <v>1</v>
      </c>
      <c r="AC185">
        <v>1</v>
      </c>
      <c r="AD185" t="s">
        <v>72</v>
      </c>
      <c r="AH185">
        <v>1</v>
      </c>
      <c r="AI185">
        <v>24</v>
      </c>
      <c r="AJ185">
        <v>30</v>
      </c>
      <c r="AK185">
        <v>2</v>
      </c>
    </row>
    <row r="186" spans="1:37" x14ac:dyDescent="0.25">
      <c r="A186" t="s">
        <v>428</v>
      </c>
      <c r="B186" t="s">
        <v>48</v>
      </c>
      <c r="C186">
        <v>1</v>
      </c>
      <c r="E186">
        <v>1</v>
      </c>
      <c r="F186" t="s">
        <v>93</v>
      </c>
      <c r="J186" t="s">
        <v>63</v>
      </c>
      <c r="K186">
        <v>1</v>
      </c>
      <c r="M186">
        <v>1</v>
      </c>
      <c r="N186" t="s">
        <v>72</v>
      </c>
      <c r="R186" t="s">
        <v>33</v>
      </c>
      <c r="S186">
        <v>1</v>
      </c>
      <c r="U186">
        <v>1</v>
      </c>
      <c r="V186" t="s">
        <v>46</v>
      </c>
      <c r="Z186" t="s">
        <v>45</v>
      </c>
      <c r="AA186">
        <v>1</v>
      </c>
      <c r="AC186">
        <v>1</v>
      </c>
      <c r="AD186" t="s">
        <v>47</v>
      </c>
      <c r="AE186" t="s">
        <v>76</v>
      </c>
      <c r="AF186" t="s">
        <v>100</v>
      </c>
      <c r="AH186">
        <v>2</v>
      </c>
      <c r="AI186">
        <v>23</v>
      </c>
      <c r="AJ186">
        <v>30</v>
      </c>
      <c r="AK186">
        <v>2</v>
      </c>
    </row>
    <row r="187" spans="1:37" x14ac:dyDescent="0.25">
      <c r="A187" t="s">
        <v>429</v>
      </c>
      <c r="B187" t="s">
        <v>48</v>
      </c>
      <c r="C187">
        <v>1</v>
      </c>
      <c r="E187">
        <v>1</v>
      </c>
      <c r="F187" t="s">
        <v>49</v>
      </c>
      <c r="G187" t="s">
        <v>71</v>
      </c>
      <c r="J187" t="s">
        <v>63</v>
      </c>
      <c r="K187">
        <v>1</v>
      </c>
      <c r="M187">
        <v>1</v>
      </c>
      <c r="N187" t="s">
        <v>72</v>
      </c>
      <c r="R187" t="s">
        <v>33</v>
      </c>
      <c r="S187">
        <v>1</v>
      </c>
      <c r="U187">
        <v>1</v>
      </c>
      <c r="V187" t="s">
        <v>46</v>
      </c>
      <c r="Z187" t="s">
        <v>38</v>
      </c>
      <c r="AA187">
        <v>2</v>
      </c>
      <c r="AB187">
        <v>1</v>
      </c>
      <c r="AC187">
        <v>1</v>
      </c>
      <c r="AD187" t="s">
        <v>67</v>
      </c>
      <c r="AH187">
        <v>2</v>
      </c>
      <c r="AI187">
        <v>29</v>
      </c>
      <c r="AJ187">
        <v>30</v>
      </c>
      <c r="AK187">
        <v>2</v>
      </c>
    </row>
    <row r="188" spans="1:37" x14ac:dyDescent="0.25">
      <c r="A188" t="s">
        <v>430</v>
      </c>
      <c r="B188" t="s">
        <v>48</v>
      </c>
      <c r="C188">
        <v>1</v>
      </c>
      <c r="E188">
        <v>2</v>
      </c>
      <c r="F188" t="s">
        <v>147</v>
      </c>
      <c r="G188" t="s">
        <v>71</v>
      </c>
      <c r="H188" t="s">
        <v>148</v>
      </c>
      <c r="I188" t="s">
        <v>52</v>
      </c>
      <c r="J188" t="s">
        <v>63</v>
      </c>
      <c r="K188">
        <v>1</v>
      </c>
      <c r="M188">
        <v>1</v>
      </c>
      <c r="N188" t="s">
        <v>72</v>
      </c>
      <c r="O188" t="s">
        <v>167</v>
      </c>
      <c r="R188" t="s">
        <v>43</v>
      </c>
      <c r="S188">
        <v>1</v>
      </c>
      <c r="U188">
        <v>2</v>
      </c>
      <c r="V188" t="s">
        <v>73</v>
      </c>
      <c r="W188" t="s">
        <v>74</v>
      </c>
      <c r="Z188" t="s">
        <v>45</v>
      </c>
      <c r="AA188">
        <v>1</v>
      </c>
      <c r="AC188">
        <v>1</v>
      </c>
      <c r="AD188" t="s">
        <v>47</v>
      </c>
      <c r="AH188">
        <v>7</v>
      </c>
      <c r="AI188">
        <v>38</v>
      </c>
      <c r="AJ188">
        <v>30</v>
      </c>
      <c r="AK188">
        <v>2</v>
      </c>
    </row>
    <row r="189" spans="1:37" x14ac:dyDescent="0.25">
      <c r="A189" t="s">
        <v>431</v>
      </c>
      <c r="B189" t="s">
        <v>48</v>
      </c>
      <c r="C189">
        <v>1</v>
      </c>
      <c r="E189">
        <v>3</v>
      </c>
      <c r="F189" t="s">
        <v>49</v>
      </c>
      <c r="G189" t="s">
        <v>71</v>
      </c>
      <c r="H189" t="s">
        <v>51</v>
      </c>
      <c r="I189" t="s">
        <v>52</v>
      </c>
      <c r="J189" t="s">
        <v>63</v>
      </c>
      <c r="K189">
        <v>1</v>
      </c>
      <c r="M189">
        <v>1</v>
      </c>
      <c r="N189" t="s">
        <v>72</v>
      </c>
      <c r="O189" t="s">
        <v>95</v>
      </c>
      <c r="P189" t="s">
        <v>119</v>
      </c>
      <c r="R189" t="s">
        <v>43</v>
      </c>
      <c r="S189">
        <v>1</v>
      </c>
      <c r="U189">
        <v>1</v>
      </c>
      <c r="V189" t="s">
        <v>73</v>
      </c>
      <c r="Z189" t="s">
        <v>38</v>
      </c>
      <c r="AA189">
        <v>3</v>
      </c>
      <c r="AB189">
        <v>1</v>
      </c>
      <c r="AC189">
        <v>3</v>
      </c>
      <c r="AD189" t="s">
        <v>67</v>
      </c>
      <c r="AE189" t="s">
        <v>40</v>
      </c>
      <c r="AF189" t="s">
        <v>174</v>
      </c>
      <c r="AG189" t="s">
        <v>177</v>
      </c>
      <c r="AH189">
        <v>14</v>
      </c>
      <c r="AI189">
        <v>53</v>
      </c>
      <c r="AJ189">
        <v>30</v>
      </c>
      <c r="AK189">
        <v>2</v>
      </c>
    </row>
    <row r="190" spans="1:37" x14ac:dyDescent="0.25">
      <c r="A190" t="s">
        <v>432</v>
      </c>
      <c r="B190" t="s">
        <v>45</v>
      </c>
      <c r="C190">
        <v>1</v>
      </c>
      <c r="E190">
        <v>1</v>
      </c>
      <c r="F190" t="s">
        <v>47</v>
      </c>
      <c r="J190" t="s">
        <v>38</v>
      </c>
      <c r="K190">
        <v>2</v>
      </c>
      <c r="L190">
        <v>1</v>
      </c>
      <c r="M190">
        <v>3</v>
      </c>
      <c r="N190" t="s">
        <v>67</v>
      </c>
      <c r="O190" t="s">
        <v>105</v>
      </c>
      <c r="R190" t="s">
        <v>48</v>
      </c>
      <c r="S190">
        <v>1</v>
      </c>
      <c r="U190">
        <v>1</v>
      </c>
      <c r="V190" t="s">
        <v>49</v>
      </c>
      <c r="W190" t="s">
        <v>71</v>
      </c>
      <c r="X190" t="s">
        <v>51</v>
      </c>
      <c r="Z190" t="s">
        <v>63</v>
      </c>
      <c r="AA190">
        <v>1</v>
      </c>
      <c r="AC190">
        <v>2</v>
      </c>
      <c r="AD190" t="s">
        <v>72</v>
      </c>
      <c r="AE190" t="s">
        <v>167</v>
      </c>
      <c r="AF190" t="s">
        <v>168</v>
      </c>
      <c r="AH190">
        <v>9</v>
      </c>
      <c r="AI190">
        <v>73</v>
      </c>
      <c r="AJ190">
        <v>30</v>
      </c>
      <c r="AK190">
        <v>2</v>
      </c>
    </row>
    <row r="191" spans="1:37" x14ac:dyDescent="0.25">
      <c r="A191" t="s">
        <v>433</v>
      </c>
      <c r="B191" t="s">
        <v>33</v>
      </c>
      <c r="C191">
        <v>1</v>
      </c>
      <c r="E191">
        <v>1</v>
      </c>
      <c r="F191" t="s">
        <v>65</v>
      </c>
      <c r="G191" t="s">
        <v>35</v>
      </c>
      <c r="J191" t="s">
        <v>43</v>
      </c>
      <c r="K191">
        <v>1</v>
      </c>
      <c r="M191">
        <v>1</v>
      </c>
      <c r="N191" t="s">
        <v>73</v>
      </c>
      <c r="R191" t="s">
        <v>48</v>
      </c>
      <c r="S191">
        <v>1</v>
      </c>
      <c r="U191">
        <v>1</v>
      </c>
      <c r="V191" t="s">
        <v>49</v>
      </c>
      <c r="W191" t="s">
        <v>50</v>
      </c>
      <c r="Z191" t="s">
        <v>38</v>
      </c>
      <c r="AA191">
        <v>1</v>
      </c>
      <c r="AB191">
        <v>1</v>
      </c>
      <c r="AC191">
        <v>1</v>
      </c>
      <c r="AD191" t="s">
        <v>67</v>
      </c>
      <c r="AH191">
        <v>2</v>
      </c>
      <c r="AI191">
        <v>30</v>
      </c>
      <c r="AJ191">
        <v>30</v>
      </c>
      <c r="AK191">
        <v>2</v>
      </c>
    </row>
    <row r="192" spans="1:37" x14ac:dyDescent="0.25">
      <c r="A192" t="s">
        <v>434</v>
      </c>
      <c r="B192" t="s">
        <v>48</v>
      </c>
      <c r="C192">
        <v>1</v>
      </c>
      <c r="E192">
        <v>1</v>
      </c>
      <c r="F192" t="s">
        <v>49</v>
      </c>
      <c r="G192" t="s">
        <v>71</v>
      </c>
      <c r="J192" t="s">
        <v>38</v>
      </c>
      <c r="K192">
        <v>3</v>
      </c>
      <c r="L192">
        <v>1</v>
      </c>
      <c r="M192">
        <v>2</v>
      </c>
      <c r="N192" t="s">
        <v>67</v>
      </c>
      <c r="R192" t="s">
        <v>33</v>
      </c>
      <c r="S192">
        <v>1</v>
      </c>
      <c r="U192">
        <v>1</v>
      </c>
      <c r="V192" t="s">
        <v>65</v>
      </c>
      <c r="W192" t="s">
        <v>35</v>
      </c>
      <c r="Z192" t="s">
        <v>45</v>
      </c>
      <c r="AA192">
        <v>1</v>
      </c>
      <c r="AC192">
        <v>1</v>
      </c>
      <c r="AD192" t="s">
        <v>47</v>
      </c>
      <c r="AE192" t="s">
        <v>76</v>
      </c>
      <c r="AF192" t="s">
        <v>100</v>
      </c>
      <c r="AH192">
        <v>7</v>
      </c>
      <c r="AI192">
        <v>31</v>
      </c>
      <c r="AJ192">
        <v>30</v>
      </c>
      <c r="AK192">
        <v>2</v>
      </c>
    </row>
    <row r="193" spans="1:37" x14ac:dyDescent="0.25">
      <c r="A193" t="s">
        <v>435</v>
      </c>
      <c r="B193" t="s">
        <v>33</v>
      </c>
      <c r="C193">
        <v>1</v>
      </c>
      <c r="E193">
        <v>1</v>
      </c>
      <c r="F193" t="s">
        <v>65</v>
      </c>
      <c r="G193" t="s">
        <v>35</v>
      </c>
      <c r="H193" t="s">
        <v>36</v>
      </c>
      <c r="J193" t="s">
        <v>63</v>
      </c>
      <c r="K193">
        <v>1</v>
      </c>
      <c r="M193">
        <v>1</v>
      </c>
      <c r="N193" t="s">
        <v>72</v>
      </c>
      <c r="R193" t="s">
        <v>48</v>
      </c>
      <c r="S193">
        <v>1</v>
      </c>
      <c r="U193">
        <v>1</v>
      </c>
      <c r="V193" t="s">
        <v>49</v>
      </c>
      <c r="W193" t="s">
        <v>71</v>
      </c>
      <c r="Z193" t="s">
        <v>38</v>
      </c>
      <c r="AA193">
        <v>2</v>
      </c>
      <c r="AB193">
        <v>1</v>
      </c>
      <c r="AC193">
        <v>1</v>
      </c>
      <c r="AD193" t="s">
        <v>67</v>
      </c>
      <c r="AH193">
        <v>4</v>
      </c>
      <c r="AI193">
        <v>18</v>
      </c>
      <c r="AJ193">
        <v>30</v>
      </c>
      <c r="AK193">
        <v>2</v>
      </c>
    </row>
    <row r="194" spans="1:37" x14ac:dyDescent="0.25">
      <c r="A194" t="s">
        <v>436</v>
      </c>
      <c r="B194" t="s">
        <v>43</v>
      </c>
      <c r="C194">
        <v>1</v>
      </c>
      <c r="E194">
        <v>1</v>
      </c>
      <c r="F194" t="s">
        <v>73</v>
      </c>
      <c r="G194" t="s">
        <v>74</v>
      </c>
      <c r="J194" t="s">
        <v>45</v>
      </c>
      <c r="K194">
        <v>1</v>
      </c>
      <c r="M194">
        <v>2</v>
      </c>
      <c r="N194" t="s">
        <v>47</v>
      </c>
      <c r="O194" t="s">
        <v>76</v>
      </c>
      <c r="R194" t="s">
        <v>48</v>
      </c>
      <c r="S194">
        <v>1</v>
      </c>
      <c r="U194">
        <v>1</v>
      </c>
      <c r="V194" t="s">
        <v>49</v>
      </c>
      <c r="Z194" t="s">
        <v>38</v>
      </c>
      <c r="AA194">
        <v>1</v>
      </c>
      <c r="AB194">
        <v>1</v>
      </c>
      <c r="AC194">
        <v>1</v>
      </c>
      <c r="AD194" t="s">
        <v>67</v>
      </c>
      <c r="AH194">
        <v>3</v>
      </c>
      <c r="AI194">
        <v>30</v>
      </c>
      <c r="AJ194">
        <v>30</v>
      </c>
      <c r="AK194">
        <v>2</v>
      </c>
    </row>
    <row r="195" spans="1:37" x14ac:dyDescent="0.25">
      <c r="A195" t="s">
        <v>437</v>
      </c>
      <c r="B195" t="s">
        <v>48</v>
      </c>
      <c r="C195">
        <v>1</v>
      </c>
      <c r="E195">
        <v>1</v>
      </c>
      <c r="F195" t="s">
        <v>49</v>
      </c>
      <c r="G195" t="s">
        <v>71</v>
      </c>
      <c r="H195" t="s">
        <v>51</v>
      </c>
      <c r="J195" t="s">
        <v>38</v>
      </c>
      <c r="K195">
        <v>1</v>
      </c>
      <c r="L195">
        <v>1</v>
      </c>
      <c r="M195">
        <v>1</v>
      </c>
      <c r="N195" t="s">
        <v>67</v>
      </c>
      <c r="O195" t="s">
        <v>105</v>
      </c>
      <c r="R195" t="s">
        <v>43</v>
      </c>
      <c r="S195">
        <v>1</v>
      </c>
      <c r="U195">
        <v>1</v>
      </c>
      <c r="V195" t="s">
        <v>73</v>
      </c>
      <c r="Z195" t="s">
        <v>63</v>
      </c>
      <c r="AA195">
        <v>1</v>
      </c>
      <c r="AC195">
        <v>1</v>
      </c>
      <c r="AD195" t="s">
        <v>72</v>
      </c>
      <c r="AE195" t="s">
        <v>103</v>
      </c>
      <c r="AH195">
        <v>4</v>
      </c>
      <c r="AI195">
        <v>35</v>
      </c>
      <c r="AJ195">
        <v>30</v>
      </c>
      <c r="AK195">
        <v>2</v>
      </c>
    </row>
    <row r="196" spans="1:37" x14ac:dyDescent="0.25">
      <c r="A196" t="s">
        <v>438</v>
      </c>
      <c r="B196" t="s">
        <v>45</v>
      </c>
      <c r="C196">
        <v>1</v>
      </c>
      <c r="E196">
        <v>2</v>
      </c>
      <c r="F196" t="s">
        <v>47</v>
      </c>
      <c r="G196" t="s">
        <v>99</v>
      </c>
      <c r="H196" t="s">
        <v>100</v>
      </c>
      <c r="J196" t="s">
        <v>63</v>
      </c>
      <c r="K196">
        <v>1</v>
      </c>
      <c r="M196">
        <v>3</v>
      </c>
      <c r="N196" t="s">
        <v>72</v>
      </c>
      <c r="O196" t="s">
        <v>167</v>
      </c>
      <c r="P196" t="s">
        <v>168</v>
      </c>
      <c r="R196" t="s">
        <v>48</v>
      </c>
      <c r="S196">
        <v>1</v>
      </c>
      <c r="U196">
        <v>1</v>
      </c>
      <c r="V196" t="s">
        <v>49</v>
      </c>
      <c r="W196" t="s">
        <v>71</v>
      </c>
      <c r="Z196" t="s">
        <v>38</v>
      </c>
      <c r="AA196">
        <v>2</v>
      </c>
      <c r="AB196">
        <v>1</v>
      </c>
      <c r="AC196">
        <v>2</v>
      </c>
      <c r="AD196" t="s">
        <v>67</v>
      </c>
      <c r="AH196">
        <v>10</v>
      </c>
      <c r="AI196">
        <v>49</v>
      </c>
      <c r="AJ196">
        <v>30</v>
      </c>
      <c r="AK196">
        <v>2</v>
      </c>
    </row>
    <row r="197" spans="1:37" x14ac:dyDescent="0.25">
      <c r="A197" t="s">
        <v>439</v>
      </c>
      <c r="B197" t="s">
        <v>33</v>
      </c>
      <c r="C197">
        <v>1</v>
      </c>
      <c r="E197">
        <v>1</v>
      </c>
      <c r="F197" t="s">
        <v>46</v>
      </c>
      <c r="G197" t="s">
        <v>35</v>
      </c>
      <c r="J197" t="s">
        <v>43</v>
      </c>
      <c r="K197">
        <v>1</v>
      </c>
      <c r="M197">
        <v>1</v>
      </c>
      <c r="N197" t="s">
        <v>73</v>
      </c>
      <c r="O197" t="s">
        <v>74</v>
      </c>
      <c r="R197" t="s">
        <v>45</v>
      </c>
      <c r="S197">
        <v>1</v>
      </c>
      <c r="U197">
        <v>1</v>
      </c>
      <c r="V197" t="s">
        <v>47</v>
      </c>
      <c r="W197" t="s">
        <v>76</v>
      </c>
      <c r="Z197" t="s">
        <v>63</v>
      </c>
      <c r="AA197">
        <v>1</v>
      </c>
      <c r="AC197">
        <v>1</v>
      </c>
      <c r="AD197" t="s">
        <v>72</v>
      </c>
      <c r="AH197">
        <v>3</v>
      </c>
      <c r="AI197">
        <v>25</v>
      </c>
      <c r="AJ197">
        <v>30</v>
      </c>
      <c r="AK197">
        <v>2</v>
      </c>
    </row>
    <row r="198" spans="1:37" x14ac:dyDescent="0.25">
      <c r="A198" t="s">
        <v>440</v>
      </c>
      <c r="B198" t="s">
        <v>33</v>
      </c>
      <c r="C198">
        <v>1</v>
      </c>
      <c r="E198">
        <v>1</v>
      </c>
      <c r="F198" t="s">
        <v>65</v>
      </c>
      <c r="G198" t="s">
        <v>35</v>
      </c>
      <c r="J198" t="s">
        <v>43</v>
      </c>
      <c r="K198">
        <v>1</v>
      </c>
      <c r="M198">
        <v>1</v>
      </c>
      <c r="N198" t="s">
        <v>73</v>
      </c>
      <c r="O198" t="s">
        <v>74</v>
      </c>
      <c r="P198" t="s">
        <v>158</v>
      </c>
      <c r="R198" t="s">
        <v>45</v>
      </c>
      <c r="S198">
        <v>1</v>
      </c>
      <c r="U198">
        <v>1</v>
      </c>
      <c r="V198" t="s">
        <v>47</v>
      </c>
      <c r="Z198" t="s">
        <v>38</v>
      </c>
      <c r="AA198">
        <v>2</v>
      </c>
      <c r="AB198">
        <v>1</v>
      </c>
      <c r="AC198">
        <v>1</v>
      </c>
      <c r="AD198" t="s">
        <v>67</v>
      </c>
      <c r="AE198" t="s">
        <v>40</v>
      </c>
      <c r="AH198">
        <v>5</v>
      </c>
      <c r="AI198">
        <v>26</v>
      </c>
      <c r="AJ198">
        <v>30</v>
      </c>
      <c r="AK198">
        <v>2</v>
      </c>
    </row>
    <row r="199" spans="1:37" x14ac:dyDescent="0.25">
      <c r="A199" t="s">
        <v>441</v>
      </c>
      <c r="B199" t="s">
        <v>63</v>
      </c>
      <c r="C199">
        <v>1</v>
      </c>
      <c r="E199">
        <v>1</v>
      </c>
      <c r="F199" t="s">
        <v>72</v>
      </c>
      <c r="J199" t="s">
        <v>38</v>
      </c>
      <c r="K199">
        <v>1</v>
      </c>
      <c r="L199">
        <v>1</v>
      </c>
      <c r="M199">
        <v>1</v>
      </c>
      <c r="N199" t="s">
        <v>67</v>
      </c>
      <c r="R199" t="s">
        <v>33</v>
      </c>
      <c r="S199">
        <v>1</v>
      </c>
      <c r="U199">
        <v>1</v>
      </c>
      <c r="V199" t="s">
        <v>65</v>
      </c>
      <c r="Z199" t="s">
        <v>43</v>
      </c>
      <c r="AA199">
        <v>1</v>
      </c>
      <c r="AC199">
        <v>1</v>
      </c>
      <c r="AD199" t="s">
        <v>73</v>
      </c>
      <c r="AE199" t="s">
        <v>74</v>
      </c>
      <c r="AH199">
        <v>1</v>
      </c>
      <c r="AI199">
        <v>23</v>
      </c>
      <c r="AJ199">
        <v>30</v>
      </c>
      <c r="AK199">
        <v>2</v>
      </c>
    </row>
    <row r="200" spans="1:37" x14ac:dyDescent="0.25">
      <c r="A200" t="s">
        <v>442</v>
      </c>
      <c r="B200" t="s">
        <v>43</v>
      </c>
      <c r="C200">
        <v>1</v>
      </c>
      <c r="E200">
        <v>2</v>
      </c>
      <c r="F200" t="s">
        <v>73</v>
      </c>
      <c r="G200" t="s">
        <v>110</v>
      </c>
      <c r="J200" t="s">
        <v>63</v>
      </c>
      <c r="K200">
        <v>1</v>
      </c>
      <c r="M200">
        <v>1</v>
      </c>
      <c r="N200" t="s">
        <v>72</v>
      </c>
      <c r="R200" t="s">
        <v>33</v>
      </c>
      <c r="S200">
        <v>1</v>
      </c>
      <c r="U200">
        <v>1</v>
      </c>
      <c r="V200" t="s">
        <v>46</v>
      </c>
      <c r="W200" t="s">
        <v>35</v>
      </c>
      <c r="Z200" t="s">
        <v>45</v>
      </c>
      <c r="AA200">
        <v>1</v>
      </c>
      <c r="AC200">
        <v>2</v>
      </c>
      <c r="AD200" t="s">
        <v>47</v>
      </c>
      <c r="AE200" t="s">
        <v>76</v>
      </c>
      <c r="AF200" t="s">
        <v>163</v>
      </c>
      <c r="AH200">
        <v>6</v>
      </c>
      <c r="AI200">
        <v>30</v>
      </c>
      <c r="AJ200">
        <v>30</v>
      </c>
      <c r="AK200">
        <v>2</v>
      </c>
    </row>
    <row r="201" spans="1:37" x14ac:dyDescent="0.25">
      <c r="A201" t="s">
        <v>443</v>
      </c>
      <c r="B201" t="s">
        <v>43</v>
      </c>
      <c r="C201">
        <v>1</v>
      </c>
      <c r="E201">
        <v>1</v>
      </c>
      <c r="F201" t="s">
        <v>73</v>
      </c>
      <c r="G201" t="s">
        <v>74</v>
      </c>
      <c r="J201" t="s">
        <v>38</v>
      </c>
      <c r="K201">
        <v>1</v>
      </c>
      <c r="L201">
        <v>1</v>
      </c>
      <c r="M201">
        <v>1</v>
      </c>
      <c r="N201" t="s">
        <v>67</v>
      </c>
      <c r="R201" t="s">
        <v>33</v>
      </c>
      <c r="S201">
        <v>1</v>
      </c>
      <c r="U201">
        <v>1</v>
      </c>
      <c r="V201" t="s">
        <v>65</v>
      </c>
      <c r="W201" t="s">
        <v>35</v>
      </c>
      <c r="Z201" t="s">
        <v>45</v>
      </c>
      <c r="AA201">
        <v>1</v>
      </c>
      <c r="AC201">
        <v>1</v>
      </c>
      <c r="AD201" t="s">
        <v>47</v>
      </c>
      <c r="AE201" t="s">
        <v>76</v>
      </c>
      <c r="AH201">
        <v>3</v>
      </c>
      <c r="AI201">
        <v>22</v>
      </c>
      <c r="AJ201">
        <v>30</v>
      </c>
      <c r="AK201">
        <v>2</v>
      </c>
    </row>
    <row r="202" spans="1:37" x14ac:dyDescent="0.25">
      <c r="A202" t="s">
        <v>444</v>
      </c>
      <c r="B202" t="s">
        <v>63</v>
      </c>
      <c r="C202">
        <v>1</v>
      </c>
      <c r="E202">
        <v>1</v>
      </c>
      <c r="F202" t="s">
        <v>72</v>
      </c>
      <c r="J202" t="s">
        <v>38</v>
      </c>
      <c r="K202">
        <v>2</v>
      </c>
      <c r="L202">
        <v>1</v>
      </c>
      <c r="M202">
        <v>1</v>
      </c>
      <c r="N202" t="s">
        <v>67</v>
      </c>
      <c r="R202" t="s">
        <v>33</v>
      </c>
      <c r="S202">
        <v>1</v>
      </c>
      <c r="U202">
        <v>1</v>
      </c>
      <c r="V202" t="s">
        <v>65</v>
      </c>
      <c r="W202" t="s">
        <v>35</v>
      </c>
      <c r="Z202" t="s">
        <v>45</v>
      </c>
      <c r="AA202">
        <v>1</v>
      </c>
      <c r="AC202">
        <v>1</v>
      </c>
      <c r="AD202" t="s">
        <v>47</v>
      </c>
      <c r="AH202">
        <v>2</v>
      </c>
      <c r="AI202">
        <v>19</v>
      </c>
      <c r="AJ202">
        <v>30</v>
      </c>
      <c r="AK202">
        <v>2</v>
      </c>
    </row>
    <row r="203" spans="1:37" x14ac:dyDescent="0.25">
      <c r="A203" t="s">
        <v>445</v>
      </c>
      <c r="B203" t="s">
        <v>43</v>
      </c>
      <c r="C203">
        <v>1</v>
      </c>
      <c r="E203">
        <v>1</v>
      </c>
      <c r="F203" t="s">
        <v>73</v>
      </c>
      <c r="G203" t="s">
        <v>110</v>
      </c>
      <c r="J203" t="s">
        <v>45</v>
      </c>
      <c r="K203">
        <v>1</v>
      </c>
      <c r="M203">
        <v>1</v>
      </c>
      <c r="N203" t="s">
        <v>47</v>
      </c>
      <c r="O203" t="s">
        <v>76</v>
      </c>
      <c r="P203" t="s">
        <v>100</v>
      </c>
      <c r="R203" t="s">
        <v>33</v>
      </c>
      <c r="S203">
        <v>1</v>
      </c>
      <c r="U203">
        <v>1</v>
      </c>
      <c r="V203" t="s">
        <v>46</v>
      </c>
      <c r="W203" t="s">
        <v>35</v>
      </c>
      <c r="Z203" t="s">
        <v>63</v>
      </c>
      <c r="AA203">
        <v>1</v>
      </c>
      <c r="AC203">
        <v>2</v>
      </c>
      <c r="AD203" t="s">
        <v>72</v>
      </c>
      <c r="AE203" t="s">
        <v>103</v>
      </c>
      <c r="AH203">
        <v>6</v>
      </c>
      <c r="AI203">
        <v>33</v>
      </c>
      <c r="AJ203">
        <v>30</v>
      </c>
      <c r="AK203">
        <v>2</v>
      </c>
    </row>
    <row r="204" spans="1:37" x14ac:dyDescent="0.25">
      <c r="A204" t="s">
        <v>446</v>
      </c>
      <c r="B204" t="s">
        <v>43</v>
      </c>
      <c r="C204">
        <v>1</v>
      </c>
      <c r="E204">
        <v>1</v>
      </c>
      <c r="F204" t="s">
        <v>73</v>
      </c>
      <c r="J204" t="s">
        <v>38</v>
      </c>
      <c r="K204">
        <v>2</v>
      </c>
      <c r="L204">
        <v>1</v>
      </c>
      <c r="M204">
        <v>2</v>
      </c>
      <c r="N204" t="s">
        <v>67</v>
      </c>
      <c r="O204" t="s">
        <v>40</v>
      </c>
      <c r="R204" t="s">
        <v>33</v>
      </c>
      <c r="S204">
        <v>1</v>
      </c>
      <c r="U204">
        <v>1</v>
      </c>
      <c r="V204" t="s">
        <v>65</v>
      </c>
      <c r="W204" t="s">
        <v>35</v>
      </c>
      <c r="Z204" t="s">
        <v>63</v>
      </c>
      <c r="AA204">
        <v>1</v>
      </c>
      <c r="AC204">
        <v>1</v>
      </c>
      <c r="AD204" t="s">
        <v>72</v>
      </c>
      <c r="AH204">
        <v>4</v>
      </c>
      <c r="AI204">
        <v>32</v>
      </c>
      <c r="AJ204">
        <v>30</v>
      </c>
      <c r="AK204">
        <v>2</v>
      </c>
    </row>
    <row r="205" spans="1:37" x14ac:dyDescent="0.25">
      <c r="A205" t="s">
        <v>447</v>
      </c>
      <c r="B205" t="s">
        <v>45</v>
      </c>
      <c r="C205">
        <v>1</v>
      </c>
      <c r="E205">
        <v>1</v>
      </c>
      <c r="F205" t="s">
        <v>47</v>
      </c>
      <c r="G205" t="s">
        <v>76</v>
      </c>
      <c r="J205" t="s">
        <v>38</v>
      </c>
      <c r="K205">
        <v>2</v>
      </c>
      <c r="L205">
        <v>1</v>
      </c>
      <c r="M205">
        <v>1</v>
      </c>
      <c r="N205" t="s">
        <v>67</v>
      </c>
      <c r="R205" t="s">
        <v>33</v>
      </c>
      <c r="S205">
        <v>1</v>
      </c>
      <c r="U205">
        <v>1</v>
      </c>
      <c r="V205" t="s">
        <v>65</v>
      </c>
      <c r="Z205" t="s">
        <v>63</v>
      </c>
      <c r="AA205">
        <v>1</v>
      </c>
      <c r="AC205">
        <v>1</v>
      </c>
      <c r="AD205" t="s">
        <v>72</v>
      </c>
      <c r="AH205">
        <v>2</v>
      </c>
      <c r="AI205">
        <v>20</v>
      </c>
      <c r="AJ205">
        <v>30</v>
      </c>
      <c r="AK205">
        <v>2</v>
      </c>
    </row>
    <row r="206" spans="1:37" x14ac:dyDescent="0.25">
      <c r="A206" t="s">
        <v>448</v>
      </c>
      <c r="B206" t="s">
        <v>43</v>
      </c>
      <c r="C206">
        <v>1</v>
      </c>
      <c r="E206">
        <v>1</v>
      </c>
      <c r="F206" t="s">
        <v>73</v>
      </c>
      <c r="G206" t="s">
        <v>74</v>
      </c>
      <c r="J206" t="s">
        <v>45</v>
      </c>
      <c r="K206">
        <v>1</v>
      </c>
      <c r="M206">
        <v>1</v>
      </c>
      <c r="N206" t="s">
        <v>47</v>
      </c>
      <c r="R206" t="s">
        <v>33</v>
      </c>
      <c r="S206">
        <v>1</v>
      </c>
      <c r="U206">
        <v>1</v>
      </c>
      <c r="V206" t="s">
        <v>34</v>
      </c>
      <c r="W206" t="s">
        <v>35</v>
      </c>
      <c r="Z206" t="s">
        <v>38</v>
      </c>
      <c r="AA206">
        <v>2</v>
      </c>
      <c r="AB206">
        <v>1</v>
      </c>
      <c r="AC206">
        <v>2</v>
      </c>
      <c r="AD206" t="s">
        <v>67</v>
      </c>
      <c r="AH206">
        <v>4</v>
      </c>
      <c r="AI206">
        <v>20</v>
      </c>
      <c r="AJ206">
        <v>30</v>
      </c>
      <c r="AK206">
        <v>2</v>
      </c>
    </row>
    <row r="207" spans="1:37" x14ac:dyDescent="0.25">
      <c r="A207" t="s">
        <v>449</v>
      </c>
      <c r="B207" t="s">
        <v>43</v>
      </c>
      <c r="C207">
        <v>1</v>
      </c>
      <c r="E207">
        <v>1</v>
      </c>
      <c r="F207" t="s">
        <v>73</v>
      </c>
      <c r="G207" t="s">
        <v>74</v>
      </c>
      <c r="J207" t="s">
        <v>63</v>
      </c>
      <c r="K207">
        <v>1</v>
      </c>
      <c r="M207">
        <v>1</v>
      </c>
      <c r="N207" t="s">
        <v>72</v>
      </c>
      <c r="R207" t="s">
        <v>33</v>
      </c>
      <c r="S207">
        <v>1</v>
      </c>
      <c r="U207">
        <v>1</v>
      </c>
      <c r="V207" t="s">
        <v>46</v>
      </c>
      <c r="W207" t="s">
        <v>35</v>
      </c>
      <c r="Z207" t="s">
        <v>38</v>
      </c>
      <c r="AA207">
        <v>1</v>
      </c>
      <c r="AB207">
        <v>1</v>
      </c>
      <c r="AC207">
        <v>1</v>
      </c>
      <c r="AD207" t="s">
        <v>67</v>
      </c>
      <c r="AE207" t="s">
        <v>40</v>
      </c>
      <c r="AH207">
        <v>3</v>
      </c>
      <c r="AI207">
        <v>32</v>
      </c>
      <c r="AJ207">
        <v>30</v>
      </c>
      <c r="AK207">
        <v>2</v>
      </c>
    </row>
    <row r="208" spans="1:37" x14ac:dyDescent="0.25">
      <c r="A208" t="s">
        <v>450</v>
      </c>
      <c r="B208" t="s">
        <v>33</v>
      </c>
      <c r="C208">
        <v>1</v>
      </c>
      <c r="E208">
        <v>1</v>
      </c>
      <c r="F208" t="s">
        <v>34</v>
      </c>
      <c r="J208" t="s">
        <v>38</v>
      </c>
      <c r="K208">
        <v>2</v>
      </c>
      <c r="L208">
        <v>1</v>
      </c>
      <c r="M208">
        <v>1</v>
      </c>
      <c r="N208" t="s">
        <v>67</v>
      </c>
      <c r="O208" t="s">
        <v>40</v>
      </c>
      <c r="R208" t="s">
        <v>45</v>
      </c>
      <c r="S208">
        <v>1</v>
      </c>
      <c r="U208">
        <v>1</v>
      </c>
      <c r="V208" t="s">
        <v>47</v>
      </c>
      <c r="W208" t="s">
        <v>162</v>
      </c>
      <c r="X208" t="s">
        <v>100</v>
      </c>
      <c r="Z208" t="s">
        <v>63</v>
      </c>
      <c r="AA208">
        <v>1</v>
      </c>
      <c r="AC208">
        <v>1</v>
      </c>
      <c r="AD208" t="s">
        <v>72</v>
      </c>
      <c r="AH208">
        <v>4</v>
      </c>
      <c r="AI208">
        <v>23</v>
      </c>
      <c r="AJ208">
        <v>30</v>
      </c>
      <c r="AK208">
        <v>2</v>
      </c>
    </row>
    <row r="209" spans="1:37" x14ac:dyDescent="0.25">
      <c r="A209" t="s">
        <v>451</v>
      </c>
      <c r="B209" t="s">
        <v>43</v>
      </c>
      <c r="C209">
        <v>1</v>
      </c>
      <c r="E209">
        <v>1</v>
      </c>
      <c r="F209" t="s">
        <v>73</v>
      </c>
      <c r="G209" t="s">
        <v>74</v>
      </c>
      <c r="H209" t="s">
        <v>75</v>
      </c>
      <c r="J209" t="s">
        <v>45</v>
      </c>
      <c r="K209">
        <v>1</v>
      </c>
      <c r="M209">
        <v>1</v>
      </c>
      <c r="N209" t="s">
        <v>47</v>
      </c>
      <c r="O209" t="s">
        <v>162</v>
      </c>
      <c r="R209" t="s">
        <v>63</v>
      </c>
      <c r="S209">
        <v>1</v>
      </c>
      <c r="U209">
        <v>1</v>
      </c>
      <c r="V209" t="s">
        <v>72</v>
      </c>
      <c r="W209" t="s">
        <v>167</v>
      </c>
      <c r="X209" t="s">
        <v>119</v>
      </c>
      <c r="Z209" t="s">
        <v>38</v>
      </c>
      <c r="AA209">
        <v>1</v>
      </c>
      <c r="AB209">
        <v>1</v>
      </c>
      <c r="AC209">
        <v>2</v>
      </c>
      <c r="AD209" t="s">
        <v>67</v>
      </c>
      <c r="AH209">
        <v>6</v>
      </c>
      <c r="AI209">
        <v>33</v>
      </c>
      <c r="AJ209">
        <v>30</v>
      </c>
      <c r="AK209">
        <v>2</v>
      </c>
    </row>
    <row r="210" spans="1:37" x14ac:dyDescent="0.25">
      <c r="A210" t="s">
        <v>452</v>
      </c>
      <c r="B210" t="s">
        <v>45</v>
      </c>
      <c r="C210">
        <v>1</v>
      </c>
      <c r="E210">
        <v>1</v>
      </c>
      <c r="F210" t="s">
        <v>47</v>
      </c>
      <c r="J210" t="s">
        <v>38</v>
      </c>
      <c r="K210">
        <v>2</v>
      </c>
      <c r="L210">
        <v>1</v>
      </c>
      <c r="M210">
        <v>1</v>
      </c>
      <c r="N210" t="s">
        <v>67</v>
      </c>
      <c r="O210" t="s">
        <v>40</v>
      </c>
      <c r="R210" t="s">
        <v>43</v>
      </c>
      <c r="S210">
        <v>1</v>
      </c>
      <c r="U210">
        <v>2</v>
      </c>
      <c r="V210" t="s">
        <v>73</v>
      </c>
      <c r="W210" t="s">
        <v>74</v>
      </c>
      <c r="Z210" t="s">
        <v>63</v>
      </c>
      <c r="AA210">
        <v>1</v>
      </c>
      <c r="AC210">
        <v>1</v>
      </c>
      <c r="AD210" t="s">
        <v>72</v>
      </c>
      <c r="AH210">
        <v>4</v>
      </c>
      <c r="AI210">
        <v>27</v>
      </c>
      <c r="AJ210">
        <v>30</v>
      </c>
      <c r="AK210">
        <v>2</v>
      </c>
    </row>
    <row r="211" spans="1:37" x14ac:dyDescent="0.25">
      <c r="A211" t="s">
        <v>453</v>
      </c>
      <c r="B211" t="s">
        <v>43</v>
      </c>
      <c r="C211">
        <v>1</v>
      </c>
      <c r="E211">
        <v>1</v>
      </c>
      <c r="F211" t="s">
        <v>73</v>
      </c>
      <c r="J211" t="s">
        <v>38</v>
      </c>
      <c r="K211">
        <v>2</v>
      </c>
      <c r="L211">
        <v>1</v>
      </c>
      <c r="M211">
        <v>2</v>
      </c>
      <c r="N211" t="s">
        <v>67</v>
      </c>
      <c r="O211" t="s">
        <v>40</v>
      </c>
      <c r="R211" t="s">
        <v>45</v>
      </c>
      <c r="S211">
        <v>1</v>
      </c>
      <c r="U211">
        <v>1</v>
      </c>
      <c r="V211" t="s">
        <v>47</v>
      </c>
      <c r="W211" t="s">
        <v>99</v>
      </c>
      <c r="X211" t="s">
        <v>163</v>
      </c>
      <c r="Z211" t="s">
        <v>63</v>
      </c>
      <c r="AA211">
        <v>1</v>
      </c>
      <c r="AC211">
        <v>1</v>
      </c>
      <c r="AD211" t="s">
        <v>72</v>
      </c>
      <c r="AE211" t="s">
        <v>103</v>
      </c>
      <c r="AF211" t="s">
        <v>119</v>
      </c>
      <c r="AH211">
        <v>7</v>
      </c>
      <c r="AI211">
        <v>36</v>
      </c>
      <c r="AJ211">
        <v>30</v>
      </c>
      <c r="AK211">
        <v>2</v>
      </c>
    </row>
  </sheetData>
  <phoneticPr fontId="3" type="noConversion"/>
  <conditionalFormatting sqref="A2:A211">
    <cfRule type="duplicateValues" dxfId="264" priority="2"/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C240A-A136-4B24-9AF5-5F5BC7708E70}">
  <dimension ref="A1:I19"/>
  <sheetViews>
    <sheetView tabSelected="1" workbookViewId="0">
      <selection activeCell="F22" sqref="F22"/>
    </sheetView>
  </sheetViews>
  <sheetFormatPr defaultRowHeight="15" x14ac:dyDescent="0.25"/>
  <cols>
    <col min="1" max="1" width="19.425781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9.7109375" bestFit="1" customWidth="1"/>
    <col min="9" max="9" width="12.85546875" bestFit="1" customWidth="1"/>
  </cols>
  <sheetData>
    <row r="1" spans="1:9" x14ac:dyDescent="0.25">
      <c r="A1" t="s">
        <v>130</v>
      </c>
      <c r="B1" t="s">
        <v>131</v>
      </c>
      <c r="C1" t="s">
        <v>79</v>
      </c>
      <c r="D1" s="3" t="s">
        <v>138</v>
      </c>
      <c r="E1" s="3" t="s">
        <v>139</v>
      </c>
      <c r="G1" t="s">
        <v>336</v>
      </c>
      <c r="H1" t="s">
        <v>343</v>
      </c>
      <c r="I1" t="s">
        <v>339</v>
      </c>
    </row>
    <row r="2" spans="1:9" x14ac:dyDescent="0.25">
      <c r="A2" t="s">
        <v>44</v>
      </c>
      <c r="B2">
        <f>COUNTIF(Таблица1[winner1-ability1],Table712162024[[#This Row],[ability]])+COUNTIF(Таблица1[winner2-ability1],Table712162024[[#This Row],[ability]])+COUNTIF(Таблица1[loser1-ability1],Table712162024[[#This Row],[ability]])+COUNTIF(Таблица1[loser2-ability1],Table712162024[[#This Row],[ability]])+COUNTIF(Table41[winner1-ability1],Table712162024[[#This Row],[ability]])+COUNTIF(Table41[winner2-ability1],Table712162024[[#This Row],[ability]])+COUNTIF(Table41[winner3-ability1],Table712162024[[#This Row],[ability]])+COUNTIF(Table41[loser1-ability1],Table712162024[[#This Row],[ability]])+COUNTIF(Table41[loser2-ability1],Table712162024[[#This Row],[ability]])+COUNTIF(Table41[loser3-ability1],Table712162024[[#This Row],[ability]])</f>
        <v>1</v>
      </c>
      <c r="C2">
        <f>COUNTIF(Таблица1[winner1-ability1],Table712162024[[#This Row],[ability]])+COUNTIF(Таблица1[winner2-ability1],Table712162024[[#This Row],[ability]])+COUNTIF(Table41[winner1-ability1],Table712162024[[#This Row],[ability]])+COUNTIF(Table41[winner2-ability1],Table712162024[[#This Row],[ability]])+COUNTIF(Table41[winner3-ability1],Table712162024[[#This Row],[ability]])</f>
        <v>0</v>
      </c>
      <c r="D2" s="3">
        <f>IF(SUM(Table712162024[[#This Row],[takes]]) &gt; 0,Table712162024[[#This Row],[takes]]/SUM(Table712162024[takes]),0)</f>
        <v>6.0975609756097563E-3</v>
      </c>
      <c r="E2" s="3">
        <f>IF(Table712162024[[#This Row],[takes]]&gt;0,Table712162024[[#This Row],[wins]]/Table712162024[[#This Row],[takes]],0)</f>
        <v>0</v>
      </c>
      <c r="G2">
        <v>1</v>
      </c>
      <c r="H2">
        <f>COUNTIFS(Таблица1[winner1],"avatar",Таблица1[winner1-pw],Table4244454647[[#This Row],[level]])+COUNTIFS(Таблица1[winner2],"avatar",Таблица1[winner2-pw],Table4244454647[[#This Row],[level]])+COUNTIFS(Таблица1[loser1],"avatar",Таблица1[loser1-pw],Table4244454647[[#This Row],[level]])+COUNTIFS(Таблица1[loser2],"avatar",Таблица1[loser2-pw],Table4244454647[[#This Row],[level]])+COUNTIFS(Table41[winner1],"avatar",Table41[winner1-pw],Table4244454647[[#This Row],[level]])+COUNTIFS(Table41[winner2],"avatar",Table41[winner2-pw],Table4244454647[[#This Row],[level]])+COUNTIFS(Table41[winner3],"avatar",Table41[winner3-pw],Table4244454647[[#This Row],[level]])+COUNTIFS(Table41[loser1],"avatar",Table41[loser1-pw],Table4244454647[[#This Row],[level]])+COUNTIFS(Table41[loser2],"avatar",Table41[loser2-pw],Table4244454647[[#This Row],[level]])+COUNTIFS(Table41[loser3],"avatar",Table41[loser3-pw],Table4244454647[[#This Row],[level]])</f>
        <v>163</v>
      </c>
      <c r="I2">
        <f>COUNTIFS(Таблица1[winner1],"avatar",Таблица1[winner1-cp],Table4244454647[[#This Row],[level]])+COUNTIFS(Таблица1[winner2],"avatar",Таблица1[winner2-cp],Table4244454647[[#This Row],[level]])+COUNTIFS(Таблица1[loser1],"avatar",Таблица1[loser1-cp],Table4244454647[[#This Row],[level]])+COUNTIFS(Таблица1[loser2],"avatar",Таблица1[loser2-cp],Table4244454647[[#This Row],[level]])+COUNTIFS(Table41[winner1],"avatar",Table41[winner1-cp],Table4244454647[[#This Row],[level]])+COUNTIFS(Table41[winner2],"avatar",Table41[winner2-cp],Table4244454647[[#This Row],[level]])+COUNTIFS(Table41[winner3],"avatar",Table41[winner3-cp],Table4244454647[[#This Row],[level]])+COUNTIFS(Table41[loser1],"avatar",Table41[loser1-cp],Table4244454647[[#This Row],[level]])+COUNTIFS(Table41[loser2],"avatar",Table41[loser2-cp],Table4244454647[[#This Row],[level]])+COUNTIFS(Table41[loser3],"avatar",Table41[loser3-cp],Table4244454647[[#This Row],[level]])</f>
        <v>132</v>
      </c>
    </row>
    <row r="3" spans="1:9" x14ac:dyDescent="0.25">
      <c r="A3" t="s">
        <v>156</v>
      </c>
      <c r="B3">
        <f>COUNTIF(Таблица1[winner1-ability1],Table712162024[[#This Row],[ability]])+COUNTIF(Таблица1[winner2-ability1],Table712162024[[#This Row],[ability]])+COUNTIF(Таблица1[loser1-ability1],Table712162024[[#This Row],[ability]])+COUNTIF(Таблица1[loser2-ability1],Table712162024[[#This Row],[ability]])+COUNTIF(Table41[winner1-ability1],Table712162024[[#This Row],[ability]])+COUNTIF(Table41[winner2-ability1],Table712162024[[#This Row],[ability]])+COUNTIF(Table41[winner3-ability1],Table712162024[[#This Row],[ability]])+COUNTIF(Table41[loser1-ability1],Table712162024[[#This Row],[ability]])+COUNTIF(Table41[loser2-ability1],Table712162024[[#This Row],[ability]])+COUNTIF(Table41[loser3-ability1],Table712162024[[#This Row],[ability]])</f>
        <v>0</v>
      </c>
      <c r="C3">
        <f>COUNTIF(Таблица1[winner1-ability1],Table712162024[[#This Row],[ability]])+COUNTIF(Таблица1[winner2-ability1],Table712162024[[#This Row],[ability]])+COUNTIF(Table41[winner1-ability1],Table712162024[[#This Row],[ability]])+COUNTIF(Table41[winner2-ability1],Table712162024[[#This Row],[ability]])+COUNTIF(Table41[winner3-ability1],Table712162024[[#This Row],[ability]])</f>
        <v>0</v>
      </c>
      <c r="D3" s="3">
        <f>IF(SUM(Table712162024[[#This Row],[takes]]) &gt; 0,Table712162024[[#This Row],[takes]]/SUM(Table712162024[takes]),0)</f>
        <v>0</v>
      </c>
      <c r="E3" s="3">
        <f>IF(Table712162024[[#This Row],[takes]]&gt;0,Table712162024[[#This Row],[wins]]/Table712162024[[#This Row],[takes]],0)</f>
        <v>0</v>
      </c>
      <c r="G3">
        <v>2</v>
      </c>
      <c r="H3">
        <f>COUNTIFS(Таблица1[winner1],"avatar",Таблица1[winner1-pw],Table4244454647[[#This Row],[level]])+COUNTIFS(Таблица1[winner2],"avatar",Таблица1[winner2-pw],Table4244454647[[#This Row],[level]])+COUNTIFS(Таблица1[loser1],"avatar",Таблица1[loser1-pw],Table4244454647[[#This Row],[level]])+COUNTIFS(Таблица1[loser2],"avatar",Таблица1[loser2-pw],Table4244454647[[#This Row],[level]])+COUNTIFS(Table41[winner1],"avatar",Table41[winner1-pw],Table4244454647[[#This Row],[level]])+COUNTIFS(Table41[winner2],"avatar",Table41[winner2-pw],Table4244454647[[#This Row],[level]])+COUNTIFS(Table41[winner3],"avatar",Table41[winner3-pw],Table4244454647[[#This Row],[level]])+COUNTIFS(Table41[loser1],"avatar",Table41[loser1-pw],Table4244454647[[#This Row],[level]])+COUNTIFS(Table41[loser2],"avatar",Table41[loser2-pw],Table4244454647[[#This Row],[level]])+COUNTIFS(Table41[loser3],"avatar",Table41[loser3-pw],Table4244454647[[#This Row],[level]])</f>
        <v>0</v>
      </c>
      <c r="I3">
        <f>COUNTIFS(Таблица1[winner1],"avatar",Таблица1[winner1-cp],Table4244454647[[#This Row],[level]])+COUNTIFS(Таблица1[winner2],"avatar",Таблица1[winner2-cp],Table4244454647[[#This Row],[level]])+COUNTIFS(Таблица1[loser1],"avatar",Таблица1[loser1-cp],Table4244454647[[#This Row],[level]])+COUNTIFS(Таблица1[loser2],"avatar",Таблица1[loser2-cp],Table4244454647[[#This Row],[level]])+COUNTIFS(Table41[winner1],"avatar",Table41[winner1-cp],Table4244454647[[#This Row],[level]])+COUNTIFS(Table41[winner2],"avatar",Table41[winner2-cp],Table4244454647[[#This Row],[level]])+COUNTIFS(Table41[winner3],"avatar",Table41[winner3-cp],Table4244454647[[#This Row],[level]])+COUNTIFS(Table41[loser1],"avatar",Table41[loser1-cp],Table4244454647[[#This Row],[level]])+COUNTIFS(Table41[loser2],"avatar",Table41[loser2-cp],Table4244454647[[#This Row],[level]])+COUNTIFS(Table41[loser3],"avatar",Table41[loser3-cp],Table4244454647[[#This Row],[level]])</f>
        <v>24</v>
      </c>
    </row>
    <row r="4" spans="1:9" x14ac:dyDescent="0.25">
      <c r="A4" t="s">
        <v>73</v>
      </c>
      <c r="B4">
        <f>COUNTIF(Таблица1[winner1-ability1],Table712162024[[#This Row],[ability]])+COUNTIF(Таблица1[winner2-ability1],Table712162024[[#This Row],[ability]])+COUNTIF(Таблица1[loser1-ability1],Table712162024[[#This Row],[ability]])+COUNTIF(Таблица1[loser2-ability1],Table712162024[[#This Row],[ability]])+COUNTIF(Table41[winner1-ability1],Table712162024[[#This Row],[ability]])+COUNTIF(Table41[winner2-ability1],Table712162024[[#This Row],[ability]])+COUNTIF(Table41[winner3-ability1],Table712162024[[#This Row],[ability]])+COUNTIF(Table41[loser1-ability1],Table712162024[[#This Row],[ability]])+COUNTIF(Table41[loser2-ability1],Table712162024[[#This Row],[ability]])+COUNTIF(Table41[loser3-ability1],Table712162024[[#This Row],[ability]])</f>
        <v>163</v>
      </c>
      <c r="C4">
        <f>COUNTIF(Таблица1[winner1-ability1],Table712162024[[#This Row],[ability]])+COUNTIF(Таблица1[winner2-ability1],Table712162024[[#This Row],[ability]])+COUNTIF(Table41[winner1-ability1],Table712162024[[#This Row],[ability]])+COUNTIF(Table41[winner2-ability1],Table712162024[[#This Row],[ability]])+COUNTIF(Table41[winner3-ability1],Table712162024[[#This Row],[ability]])</f>
        <v>77</v>
      </c>
      <c r="D4" s="3">
        <f>IF(SUM(Table712162024[[#This Row],[takes]]) &gt; 0,Table712162024[[#This Row],[takes]]/SUM(Table712162024[takes]),0)</f>
        <v>0.99390243902439024</v>
      </c>
      <c r="E4" s="3">
        <f>IF(Table712162024[[#This Row],[takes]]&gt;0,Table712162024[[#This Row],[wins]]/Table712162024[[#This Row],[takes]],0)</f>
        <v>0.47239263803680981</v>
      </c>
      <c r="G4">
        <v>3</v>
      </c>
      <c r="H4">
        <f>COUNTIFS(Таблица1[winner1],"avatar",Таблица1[winner1-pw],Table4244454647[[#This Row],[level]])+COUNTIFS(Таблица1[winner2],"avatar",Таблица1[winner2-pw],Table4244454647[[#This Row],[level]])+COUNTIFS(Таблица1[loser1],"avatar",Таблица1[loser1-pw],Table4244454647[[#This Row],[level]])+COUNTIFS(Таблица1[loser2],"avatar",Таблица1[loser2-pw],Table4244454647[[#This Row],[level]])+COUNTIFS(Table41[winner1],"avatar",Table41[winner1-pw],Table4244454647[[#This Row],[level]])+COUNTIFS(Table41[winner2],"avatar",Table41[winner2-pw],Table4244454647[[#This Row],[level]])+COUNTIFS(Table41[winner3],"avatar",Table41[winner3-pw],Table4244454647[[#This Row],[level]])+COUNTIFS(Table41[loser1],"avatar",Table41[loser1-pw],Table4244454647[[#This Row],[level]])+COUNTIFS(Table41[loser2],"avatar",Table41[loser2-pw],Table4244454647[[#This Row],[level]])+COUNTIFS(Table41[loser3],"avatar",Table41[loser3-pw],Table4244454647[[#This Row],[level]])</f>
        <v>1</v>
      </c>
      <c r="I4">
        <f>COUNTIFS(Таблица1[winner1],"avatar",Таблица1[winner1-cp],Table4244454647[[#This Row],[level]])+COUNTIFS(Таблица1[winner2],"avatar",Таблица1[winner2-cp],Table4244454647[[#This Row],[level]])+COUNTIFS(Таблица1[loser1],"avatar",Таблица1[loser1-cp],Table4244454647[[#This Row],[level]])+COUNTIFS(Таблица1[loser2],"avatar",Таблица1[loser2-cp],Table4244454647[[#This Row],[level]])+COUNTIFS(Table41[winner1],"avatar",Table41[winner1-cp],Table4244454647[[#This Row],[level]])+COUNTIFS(Table41[winner2],"avatar",Table41[winner2-cp],Table4244454647[[#This Row],[level]])+COUNTIFS(Table41[winner3],"avatar",Table41[winner3-cp],Table4244454647[[#This Row],[level]])+COUNTIFS(Table41[loser1],"avatar",Table41[loser1-cp],Table4244454647[[#This Row],[level]])+COUNTIFS(Table41[loser2],"avatar",Table41[loser2-cp],Table4244454647[[#This Row],[level]])+COUNTIFS(Table41[loser3],"avatar",Table41[loser3-cp],Table4244454647[[#This Row],[level]])</f>
        <v>8</v>
      </c>
    </row>
    <row r="6" spans="1:9" x14ac:dyDescent="0.25">
      <c r="A6" s="11" t="s">
        <v>130</v>
      </c>
      <c r="B6" s="12" t="s">
        <v>131</v>
      </c>
      <c r="C6" s="12" t="s">
        <v>79</v>
      </c>
      <c r="D6" s="13" t="s">
        <v>138</v>
      </c>
      <c r="E6" s="13" t="s">
        <v>139</v>
      </c>
    </row>
    <row r="7" spans="1:9" x14ac:dyDescent="0.25">
      <c r="A7" s="2" t="s">
        <v>74</v>
      </c>
      <c r="B7" s="2">
        <f>COUNTIF(Таблица1[winner1-ability2],Table813172125[[#This Row],[ability]])+COUNTIF(Таблица1[winner2-ability2],Table813172125[[#This Row],[ability]])+COUNTIF(Таблица1[loser1-ability2],Table813172125[[#This Row],[ability]])+COUNTIF(Таблица1[loser2-ability2],Table813172125[[#This Row],[ability]])+COUNTIF(Table41[winner1-ability2],Table813172125[[#This Row],[ability]])+COUNTIF(Table41[winner2-ability2],Table813172125[[#This Row],[ability]])+COUNTIF(Table41[winner3-ability2],Table813172125[[#This Row],[ability]])+COUNTIF(Table41[loser1-ability2],Table813172125[[#This Row],[ability]])+COUNTIF(Table41[loser2-ability2],Table813172125[[#This Row],[ability]])+COUNTIF(Table41[loser3-ability2],Table813172125[[#This Row],[ability]])</f>
        <v>99</v>
      </c>
      <c r="C7" s="2">
        <f>COUNTIF(Таблица1[winner1-ability2],Table813172125[[#This Row],[ability]])+COUNTIF(Таблица1[winner2-ability2],Table813172125[[#This Row],[ability]])+COUNTIF(Table41[winner1-ability2],Table813172125[[#This Row],[ability]])+COUNTIF(Table41[winner2-ability2],Table813172125[[#This Row],[ability]])+COUNTIF(Table41[winner3-ability2],Table813172125[[#This Row],[ability]])</f>
        <v>50</v>
      </c>
      <c r="D7" s="16">
        <f>IF(SUM(Table813172125[[#This Row],[takes]]) &gt; 0,Table813172125[[#This Row],[takes]]/SUM(Table813172125[takes]),0)</f>
        <v>0.77952755905511806</v>
      </c>
      <c r="E7" s="16">
        <f>IF(Table813172125[[#This Row],[takes]]&gt;0,Table813172125[[#This Row],[wins]]/Table813172125[[#This Row],[takes]],0)</f>
        <v>0.50505050505050508</v>
      </c>
    </row>
    <row r="8" spans="1:9" x14ac:dyDescent="0.25">
      <c r="A8" t="s">
        <v>157</v>
      </c>
      <c r="B8">
        <f>COUNTIF(Таблица1[winner1-ability2],Table813172125[[#This Row],[ability]])+COUNTIF(Таблица1[winner2-ability2],Table813172125[[#This Row],[ability]])+COUNTIF(Таблица1[loser1-ability2],Table813172125[[#This Row],[ability]])+COUNTIF(Таблица1[loser2-ability2],Table813172125[[#This Row],[ability]])+COUNTIF(Table41[winner1-ability2],Table813172125[[#This Row],[ability]])+COUNTIF(Table41[winner2-ability2],Table813172125[[#This Row],[ability]])+COUNTIF(Table41[winner3-ability2],Table813172125[[#This Row],[ability]])+COUNTIF(Table41[loser1-ability2],Table813172125[[#This Row],[ability]])+COUNTIF(Table41[loser2-ability2],Table813172125[[#This Row],[ability]])+COUNTIF(Table41[loser3-ability2],Table813172125[[#This Row],[ability]])</f>
        <v>8</v>
      </c>
      <c r="C8">
        <f>COUNTIF(Таблица1[winner1-ability2],Table813172125[[#This Row],[ability]])+COUNTIF(Таблица1[winner2-ability2],Table813172125[[#This Row],[ability]])+COUNTIF(Table41[winner1-ability2],Table813172125[[#This Row],[ability]])+COUNTIF(Table41[winner2-ability2],Table813172125[[#This Row],[ability]])+COUNTIF(Table41[winner3-ability2],Table813172125[[#This Row],[ability]])</f>
        <v>3</v>
      </c>
      <c r="D8" s="3">
        <f>IF(SUM(Table813172125[[#This Row],[takes]]) &gt; 0,Table813172125[[#This Row],[takes]]/SUM(Table813172125[takes]),0)</f>
        <v>6.2992125984251968E-2</v>
      </c>
      <c r="E8" s="3">
        <f>IF(Table813172125[[#This Row],[takes]]&gt;0,Table813172125[[#This Row],[wins]]/Table813172125[[#This Row],[takes]],0)</f>
        <v>0.375</v>
      </c>
    </row>
    <row r="9" spans="1:9" x14ac:dyDescent="0.25">
      <c r="A9" s="14" t="s">
        <v>110</v>
      </c>
      <c r="B9" s="14">
        <f>COUNTIF(Таблица1[winner1-ability2],Table813172125[[#This Row],[ability]])+COUNTIF(Таблица1[winner2-ability2],Table813172125[[#This Row],[ability]])+COUNTIF(Таблица1[loser1-ability2],Table813172125[[#This Row],[ability]])+COUNTIF(Таблица1[loser2-ability2],Table813172125[[#This Row],[ability]])+COUNTIF(Table41[winner1-ability2],Table813172125[[#This Row],[ability]])+COUNTIF(Table41[winner2-ability2],Table813172125[[#This Row],[ability]])+COUNTIF(Table41[winner3-ability2],Table813172125[[#This Row],[ability]])+COUNTIF(Table41[loser1-ability2],Table813172125[[#This Row],[ability]])+COUNTIF(Table41[loser2-ability2],Table813172125[[#This Row],[ability]])+COUNTIF(Table41[loser3-ability2],Table813172125[[#This Row],[ability]])</f>
        <v>20</v>
      </c>
      <c r="C9" s="14">
        <f>COUNTIF(Таблица1[winner1-ability2],Table813172125[[#This Row],[ability]])+COUNTIF(Таблица1[winner2-ability2],Table813172125[[#This Row],[ability]])+COUNTIF(Table41[winner1-ability2],Table813172125[[#This Row],[ability]])+COUNTIF(Table41[winner2-ability2],Table813172125[[#This Row],[ability]])+COUNTIF(Table41[winner3-ability2],Table813172125[[#This Row],[ability]])</f>
        <v>10</v>
      </c>
      <c r="D9" s="17">
        <f>IF(SUM(Table813172125[[#This Row],[takes]]) &gt; 0,Table813172125[[#This Row],[takes]]/SUM(Table813172125[takes]),0)</f>
        <v>0.15748031496062992</v>
      </c>
      <c r="E9" s="17">
        <f>IF(Table813172125[[#This Row],[takes]]&gt;0,Table813172125[[#This Row],[wins]]/Table813172125[[#This Row],[takes]],0)</f>
        <v>0.5</v>
      </c>
    </row>
    <row r="11" spans="1:9" x14ac:dyDescent="0.25">
      <c r="A11" s="11" t="s">
        <v>130</v>
      </c>
      <c r="B11" s="12" t="s">
        <v>131</v>
      </c>
      <c r="C11" s="12" t="s">
        <v>79</v>
      </c>
      <c r="D11" s="13" t="s">
        <v>138</v>
      </c>
      <c r="E11" s="13" t="s">
        <v>139</v>
      </c>
    </row>
    <row r="12" spans="1:9" x14ac:dyDescent="0.25">
      <c r="A12" s="1" t="s">
        <v>158</v>
      </c>
      <c r="B12" s="1">
        <f>COUNTIF(Таблица1[winner1-ability3],Table914182226[[#This Row],[ability]])+COUNTIF(Таблица1[winner2-ability3],Table914182226[[#This Row],[ability]])+COUNTIF(Таблица1[loser1-ability3],Table914182226[[#This Row],[ability]])+COUNTIF(Таблица1[loser2-ability3],Table914182226[[#This Row],[ability]])+COUNTIF(Table41[winner1-ability3],Table914182226[[#This Row],[ability]])+COUNTIF(Table41[winner2-ability3],Table914182226[[#This Row],[ability]])+COUNTIF(Table41[winner3-ability3],Table914182226[[#This Row],[ability]])+COUNTIF(Table41[loser1-ability3],Table914182226[[#This Row],[ability]])+COUNTIF(Table41[loser2-ability3],Table914182226[[#This Row],[ability]])+COUNTIF(Table41[loser3-ability3],Table914182226[[#This Row],[ability]])</f>
        <v>14</v>
      </c>
      <c r="C12" s="1">
        <f>COUNTIF(Таблица1[winner1-ability3],Table914182226[[#This Row],[ability]])+COUNTIF(Таблица1[winner2-ability3],Table914182226[[#This Row],[ability]])+COUNTIF(Table41[winner1-ability3],Table914182226[[#This Row],[ability]])+COUNTIF(Table41[winner2-ability3],Table914182226[[#This Row],[ability]])+COUNTIF(Table41[winner3-ability3],Table914182226[[#This Row],[ability]])</f>
        <v>9</v>
      </c>
      <c r="D12" s="18">
        <f>IF(SUM(Table914182226[[#This Row],[takes]]) &gt; 0,Table914182226[[#This Row],[takes]]/SUM(Table914182226[takes]),0)</f>
        <v>0.23728813559322035</v>
      </c>
      <c r="E12" s="18">
        <f>IF(Table914182226[[#This Row],[takes]]&gt;0,Table914182226[[#This Row],[wins]]/Table914182226[[#This Row],[takes]],0)</f>
        <v>0.6428571428571429</v>
      </c>
    </row>
    <row r="13" spans="1:9" x14ac:dyDescent="0.25">
      <c r="A13" s="2" t="s">
        <v>111</v>
      </c>
      <c r="B13" s="2">
        <f>COUNTIF(Таблица1[winner1-ability3],Table914182226[[#This Row],[ability]])+COUNTIF(Таблица1[winner2-ability3],Table914182226[[#This Row],[ability]])+COUNTIF(Таблица1[loser1-ability3],Table914182226[[#This Row],[ability]])+COUNTIF(Таблица1[loser2-ability3],Table914182226[[#This Row],[ability]])+COUNTIF(Table41[winner1-ability3],Table914182226[[#This Row],[ability]])+COUNTIF(Table41[winner2-ability3],Table914182226[[#This Row],[ability]])+COUNTIF(Table41[winner3-ability3],Table914182226[[#This Row],[ability]])+COUNTIF(Table41[loser1-ability3],Table914182226[[#This Row],[ability]])+COUNTIF(Table41[loser2-ability3],Table914182226[[#This Row],[ability]])+COUNTIF(Table41[loser3-ability3],Table914182226[[#This Row],[ability]])</f>
        <v>16</v>
      </c>
      <c r="C13" s="2">
        <f>COUNTIF(Таблица1[winner1-ability3],Table914182226[[#This Row],[ability]])+COUNTIF(Таблица1[winner2-ability3],Table914182226[[#This Row],[ability]])+COUNTIF(Table41[winner1-ability3],Table914182226[[#This Row],[ability]])+COUNTIF(Table41[winner2-ability3],Table914182226[[#This Row],[ability]])+COUNTIF(Table41[winner3-ability3],Table914182226[[#This Row],[ability]])</f>
        <v>3</v>
      </c>
      <c r="D13" s="16">
        <f>IF(SUM(Table914182226[[#This Row],[takes]]) &gt; 0,Table914182226[[#This Row],[takes]]/SUM(Table914182226[takes]),0)</f>
        <v>0.2711864406779661</v>
      </c>
      <c r="E13" s="16">
        <f>IF(Table914182226[[#This Row],[takes]]&gt;0,Table914182226[[#This Row],[wins]]/Table914182226[[#This Row],[takes]],0)</f>
        <v>0.1875</v>
      </c>
    </row>
    <row r="14" spans="1:9" x14ac:dyDescent="0.25">
      <c r="A14" s="15" t="s">
        <v>75</v>
      </c>
      <c r="B14" s="15">
        <f>COUNTIF(Таблица1[winner1-ability3],Table914182226[[#This Row],[ability]])+COUNTIF(Таблица1[winner2-ability3],Table914182226[[#This Row],[ability]])+COUNTIF(Таблица1[loser1-ability3],Table914182226[[#This Row],[ability]])+COUNTIF(Таблица1[loser2-ability3],Table914182226[[#This Row],[ability]])+COUNTIF(Table41[winner1-ability3],Table914182226[[#This Row],[ability]])+COUNTIF(Table41[winner2-ability3],Table914182226[[#This Row],[ability]])+COUNTIF(Table41[winner3-ability3],Table914182226[[#This Row],[ability]])+COUNTIF(Table41[loser1-ability3],Table914182226[[#This Row],[ability]])+COUNTIF(Table41[loser2-ability3],Table914182226[[#This Row],[ability]])+COUNTIF(Table41[loser3-ability3],Table914182226[[#This Row],[ability]])</f>
        <v>29</v>
      </c>
      <c r="C14" s="15">
        <f>COUNTIF(Таблица1[winner1-ability3],Table914182226[[#This Row],[ability]])+COUNTIF(Таблица1[winner2-ability3],Table914182226[[#This Row],[ability]])+COUNTIF(Table41[winner1-ability3],Table914182226[[#This Row],[ability]])+COUNTIF(Table41[winner2-ability3],Table914182226[[#This Row],[ability]])+COUNTIF(Table41[winner3-ability3],Table914182226[[#This Row],[ability]])</f>
        <v>16</v>
      </c>
      <c r="D14" s="19">
        <f>IF(SUM(Table914182226[[#This Row],[takes]]) &gt; 0,Table914182226[[#This Row],[takes]]/SUM(Table914182226[takes]),0)</f>
        <v>0.49152542372881358</v>
      </c>
      <c r="E14" s="19">
        <f>IF(Table914182226[[#This Row],[takes]]&gt;0,Table914182226[[#This Row],[wins]]/Table914182226[[#This Row],[takes]],0)</f>
        <v>0.55172413793103448</v>
      </c>
    </row>
    <row r="16" spans="1:9" x14ac:dyDescent="0.25">
      <c r="A16" s="11" t="s">
        <v>130</v>
      </c>
      <c r="B16" s="12" t="s">
        <v>131</v>
      </c>
      <c r="C16" s="12" t="s">
        <v>79</v>
      </c>
      <c r="D16" s="13" t="s">
        <v>138</v>
      </c>
      <c r="E16" s="13" t="s">
        <v>139</v>
      </c>
    </row>
    <row r="17" spans="1:5" x14ac:dyDescent="0.25">
      <c r="A17" s="2" t="s">
        <v>159</v>
      </c>
      <c r="B17" s="2">
        <f>COUNTIF(Таблица1[winner1-ability4],Table1015192327[[#This Row],[ability]])+COUNTIF(Таблица1[winner2-ability4],Table1015192327[[#This Row],[ability]])+COUNTIF(Таблица1[loser1-ability4],Table1015192327[[#This Row],[ability]])+COUNTIF(Таблица1[loser2-ability4],Table1015192327[[#This Row],[ability]])+COUNTIF(Table41[winner1-ability4],Table1015192327[[#This Row],[ability]])+COUNTIF(Table41[winner2-ability4],Table1015192327[[#This Row],[ability]])+COUNTIF(Table41[winner3-ability4],Table1015192327[[#This Row],[ability]])+COUNTIF(Table41[loser1-ability4],Table1015192327[[#This Row],[ability]])+COUNTIF(Table41[loser2-ability4],Table1015192327[[#This Row],[ability]])+COUNTIF(Table41[loser3-ability4],Table1015192327[[#This Row],[ability]])</f>
        <v>3</v>
      </c>
      <c r="C17" s="2">
        <f>COUNTIF(Таблица1[winner1-ability4],Table1015192327[[#This Row],[ability]])+COUNTIF(Таблица1[winner2-ability4],Table1015192327[[#This Row],[ability]])+COUNTIF(Table41[winner1-ability4],Table1015192327[[#This Row],[ability]])+COUNTIF(Table41[winner2-ability4],Table1015192327[[#This Row],[ability]])+COUNTIF(Table41[winner3-ability4],Table1015192327[[#This Row],[ability]])</f>
        <v>1</v>
      </c>
      <c r="D17" s="16">
        <f>IF(SUM(Table1015192327[[#This Row],[takes]]) &gt; 0,Table1015192327[[#This Row],[takes]]/SUM(Table1015192327[takes]),0)</f>
        <v>0.1111111111111111</v>
      </c>
      <c r="E17" s="16">
        <f>IF(Table1015192327[[#This Row],[takes]]&gt;0,Table1015192327[[#This Row],[wins]]/Table1015192327[[#This Row],[takes]],0)</f>
        <v>0.33333333333333331</v>
      </c>
    </row>
    <row r="18" spans="1:5" x14ac:dyDescent="0.25">
      <c r="A18" s="2" t="s">
        <v>112</v>
      </c>
      <c r="B18" s="2">
        <f>COUNTIF(Таблица1[winner1-ability4],Table1015192327[[#This Row],[ability]])+COUNTIF(Таблица1[winner2-ability4],Table1015192327[[#This Row],[ability]])+COUNTIF(Таблица1[loser1-ability4],Table1015192327[[#This Row],[ability]])+COUNTIF(Таблица1[loser2-ability4],Table1015192327[[#This Row],[ability]])+COUNTIF(Table41[winner1-ability4],Table1015192327[[#This Row],[ability]])+COUNTIF(Table41[winner2-ability4],Table1015192327[[#This Row],[ability]])+COUNTIF(Table41[winner3-ability4],Table1015192327[[#This Row],[ability]])+COUNTIF(Table41[loser1-ability4],Table1015192327[[#This Row],[ability]])+COUNTIF(Table41[loser2-ability4],Table1015192327[[#This Row],[ability]])+COUNTIF(Table41[loser3-ability4],Table1015192327[[#This Row],[ability]])</f>
        <v>24</v>
      </c>
      <c r="C18" s="2">
        <f>COUNTIF(Таблица1[winner1-ability4],Table1015192327[[#This Row],[ability]])+COUNTIF(Таблица1[winner2-ability4],Table1015192327[[#This Row],[ability]])+COUNTIF(Table41[winner1-ability4],Table1015192327[[#This Row],[ability]])+COUNTIF(Table41[winner2-ability4],Table1015192327[[#This Row],[ability]])+COUNTIF(Table41[winner3-ability4],Table1015192327[[#This Row],[ability]])</f>
        <v>5</v>
      </c>
      <c r="D18" s="16">
        <f>IF(SUM(Table1015192327[[#This Row],[takes]]) &gt; 0,Table1015192327[[#This Row],[takes]]/SUM(Table1015192327[takes]),0)</f>
        <v>0.88888888888888884</v>
      </c>
      <c r="E18" s="16">
        <f>IF(Table1015192327[[#This Row],[takes]]&gt;0,Table1015192327[[#This Row],[wins]]/Table1015192327[[#This Row],[takes]],0)</f>
        <v>0.20833333333333334</v>
      </c>
    </row>
    <row r="19" spans="1:5" x14ac:dyDescent="0.25">
      <c r="A19" s="14" t="s">
        <v>160</v>
      </c>
      <c r="B19" s="14">
        <f>COUNTIF(Таблица1[winner1-ability4],Table1015192327[[#This Row],[ability]])+COUNTIF(Таблица1[winner2-ability4],Table1015192327[[#This Row],[ability]])+COUNTIF(Таблица1[loser1-ability4],Table1015192327[[#This Row],[ability]])+COUNTIF(Таблица1[loser2-ability4],Table1015192327[[#This Row],[ability]])+COUNTIF(Table41[winner1-ability4],Table1015192327[[#This Row],[ability]])+COUNTIF(Table41[winner2-ability4],Table1015192327[[#This Row],[ability]])+COUNTIF(Table41[winner3-ability4],Table1015192327[[#This Row],[ability]])+COUNTIF(Table41[loser1-ability4],Table1015192327[[#This Row],[ability]])+COUNTIF(Table41[loser2-ability4],Table1015192327[[#This Row],[ability]])+COUNTIF(Table41[loser3-ability4],Table1015192327[[#This Row],[ability]])</f>
        <v>0</v>
      </c>
      <c r="C19" s="14">
        <f>COUNTIF(Таблица1[winner1-ability4],Table1015192327[[#This Row],[ability]])+COUNTIF(Таблица1[winner2-ability4],Table1015192327[[#This Row],[ability]])+COUNTIF(Table41[winner1-ability4],Table1015192327[[#This Row],[ability]])+COUNTIF(Table41[winner2-ability4],Table1015192327[[#This Row],[ability]])+COUNTIF(Table41[winner3-ability4],Table1015192327[[#This Row],[ability]])</f>
        <v>0</v>
      </c>
      <c r="D19" s="17">
        <f>IF(SUM(Table1015192327[[#This Row],[takes]]) &gt; 0,Table1015192327[[#This Row],[takes]]/SUM(Table1015192327[takes]),0)</f>
        <v>0</v>
      </c>
      <c r="E19" s="17">
        <f>IF(Table1015192327[[#This Row],[takes]]&gt;0,Table1015192327[[#This Row],[wins]]/Table1015192327[[#This Row],[takes]],0)</f>
        <v>0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BC3B4-4E08-42E0-A271-7BBE7E7BF6D2}">
  <dimension ref="A1:I19"/>
  <sheetViews>
    <sheetView workbookViewId="0">
      <selection activeCell="B24" sqref="B24"/>
    </sheetView>
  </sheetViews>
  <sheetFormatPr defaultRowHeight="15" x14ac:dyDescent="0.25"/>
  <cols>
    <col min="1" max="1" width="18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7.140625" bestFit="1" customWidth="1"/>
    <col min="9" max="9" width="12.85546875" bestFit="1" customWidth="1"/>
  </cols>
  <sheetData>
    <row r="1" spans="1:9" x14ac:dyDescent="0.25">
      <c r="A1" t="s">
        <v>130</v>
      </c>
      <c r="B1" t="s">
        <v>131</v>
      </c>
      <c r="C1" t="s">
        <v>79</v>
      </c>
      <c r="D1" s="3" t="s">
        <v>138</v>
      </c>
      <c r="E1" s="3" t="s">
        <v>139</v>
      </c>
      <c r="G1" t="s">
        <v>336</v>
      </c>
      <c r="H1" t="s">
        <v>344</v>
      </c>
      <c r="I1" t="s">
        <v>339</v>
      </c>
    </row>
    <row r="2" spans="1:9" x14ac:dyDescent="0.25">
      <c r="A2" t="s">
        <v>47</v>
      </c>
      <c r="B2">
        <f>COUNTIF(Таблица1[winner1-ability1],Table71216202428[[#This Row],[ability]])+COUNTIF(Таблица1[winner2-ability1],Table71216202428[[#This Row],[ability]])+COUNTIF(Таблица1[loser1-ability1],Table71216202428[[#This Row],[ability]])+COUNTIF(Таблица1[loser2-ability1],Table71216202428[[#This Row],[ability]])+COUNTIF(Table41[winner1-ability1],Table71216202428[[#This Row],[ability]])+COUNTIF(Table41[winner2-ability1],Table71216202428[[#This Row],[ability]])+COUNTIF(Table41[winner3-ability1],Table71216202428[[#This Row],[ability]])+COUNTIF(Table41[loser1-ability1],Table71216202428[[#This Row],[ability]])+COUNTIF(Table41[loser2-ability1],Table71216202428[[#This Row],[ability]])+COUNTIF(Table41[loser3-ability1],Table71216202428[[#This Row],[ability]])</f>
        <v>137</v>
      </c>
      <c r="C2">
        <f>COUNTIF(Таблица1[winner1-ability1],Table71216202428[[#This Row],[ability]])+COUNTIF(Таблица1[winner2-ability1],Table71216202428[[#This Row],[ability]])+COUNTIF(Table41[winner1-ability1],Table71216202428[[#This Row],[ability]])+COUNTIF(Table41[winner2-ability1],Table71216202428[[#This Row],[ability]])+COUNTIF(Table41[winner3-ability1],Table71216202428[[#This Row],[ability]])</f>
        <v>53</v>
      </c>
      <c r="D2" s="3">
        <f>IF(SUM(Table71216202428[[#This Row],[takes]]) &gt; 0,Table71216202428[[#This Row],[takes]]/SUM(Table71216202428[takes]),0)</f>
        <v>0.8404907975460123</v>
      </c>
      <c r="E2" s="3">
        <f>IF(Table71216202428[[#This Row],[takes]]&gt;0,Table71216202428[[#This Row],[wins]]/Table71216202428[[#This Row],[takes]],0)</f>
        <v>0.38686131386861317</v>
      </c>
      <c r="G2">
        <v>1</v>
      </c>
      <c r="H2">
        <f>COUNTIFS(Таблица1[winner1],"shadow",Таблица1[winner1-pw],Table424445464748[[#This Row],[level]])+COUNTIFS(Таблица1[winner2],"shadow",Таблица1[winner2-pw],Table424445464748[[#This Row],[level]])+COUNTIFS(Таблица1[loser1],"shadow",Таблица1[loser1-pw],Table424445464748[[#This Row],[level]])+COUNTIFS(Таблица1[loser2],"shadow",Таблица1[loser2-pw],Table424445464748[[#This Row],[level]])+COUNTIFS(Table41[winner1],"shadow",Table41[winner1-pw],Table424445464748[[#This Row],[level]])+COUNTIFS(Table41[winner2],"shadow",Table41[winner2-pw],Table424445464748[[#This Row],[level]])+COUNTIFS(Table41[winner3],"shadow",Table41[winner3-pw],Table424445464748[[#This Row],[level]])+COUNTIFS(Table41[loser1],"shadow",Table41[loser1-pw],Table424445464748[[#This Row],[level]])+COUNTIFS(Table41[loser2],"shadow",Table41[loser2-pw],Table424445464748[[#This Row],[level]])+COUNTIFS(Table41[loser3],"shadow",Table41[loser3-pw],Table424445464748[[#This Row],[level]])</f>
        <v>162</v>
      </c>
      <c r="I2">
        <f>COUNTIFS(Таблица1[winner1],"shadow",Таблица1[winner1-cp],Table424445464748[[#This Row],[level]])+COUNTIFS(Таблица1[winner2],"shadow",Таблица1[winner2-cp],Table424445464748[[#This Row],[level]])+COUNTIFS(Таблица1[loser1],"shadow",Таблица1[loser1-cp],Table424445464748[[#This Row],[level]])+COUNTIFS(Таблица1[loser2],"shadow",Таблица1[loser2-cp],Table424445464748[[#This Row],[level]])+COUNTIFS(Table41[winner1],"shadow",Table41[winner1-cp],Table424445464748[[#This Row],[level]])+COUNTIFS(Table41[winner2],"shadow",Table41[winner2-cp],Table424445464748[[#This Row],[level]])+COUNTIFS(Table41[winner3],"shadow",Table41[winner3-cp],Table424445464748[[#This Row],[level]])+COUNTIFS(Table41[loser1],"shadow",Table41[loser1-cp],Table424445464748[[#This Row],[level]])+COUNTIFS(Table41[loser2],"shadow",Table41[loser2-cp],Table424445464748[[#This Row],[level]])+COUNTIFS(Table41[loser3],"shadow",Table41[loser3-cp],Table424445464748[[#This Row],[level]])</f>
        <v>131</v>
      </c>
    </row>
    <row r="3" spans="1:9" x14ac:dyDescent="0.25">
      <c r="A3" t="s">
        <v>89</v>
      </c>
      <c r="B3">
        <f>COUNTIF(Таблица1[winner1-ability1],Table71216202428[[#This Row],[ability]])+COUNTIF(Таблица1[winner2-ability1],Table71216202428[[#This Row],[ability]])+COUNTIF(Таблица1[loser1-ability1],Table71216202428[[#This Row],[ability]])+COUNTIF(Таблица1[loser2-ability1],Table71216202428[[#This Row],[ability]])+COUNTIF(Table41[winner1-ability1],Table71216202428[[#This Row],[ability]])+COUNTIF(Table41[winner2-ability1],Table71216202428[[#This Row],[ability]])+COUNTIF(Table41[winner3-ability1],Table71216202428[[#This Row],[ability]])+COUNTIF(Table41[loser1-ability1],Table71216202428[[#This Row],[ability]])+COUNTIF(Table41[loser2-ability1],Table71216202428[[#This Row],[ability]])+COUNTIF(Table41[loser3-ability1],Table71216202428[[#This Row],[ability]])</f>
        <v>26</v>
      </c>
      <c r="C3">
        <f>COUNTIF(Таблица1[winner1-ability1],Table71216202428[[#This Row],[ability]])+COUNTIF(Таблица1[winner2-ability1],Table71216202428[[#This Row],[ability]])+COUNTIF(Table41[winner1-ability1],Table71216202428[[#This Row],[ability]])+COUNTIF(Table41[winner2-ability1],Table71216202428[[#This Row],[ability]])+COUNTIF(Table41[winner3-ability1],Table71216202428[[#This Row],[ability]])</f>
        <v>5</v>
      </c>
      <c r="D3" s="3">
        <f>IF(SUM(Table71216202428[[#This Row],[takes]]) &gt; 0,Table71216202428[[#This Row],[takes]]/SUM(Table71216202428[takes]),0)</f>
        <v>0.15950920245398773</v>
      </c>
      <c r="E3" s="3">
        <f>IF(Table71216202428[[#This Row],[takes]]&gt;0,Table71216202428[[#This Row],[wins]]/Table71216202428[[#This Row],[takes]],0)</f>
        <v>0.19230769230769232</v>
      </c>
      <c r="G3">
        <v>2</v>
      </c>
      <c r="H3">
        <f>COUNTIFS(Таблица1[winner1],"shadow",Таблица1[winner1-pw],Table424445464748[[#This Row],[level]])+COUNTIFS(Таблица1[winner2],"shadow",Таблица1[winner2-pw],Table424445464748[[#This Row],[level]])+COUNTIFS(Таблица1[loser1],"shadow",Таблица1[loser1-pw],Table424445464748[[#This Row],[level]])+COUNTIFS(Таблица1[loser2],"shadow",Таблица1[loser2-pw],Table424445464748[[#This Row],[level]])+COUNTIFS(Table41[winner1],"shadow",Table41[winner1-pw],Table424445464748[[#This Row],[level]])+COUNTIFS(Table41[winner2],"shadow",Table41[winner2-pw],Table424445464748[[#This Row],[level]])+COUNTIFS(Table41[winner3],"shadow",Table41[winner3-pw],Table424445464748[[#This Row],[level]])+COUNTIFS(Table41[loser1],"shadow",Table41[loser1-pw],Table424445464748[[#This Row],[level]])+COUNTIFS(Table41[loser2],"shadow",Table41[loser2-pw],Table424445464748[[#This Row],[level]])+COUNTIFS(Table41[loser3],"shadow",Table41[loser3-pw],Table424445464748[[#This Row],[level]])</f>
        <v>0</v>
      </c>
      <c r="I3">
        <f>COUNTIFS(Таблица1[winner1],"shadow",Таблица1[winner1-cp],Table424445464748[[#This Row],[level]])+COUNTIFS(Таблица1[winner2],"shadow",Таблица1[winner2-cp],Table424445464748[[#This Row],[level]])+COUNTIFS(Таблица1[loser1],"shadow",Таблица1[loser1-cp],Table424445464748[[#This Row],[level]])+COUNTIFS(Таблица1[loser2],"shadow",Таблица1[loser2-cp],Table424445464748[[#This Row],[level]])+COUNTIFS(Table41[winner1],"shadow",Table41[winner1-cp],Table424445464748[[#This Row],[level]])+COUNTIFS(Table41[winner2],"shadow",Table41[winner2-cp],Table424445464748[[#This Row],[level]])+COUNTIFS(Table41[winner3],"shadow",Table41[winner3-cp],Table424445464748[[#This Row],[level]])+COUNTIFS(Table41[loser1],"shadow",Table41[loser1-cp],Table424445464748[[#This Row],[level]])+COUNTIFS(Table41[loser2],"shadow",Table41[loser2-cp],Table424445464748[[#This Row],[level]])+COUNTIFS(Table41[loser3],"shadow",Table41[loser3-cp],Table424445464748[[#This Row],[level]])</f>
        <v>25</v>
      </c>
    </row>
    <row r="4" spans="1:9" x14ac:dyDescent="0.25">
      <c r="A4" t="s">
        <v>161</v>
      </c>
      <c r="B4">
        <f>COUNTIF(Таблица1[winner1-ability1],Table71216202428[[#This Row],[ability]])+COUNTIF(Таблица1[winner2-ability1],Table71216202428[[#This Row],[ability]])+COUNTIF(Таблица1[loser1-ability1],Table71216202428[[#This Row],[ability]])+COUNTIF(Таблица1[loser2-ability1],Table71216202428[[#This Row],[ability]])+COUNTIF(Table41[winner1-ability1],Table71216202428[[#This Row],[ability]])+COUNTIF(Table41[winner2-ability1],Table71216202428[[#This Row],[ability]])+COUNTIF(Table41[winner3-ability1],Table71216202428[[#This Row],[ability]])+COUNTIF(Table41[loser1-ability1],Table71216202428[[#This Row],[ability]])+COUNTIF(Table41[loser2-ability1],Table71216202428[[#This Row],[ability]])+COUNTIF(Table41[loser3-ability1],Table71216202428[[#This Row],[ability]])</f>
        <v>0</v>
      </c>
      <c r="C4">
        <f>COUNTIF(Таблица1[winner1-ability1],Table71216202428[[#This Row],[ability]])+COUNTIF(Таблица1[winner2-ability1],Table71216202428[[#This Row],[ability]])+COUNTIF(Table41[winner1-ability1],Table71216202428[[#This Row],[ability]])+COUNTIF(Table41[winner2-ability1],Table71216202428[[#This Row],[ability]])+COUNTIF(Table41[winner3-ability1],Table71216202428[[#This Row],[ability]])</f>
        <v>0</v>
      </c>
      <c r="D4" s="3">
        <f>IF(SUM(Table71216202428[[#This Row],[takes]]) &gt; 0,Table71216202428[[#This Row],[takes]]/SUM(Table71216202428[takes]),0)</f>
        <v>0</v>
      </c>
      <c r="E4" s="3">
        <f>IF(Table71216202428[[#This Row],[takes]]&gt;0,Table71216202428[[#This Row],[wins]]/Table71216202428[[#This Row],[takes]],0)</f>
        <v>0</v>
      </c>
      <c r="G4">
        <v>3</v>
      </c>
      <c r="H4">
        <f>COUNTIFS(Таблица1[winner1],"shadow",Таблица1[winner1-pw],Table424445464748[[#This Row],[level]])+COUNTIFS(Таблица1[winner2],"shadow",Таблица1[winner2-pw],Table424445464748[[#This Row],[level]])+COUNTIFS(Таблица1[loser1],"shadow",Таблица1[loser1-pw],Table424445464748[[#This Row],[level]])+COUNTIFS(Таблица1[loser2],"shadow",Таблица1[loser2-pw],Table424445464748[[#This Row],[level]])+COUNTIFS(Table41[winner1],"shadow",Table41[winner1-pw],Table424445464748[[#This Row],[level]])+COUNTIFS(Table41[winner2],"shadow",Table41[winner2-pw],Table424445464748[[#This Row],[level]])+COUNTIFS(Table41[winner3],"shadow",Table41[winner3-pw],Table424445464748[[#This Row],[level]])+COUNTIFS(Table41[loser1],"shadow",Table41[loser1-pw],Table424445464748[[#This Row],[level]])+COUNTIFS(Table41[loser2],"shadow",Table41[loser2-pw],Table424445464748[[#This Row],[level]])+COUNTIFS(Table41[loser3],"shadow",Table41[loser3-pw],Table424445464748[[#This Row],[level]])</f>
        <v>1</v>
      </c>
      <c r="I4">
        <f>COUNTIFS(Таблица1[winner1],"shadow",Таблица1[winner1-cp],Table424445464748[[#This Row],[level]])+COUNTIFS(Таблица1[winner2],"shadow",Таблица1[winner2-cp],Table424445464748[[#This Row],[level]])+COUNTIFS(Таблица1[loser1],"shadow",Таблица1[loser1-cp],Table424445464748[[#This Row],[level]])+COUNTIFS(Таблица1[loser2],"shadow",Таблица1[loser2-cp],Table424445464748[[#This Row],[level]])+COUNTIFS(Table41[winner1],"shadow",Table41[winner1-cp],Table424445464748[[#This Row],[level]])+COUNTIFS(Table41[winner2],"shadow",Table41[winner2-cp],Table424445464748[[#This Row],[level]])+COUNTIFS(Table41[winner3],"shadow",Table41[winner3-cp],Table424445464748[[#This Row],[level]])+COUNTIFS(Table41[loser1],"shadow",Table41[loser1-cp],Table424445464748[[#This Row],[level]])+COUNTIFS(Table41[loser2],"shadow",Table41[loser2-cp],Table424445464748[[#This Row],[level]])+COUNTIFS(Table41[loser3],"shadow",Table41[loser3-cp],Table424445464748[[#This Row],[level]])</f>
        <v>7</v>
      </c>
    </row>
    <row r="6" spans="1:9" x14ac:dyDescent="0.25">
      <c r="A6" s="11" t="s">
        <v>130</v>
      </c>
      <c r="B6" s="12" t="s">
        <v>131</v>
      </c>
      <c r="C6" s="12" t="s">
        <v>79</v>
      </c>
      <c r="D6" s="13" t="s">
        <v>138</v>
      </c>
      <c r="E6" s="13" t="s">
        <v>139</v>
      </c>
    </row>
    <row r="7" spans="1:9" x14ac:dyDescent="0.25">
      <c r="A7" s="2" t="s">
        <v>162</v>
      </c>
      <c r="B7" s="2">
        <f>COUNTIF(Таблица1[winner1-ability2],Table81317212529[[#This Row],[ability]])+COUNTIF(Таблица1[winner2-ability2],Table81317212529[[#This Row],[ability]])+COUNTIF(Таблица1[loser1-ability2],Table81317212529[[#This Row],[ability]])+COUNTIF(Таблица1[loser2-ability2],Table81317212529[[#This Row],[ability]])+COUNTIF(Table41[winner1-ability2],Table81317212529[[#This Row],[ability]])+COUNTIF(Table41[winner2-ability2],Table81317212529[[#This Row],[ability]])+COUNTIF(Table41[winner3-ability2],Table81317212529[[#This Row],[ability]])+COUNTIF(Table41[loser1-ability2],Table81317212529[[#This Row],[ability]])+COUNTIF(Table41[loser2-ability2],Table81317212529[[#This Row],[ability]])+COUNTIF(Table41[loser3-ability2],Table81317212529[[#This Row],[ability]])</f>
        <v>31</v>
      </c>
      <c r="C7" s="2">
        <f>COUNTIF(Таблица1[winner1-ability2],Table81317212529[[#This Row],[ability]])+COUNTIF(Таблица1[winner2-ability2],Table81317212529[[#This Row],[ability]])+COUNTIF(Table41[winner1-ability2],Table81317212529[[#This Row],[ability]])+COUNTIF(Table41[winner2-ability2],Table81317212529[[#This Row],[ability]])+COUNTIF(Table41[winner3-ability2],Table81317212529[[#This Row],[ability]])</f>
        <v>14</v>
      </c>
      <c r="D7" s="16">
        <f>IF(SUM(Table81317212529[[#This Row],[takes]]) &gt; 0,Table81317212529[[#This Row],[takes]]/SUM(Table81317212529[takes]),0)</f>
        <v>0.2818181818181818</v>
      </c>
      <c r="E7" s="16">
        <f>IF(Table81317212529[[#This Row],[takes]]&gt;0,Table81317212529[[#This Row],[wins]]/Table81317212529[[#This Row],[takes]],0)</f>
        <v>0.45161290322580644</v>
      </c>
    </row>
    <row r="8" spans="1:9" x14ac:dyDescent="0.25">
      <c r="A8" t="s">
        <v>99</v>
      </c>
      <c r="B8">
        <f>COUNTIF(Таблица1[winner1-ability2],Table81317212529[[#This Row],[ability]])+COUNTIF(Таблица1[winner2-ability2],Table81317212529[[#This Row],[ability]])+COUNTIF(Таблица1[loser1-ability2],Table81317212529[[#This Row],[ability]])+COUNTIF(Таблица1[loser2-ability2],Table81317212529[[#This Row],[ability]])+COUNTIF(Table41[winner1-ability2],Table81317212529[[#This Row],[ability]])+COUNTIF(Table41[winner2-ability2],Table81317212529[[#This Row],[ability]])+COUNTIF(Table41[winner3-ability2],Table81317212529[[#This Row],[ability]])+COUNTIF(Table41[loser1-ability2],Table81317212529[[#This Row],[ability]])+COUNTIF(Table41[loser2-ability2],Table81317212529[[#This Row],[ability]])+COUNTIF(Table41[loser3-ability2],Table81317212529[[#This Row],[ability]])</f>
        <v>16</v>
      </c>
      <c r="C8">
        <f>COUNTIF(Таблица1[winner1-ability2],Table81317212529[[#This Row],[ability]])+COUNTIF(Таблица1[winner2-ability2],Table81317212529[[#This Row],[ability]])+COUNTIF(Table41[winner1-ability2],Table81317212529[[#This Row],[ability]])+COUNTIF(Table41[winner2-ability2],Table81317212529[[#This Row],[ability]])+COUNTIF(Table41[winner3-ability2],Table81317212529[[#This Row],[ability]])</f>
        <v>6</v>
      </c>
      <c r="D8" s="3">
        <f>IF(SUM(Table81317212529[[#This Row],[takes]]) &gt; 0,Table81317212529[[#This Row],[takes]]/SUM(Table81317212529[takes]),0)</f>
        <v>0.14545454545454545</v>
      </c>
      <c r="E8" s="3">
        <f>IF(Table81317212529[[#This Row],[takes]]&gt;0,Table81317212529[[#This Row],[wins]]/Table81317212529[[#This Row],[takes]],0)</f>
        <v>0.375</v>
      </c>
    </row>
    <row r="9" spans="1:9" x14ac:dyDescent="0.25">
      <c r="A9" s="14" t="s">
        <v>76</v>
      </c>
      <c r="B9" s="14">
        <f>COUNTIF(Таблица1[winner1-ability2],Table81317212529[[#This Row],[ability]])+COUNTIF(Таблица1[winner2-ability2],Table81317212529[[#This Row],[ability]])+COUNTIF(Таблица1[loser1-ability2],Table81317212529[[#This Row],[ability]])+COUNTIF(Таблица1[loser2-ability2],Table81317212529[[#This Row],[ability]])+COUNTIF(Table41[winner1-ability2],Table81317212529[[#This Row],[ability]])+COUNTIF(Table41[winner2-ability2],Table81317212529[[#This Row],[ability]])+COUNTIF(Table41[winner3-ability2],Table81317212529[[#This Row],[ability]])+COUNTIF(Table41[loser1-ability2],Table81317212529[[#This Row],[ability]])+COUNTIF(Table41[loser2-ability2],Table81317212529[[#This Row],[ability]])+COUNTIF(Table41[loser3-ability2],Table81317212529[[#This Row],[ability]])</f>
        <v>63</v>
      </c>
      <c r="C9" s="14">
        <f>COUNTIF(Таблица1[winner1-ability2],Table81317212529[[#This Row],[ability]])+COUNTIF(Таблица1[winner2-ability2],Table81317212529[[#This Row],[ability]])+COUNTIF(Table41[winner1-ability2],Table81317212529[[#This Row],[ability]])+COUNTIF(Table41[winner2-ability2],Table81317212529[[#This Row],[ability]])+COUNTIF(Table41[winner3-ability2],Table81317212529[[#This Row],[ability]])</f>
        <v>19</v>
      </c>
      <c r="D9" s="17">
        <f>IF(SUM(Table81317212529[[#This Row],[takes]]) &gt; 0,Table81317212529[[#This Row],[takes]]/SUM(Table81317212529[takes]),0)</f>
        <v>0.57272727272727275</v>
      </c>
      <c r="E9" s="17">
        <f>IF(Table81317212529[[#This Row],[takes]]&gt;0,Table81317212529[[#This Row],[wins]]/Table81317212529[[#This Row],[takes]],0)</f>
        <v>0.30158730158730157</v>
      </c>
    </row>
    <row r="11" spans="1:9" x14ac:dyDescent="0.25">
      <c r="A11" s="11" t="s">
        <v>130</v>
      </c>
      <c r="B11" s="12" t="s">
        <v>131</v>
      </c>
      <c r="C11" s="12" t="s">
        <v>79</v>
      </c>
      <c r="D11" s="13" t="s">
        <v>138</v>
      </c>
      <c r="E11" s="13" t="s">
        <v>139</v>
      </c>
    </row>
    <row r="12" spans="1:9" x14ac:dyDescent="0.25">
      <c r="A12" s="1" t="s">
        <v>115</v>
      </c>
      <c r="B12" s="1">
        <f>COUNTIF(Таблица1[winner1-ability3],Table91418222630[[#This Row],[ability]])+COUNTIF(Таблица1[winner2-ability3],Table91418222630[[#This Row],[ability]])+COUNTIF(Таблица1[loser1-ability3],Table91418222630[[#This Row],[ability]])+COUNTIF(Таблица1[loser2-ability3],Table91418222630[[#This Row],[ability]])+COUNTIF(Table41[winner1-ability3],Table91418222630[[#This Row],[ability]])+COUNTIF(Table41[winner2-ability3],Table91418222630[[#This Row],[ability]])+COUNTIF(Table41[winner3-ability3],Table91418222630[[#This Row],[ability]])+COUNTIF(Table41[loser1-ability3],Table91418222630[[#This Row],[ability]])+COUNTIF(Table41[loser2-ability3],Table91418222630[[#This Row],[ability]])+COUNTIF(Table41[loser3-ability3],Table91418222630[[#This Row],[ability]])</f>
        <v>10</v>
      </c>
      <c r="C12" s="1">
        <f>COUNTIF(Таблица1[winner1-ability3],Table91418222630[[#This Row],[ability]])+COUNTIF(Таблица1[winner2-ability3],Table91418222630[[#This Row],[ability]])+COUNTIF(Table41[winner1-ability3],Table91418222630[[#This Row],[ability]])+COUNTIF(Table41[winner2-ability3],Table91418222630[[#This Row],[ability]])+COUNTIF(Table41[winner3-ability3],Table91418222630[[#This Row],[ability]])</f>
        <v>2</v>
      </c>
      <c r="D12" s="18">
        <f>IF(SUM(Table91418222630[[#This Row],[takes]]) &gt; 0,Table91418222630[[#This Row],[takes]]/SUM(Table91418222630[takes]),0)</f>
        <v>0.16129032258064516</v>
      </c>
      <c r="E12" s="18">
        <f>IF(Table91418222630[[#This Row],[takes]]&gt;0,Table91418222630[[#This Row],[wins]]/Table91418222630[[#This Row],[takes]],0)</f>
        <v>0.2</v>
      </c>
    </row>
    <row r="13" spans="1:9" x14ac:dyDescent="0.25">
      <c r="A13" s="2" t="s">
        <v>163</v>
      </c>
      <c r="B13" s="2">
        <f>COUNTIF(Таблица1[winner1-ability3],Table91418222630[[#This Row],[ability]])+COUNTIF(Таблица1[winner2-ability3],Table91418222630[[#This Row],[ability]])+COUNTIF(Таблица1[loser1-ability3],Table91418222630[[#This Row],[ability]])+COUNTIF(Таблица1[loser2-ability3],Table91418222630[[#This Row],[ability]])+COUNTIF(Table41[winner1-ability3],Table91418222630[[#This Row],[ability]])+COUNTIF(Table41[winner2-ability3],Table91418222630[[#This Row],[ability]])+COUNTIF(Table41[winner3-ability3],Table91418222630[[#This Row],[ability]])+COUNTIF(Table41[loser1-ability3],Table91418222630[[#This Row],[ability]])+COUNTIF(Table41[loser2-ability3],Table91418222630[[#This Row],[ability]])+COUNTIF(Table41[loser3-ability3],Table91418222630[[#This Row],[ability]])</f>
        <v>7</v>
      </c>
      <c r="C13" s="2">
        <f>COUNTIF(Таблица1[winner1-ability3],Table91418222630[[#This Row],[ability]])+COUNTIF(Таблица1[winner2-ability3],Table91418222630[[#This Row],[ability]])+COUNTIF(Table41[winner1-ability3],Table91418222630[[#This Row],[ability]])+COUNTIF(Table41[winner2-ability3],Table91418222630[[#This Row],[ability]])+COUNTIF(Table41[winner3-ability3],Table91418222630[[#This Row],[ability]])</f>
        <v>3</v>
      </c>
      <c r="D13" s="16">
        <f>IF(SUM(Table91418222630[[#This Row],[takes]]) &gt; 0,Table91418222630[[#This Row],[takes]]/SUM(Table91418222630[takes]),0)</f>
        <v>0.11290322580645161</v>
      </c>
      <c r="E13" s="16">
        <f>IF(Table91418222630[[#This Row],[takes]]&gt;0,Table91418222630[[#This Row],[wins]]/Table91418222630[[#This Row],[takes]],0)</f>
        <v>0.42857142857142855</v>
      </c>
    </row>
    <row r="14" spans="1:9" x14ac:dyDescent="0.25">
      <c r="A14" s="15" t="s">
        <v>100</v>
      </c>
      <c r="B14" s="15">
        <f>COUNTIF(Таблица1[winner1-ability3],Table91418222630[[#This Row],[ability]])+COUNTIF(Таблица1[winner2-ability3],Table91418222630[[#This Row],[ability]])+COUNTIF(Таблица1[loser1-ability3],Table91418222630[[#This Row],[ability]])+COUNTIF(Таблица1[loser2-ability3],Table91418222630[[#This Row],[ability]])+COUNTIF(Table41[winner1-ability3],Table91418222630[[#This Row],[ability]])+COUNTIF(Table41[winner2-ability3],Table91418222630[[#This Row],[ability]])+COUNTIF(Table41[winner3-ability3],Table91418222630[[#This Row],[ability]])+COUNTIF(Table41[loser1-ability3],Table91418222630[[#This Row],[ability]])+COUNTIF(Table41[loser2-ability3],Table91418222630[[#This Row],[ability]])+COUNTIF(Table41[loser3-ability3],Table91418222630[[#This Row],[ability]])</f>
        <v>45</v>
      </c>
      <c r="C14" s="15">
        <f>COUNTIF(Таблица1[winner1-ability3],Table91418222630[[#This Row],[ability]])+COUNTIF(Таблица1[winner2-ability3],Table91418222630[[#This Row],[ability]])+COUNTIF(Table41[winner1-ability3],Table91418222630[[#This Row],[ability]])+COUNTIF(Table41[winner2-ability3],Table91418222630[[#This Row],[ability]])+COUNTIF(Table41[winner3-ability3],Table91418222630[[#This Row],[ability]])</f>
        <v>20</v>
      </c>
      <c r="D14" s="19">
        <f>IF(SUM(Table91418222630[[#This Row],[takes]]) &gt; 0,Table91418222630[[#This Row],[takes]]/SUM(Table91418222630[takes]),0)</f>
        <v>0.72580645161290325</v>
      </c>
      <c r="E14" s="19">
        <f>IF(Table91418222630[[#This Row],[takes]]&gt;0,Table91418222630[[#This Row],[wins]]/Table91418222630[[#This Row],[takes]],0)</f>
        <v>0.44444444444444442</v>
      </c>
    </row>
    <row r="16" spans="1:9" x14ac:dyDescent="0.25">
      <c r="A16" s="11" t="s">
        <v>130</v>
      </c>
      <c r="B16" s="12" t="s">
        <v>131</v>
      </c>
      <c r="C16" s="12" t="s">
        <v>79</v>
      </c>
      <c r="D16" s="13" t="s">
        <v>138</v>
      </c>
      <c r="E16" s="13" t="s">
        <v>139</v>
      </c>
    </row>
    <row r="17" spans="1:5" x14ac:dyDescent="0.25">
      <c r="A17" s="2" t="s">
        <v>164</v>
      </c>
      <c r="B17" s="2">
        <f>COUNTIF(Таблица1[winner1-ability4],Table101519232731[[#This Row],[ability]])+COUNTIF(Таблица1[winner2-ability4],Table101519232731[[#This Row],[ability]])+COUNTIF(Таблица1[loser1-ability4],Table101519232731[[#This Row],[ability]])+COUNTIF(Таблица1[loser2-ability4],Table101519232731[[#This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Row],[ability]])+COUNTIF(Table41[loser1-ability4],Table101519232731[[#This Row],[ability]])+COUNTIF(Table41[loser2-ability4],Table101519232731[[#This Row],[ability]])+COUNTIF(Table41[loser3-ability4],Table101519232731[[#This Row],[ability]])</f>
        <v>12</v>
      </c>
      <c r="C17" s="2">
        <f>COUNTIF(Таблица1[winner1-ability4],Table101519232731[[#This Row],[ability]])+COUNTIF(Таблица1[winner2-ability4],Table101519232731[[#This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</f>
        <v>5</v>
      </c>
      <c r="D17" s="16">
        <f>IF(SUM(Table101519232731[[#This Row],[takes]]) &gt; 0,Table101519232731[[#This Row],[takes]]/SUM(Table101519232731[takes]),0)</f>
        <v>0.54545454545454541</v>
      </c>
      <c r="E17" s="16">
        <f>IF(Table101519232731[[#This Row],[takes]]&gt;0,Table101519232731[[#This Row],[wins]]/Table101519232731[[#This Row],[takes]],0)</f>
        <v>0.41666666666666669</v>
      </c>
    </row>
    <row r="18" spans="1:5" x14ac:dyDescent="0.25">
      <c r="A18" s="2" t="s">
        <v>165</v>
      </c>
      <c r="B18" s="2">
        <f>COUNTIF(Таблица1[winner1-ability4],Table101519232731[[#This Row],[ability]])+COUNTIF(Таблица1[winner2-ability4],Table101519232731[[#This Row],[ability]])+COUNTIF(Таблица1[loser1-ability4],Table101519232731[[#This Row],[ability]])+COUNTIF(Таблица1[loser2-ability4],Table101519232731[[#This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Row],[ability]])+COUNTIF(Table41[loser1-ability4],Table101519232731[[#This Row],[ability]])+COUNTIF(Table41[loser2-ability4],Table101519232731[[#This Row],[ability]])+COUNTIF(Table41[loser3-ability4],Table101519232731[[#This Row],[ability]])</f>
        <v>2</v>
      </c>
      <c r="C18" s="2">
        <f>COUNTIF(Таблица1[winner1-ability4],Table101519232731[[#This Row],[ability]])+COUNTIF(Таблица1[winner2-ability4],Table101519232731[[#This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</f>
        <v>0</v>
      </c>
      <c r="D18" s="16">
        <f>IF(SUM(Table101519232731[[#This Row],[takes]]) &gt; 0,Table101519232731[[#This Row],[takes]]/SUM(Table101519232731[takes]),0)</f>
        <v>9.0909090909090912E-2</v>
      </c>
      <c r="E18" s="16">
        <f>IF(Table101519232731[[#This Row],[takes]]&gt;0,Table101519232731[[#This Row],[wins]]/Table101519232731[[#This Row],[takes]],0)</f>
        <v>0</v>
      </c>
    </row>
    <row r="19" spans="1:5" x14ac:dyDescent="0.25">
      <c r="A19" s="14" t="s">
        <v>101</v>
      </c>
      <c r="B19" s="14">
        <f>COUNTIF(Таблица1[winner1-ability4],Table101519232731[[#This Row],[ability]])+COUNTIF(Таблица1[winner2-ability4],Table101519232731[[#This Row],[ability]])+COUNTIF(Таблица1[loser1-ability4],Table101519232731[[#This Row],[ability]])+COUNTIF(Таблица1[loser2-ability4],Table101519232731[[#This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Row],[ability]])+COUNTIF(Table41[loser1-ability4],Table101519232731[[#This Row],[ability]])+COUNTIF(Table41[loser2-ability4],Table101519232731[[#This Row],[ability]])+COUNTIF(Table41[loser3-ability4],Table101519232731[[#This Row],[ability]])</f>
        <v>8</v>
      </c>
      <c r="C19" s="14">
        <f>COUNTIF(Таблица1[winner1-ability4],Table101519232731[[#This Row],[ability]])+COUNTIF(Таблица1[winner2-ability4],Table101519232731[[#This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</f>
        <v>4</v>
      </c>
      <c r="D19" s="17">
        <f>IF(SUM(Table101519232731[[#This Row],[takes]]) &gt; 0,Table101519232731[[#This Row],[takes]]/SUM(Table101519232731[takes]),0)</f>
        <v>0.36363636363636365</v>
      </c>
      <c r="E19" s="17">
        <f>IF(Table101519232731[[#This Row],[takes]]&gt;0,Table101519232731[[#This Row],[wins]]/Table101519232731[[#This Row],[takes]],0)</f>
        <v>0.5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B33A7-8A1F-44CC-8766-BA48788886C5}">
  <dimension ref="A1:I19"/>
  <sheetViews>
    <sheetView workbookViewId="0">
      <selection activeCell="H13" sqref="H13"/>
    </sheetView>
  </sheetViews>
  <sheetFormatPr defaultRowHeight="15" x14ac:dyDescent="0.25"/>
  <cols>
    <col min="1" max="1" width="19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10.7109375" bestFit="1" customWidth="1"/>
    <col min="9" max="9" width="12.85546875" bestFit="1" customWidth="1"/>
  </cols>
  <sheetData>
    <row r="1" spans="1:9" x14ac:dyDescent="0.25">
      <c r="A1" t="s">
        <v>130</v>
      </c>
      <c r="B1" t="s">
        <v>131</v>
      </c>
      <c r="C1" t="s">
        <v>79</v>
      </c>
      <c r="D1" s="3" t="s">
        <v>138</v>
      </c>
      <c r="E1" s="3" t="s">
        <v>139</v>
      </c>
      <c r="G1" t="s">
        <v>336</v>
      </c>
      <c r="H1" t="s">
        <v>345</v>
      </c>
      <c r="I1" t="s">
        <v>339</v>
      </c>
    </row>
    <row r="2" spans="1:9" x14ac:dyDescent="0.25">
      <c r="A2" t="s">
        <v>72</v>
      </c>
      <c r="B2">
        <f>COUNTIF(Таблица1[winner1-ability1],Table7121620242832[[#This Row],[ability]])+COUNTIF(Таблица1[winner2-ability1],Table7121620242832[[#This Row],[ability]])+COUNTIF(Таблица1[loser1-ability1],Table7121620242832[[#This Row],[ability]])+COUNTIF(Таблица1[loser2-ability1],Table7121620242832[[#This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Row],[ability]])+COUNTIF(Table41[loser1-ability1],Table7121620242832[[#This Row],[ability]])+COUNTIF(Table41[loser2-ability1],Table7121620242832[[#This Row],[ability]])+COUNTIF(Table41[loser3-ability1],Table7121620242832[[#This Row],[ability]])</f>
        <v>152</v>
      </c>
      <c r="C2">
        <f>COUNTIF(Таблица1[winner1-ability1],Table7121620242832[[#This Row],[ability]])+COUNTIF(Таблица1[winner2-ability1],Table7121620242832[[#This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</f>
        <v>62</v>
      </c>
      <c r="D2" s="3">
        <f>IF(SUM(Table7121620242832[[#This Row],[takes]]) &gt; 0,Table7121620242832[[#This Row],[takes]]/SUM(Table7121620242832[takes]),0)</f>
        <v>0.95</v>
      </c>
      <c r="E2" s="3">
        <f>IF(Table7121620242832[[#This Row],[takes]]&gt;0,Table7121620242832[[#This Row],[wins]]/Table7121620242832[[#This Row],[takes]],0)</f>
        <v>0.40789473684210525</v>
      </c>
      <c r="G2">
        <v>1</v>
      </c>
      <c r="H2">
        <f>COUNTIFS(Таблица1[winner1],"lightbringer",Таблица1[winner1-pw],Table42444546474849[[#This Row],[level]])+COUNTIFS(Таблица1[winner2],"lightbringer",Таблица1[winner2-pw],Table42444546474849[[#This Row],[level]])+COUNTIFS(Таблица1[loser1],"lightbringer",Таблица1[loser1-pw],Table42444546474849[[#This Row],[level]])+COUNTIFS(Таблица1[loser2],"lightbringer",Таблица1[loser2-pw],Table42444546474849[[#This Row],[level]])+COUNTIFS(Table41[winner1],"lightbringer",Table41[winner1-pw],Table42444546474849[[#This Row],[level]])+COUNTIFS(Table41[winner2],"lightbringer",Table41[winner2-pw],Table42444546474849[[#This Row],[level]])+COUNTIFS(Table41[winner3],"lightbringer",Table41[winner3-pw],Table42444546474849[[#This Row],[level]])+COUNTIFS(Table41[loser1],"lightbringer",Table41[loser1-pw],Table42444546474849[[#This Row],[level]])+COUNTIFS(Table41[loser2],"lightbringer",Table41[loser2-pw],Table42444546474849[[#This Row],[level]])+COUNTIFS(Table41[loser3],"lightbringer",Table41[loser3-pw],Table42444546474849[[#This Row],[level]])</f>
        <v>158</v>
      </c>
      <c r="I2">
        <f>COUNTIFS(Таблица1[winner1],"lightbringer",Таблица1[winner1-cp],Table42444546474849[[#This Row],[level]])+COUNTIFS(Таблица1[winner2],"lightbringer",Таблица1[winner2-cp],Table42444546474849[[#This Row],[level]])+COUNTIFS(Таблица1[loser1],"lightbringer",Таблица1[loser1-cp],Table42444546474849[[#This Row],[level]])+COUNTIFS(Таблица1[loser2],"lightbringer",Таблица1[loser2-cp],Table42444546474849[[#This Row],[level]])+COUNTIFS(Table41[winner1],"lightbringer",Table41[winner1-cp],Table42444546474849[[#This Row],[level]])+COUNTIFS(Table41[winner2],"lightbringer",Table41[winner2-cp],Table42444546474849[[#This Row],[level]])+COUNTIFS(Table41[winner3],"lightbringer",Table41[winner3-cp],Table42444546474849[[#This Row],[level]])+COUNTIFS(Table41[loser1],"lightbringer",Table41[loser1-cp],Table42444546474849[[#This Row],[level]])+COUNTIFS(Table41[loser2],"lightbringer",Table41[loser2-cp],Table42444546474849[[#This Row],[level]])+COUNTIFS(Table41[loser3],"lightbringer",Table41[loser3-cp],Table42444546474849[[#This Row],[level]])</f>
        <v>133</v>
      </c>
    </row>
    <row r="3" spans="1:9" x14ac:dyDescent="0.25">
      <c r="A3" t="s">
        <v>166</v>
      </c>
      <c r="B3">
        <f>COUNTIF(Таблица1[winner1-ability1],Table7121620242832[[#This Row],[ability]])+COUNTIF(Таблица1[winner2-ability1],Table7121620242832[[#This Row],[ability]])+COUNTIF(Таблица1[loser1-ability1],Table7121620242832[[#This Row],[ability]])+COUNTIF(Таблица1[loser2-ability1],Table7121620242832[[#This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Row],[ability]])+COUNTIF(Table41[loser1-ability1],Table7121620242832[[#This Row],[ability]])+COUNTIF(Table41[loser2-ability1],Table7121620242832[[#This Row],[ability]])+COUNTIF(Table41[loser3-ability1],Table7121620242832[[#This Row],[ability]])</f>
        <v>0</v>
      </c>
      <c r="C3">
        <f>COUNTIF(Таблица1[winner1-ability1],Table7121620242832[[#This Row],[ability]])+COUNTIF(Таблица1[winner2-ability1],Table7121620242832[[#This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</f>
        <v>0</v>
      </c>
      <c r="D3" s="3">
        <f>IF(SUM(Table7121620242832[[#This Row],[takes]]) &gt; 0,Table7121620242832[[#This Row],[takes]]/SUM(Table7121620242832[takes]),0)</f>
        <v>0</v>
      </c>
      <c r="E3" s="3">
        <f>IF(Table7121620242832[[#This Row],[takes]]&gt;0,Table7121620242832[[#This Row],[wins]]/Table7121620242832[[#This Row],[takes]],0)</f>
        <v>0</v>
      </c>
      <c r="G3">
        <v>2</v>
      </c>
      <c r="H3">
        <f>COUNTIFS(Таблица1[winner1],"lightbringer",Таблица1[winner1-pw],Table42444546474849[[#This Row],[level]])+COUNTIFS(Таблица1[winner2],"lightbringer",Таблица1[winner2-pw],Table42444546474849[[#This Row],[level]])+COUNTIFS(Таблица1[loser1],"lightbringer",Таблица1[loser1-pw],Table42444546474849[[#This Row],[level]])+COUNTIFS(Таблица1[loser2],"lightbringer",Таблица1[loser2-pw],Table42444546474849[[#This Row],[level]])+COUNTIFS(Table41[winner1],"lightbringer",Table41[winner1-pw],Table42444546474849[[#This Row],[level]])+COUNTIFS(Table41[winner2],"lightbringer",Table41[winner2-pw],Table42444546474849[[#This Row],[level]])+COUNTIFS(Table41[winner3],"lightbringer",Table41[winner3-pw],Table42444546474849[[#This Row],[level]])+COUNTIFS(Table41[loser1],"lightbringer",Table41[loser1-pw],Table42444546474849[[#This Row],[level]])+COUNTIFS(Table41[loser2],"lightbringer",Table41[loser2-pw],Table42444546474849[[#This Row],[level]])+COUNTIFS(Table41[loser3],"lightbringer",Table41[loser3-pw],Table42444546474849[[#This Row],[level]])</f>
        <v>1</v>
      </c>
      <c r="I3">
        <f>COUNTIFS(Таблица1[winner1],"lightbringer",Таблица1[winner1-cp],Table42444546474849[[#This Row],[level]])+COUNTIFS(Таблица1[winner2],"lightbringer",Таблица1[winner2-cp],Table42444546474849[[#This Row],[level]])+COUNTIFS(Таблица1[loser1],"lightbringer",Таблица1[loser1-cp],Table42444546474849[[#This Row],[level]])+COUNTIFS(Таблица1[loser2],"lightbringer",Таблица1[loser2-cp],Table42444546474849[[#This Row],[level]])+COUNTIFS(Table41[winner1],"lightbringer",Table41[winner1-cp],Table42444546474849[[#This Row],[level]])+COUNTIFS(Table41[winner2],"lightbringer",Table41[winner2-cp],Table42444546474849[[#This Row],[level]])+COUNTIFS(Table41[winner3],"lightbringer",Table41[winner3-cp],Table42444546474849[[#This Row],[level]])+COUNTIFS(Table41[loser1],"lightbringer",Table41[loser1-cp],Table42444546474849[[#This Row],[level]])+COUNTIFS(Table41[loser2],"lightbringer",Table41[loser2-cp],Table42444546474849[[#This Row],[level]])+COUNTIFS(Table41[loser3],"lightbringer",Table41[loser3-cp],Table42444546474849[[#This Row],[level]])</f>
        <v>22</v>
      </c>
    </row>
    <row r="4" spans="1:9" x14ac:dyDescent="0.25">
      <c r="A4" t="s">
        <v>118</v>
      </c>
      <c r="B4">
        <f>COUNTIF(Таблица1[winner1-ability1],Table7121620242832[[#This Row],[ability]])+COUNTIF(Таблица1[winner2-ability1],Table7121620242832[[#This Row],[ability]])+COUNTIF(Таблица1[loser1-ability1],Table7121620242832[[#This Row],[ability]])+COUNTIF(Таблица1[loser2-ability1],Table7121620242832[[#This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Row],[ability]])+COUNTIF(Table41[loser1-ability1],Table7121620242832[[#This Row],[ability]])+COUNTIF(Table41[loser2-ability1],Table7121620242832[[#This Row],[ability]])+COUNTIF(Table41[loser3-ability1],Table7121620242832[[#This Row],[ability]])</f>
        <v>8</v>
      </c>
      <c r="C4">
        <f>COUNTIF(Таблица1[winner1-ability1],Table7121620242832[[#This Row],[ability]])+COUNTIF(Таблица1[winner2-ability1],Table7121620242832[[#This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</f>
        <v>4</v>
      </c>
      <c r="D4" s="3">
        <f>IF(SUM(Table7121620242832[[#This Row],[takes]]) &gt; 0,Table7121620242832[[#This Row],[takes]]/SUM(Table7121620242832[takes]),0)</f>
        <v>0.05</v>
      </c>
      <c r="E4" s="3">
        <f>IF(Table7121620242832[[#This Row],[takes]]&gt;0,Table7121620242832[[#This Row],[wins]]/Table7121620242832[[#This Row],[takes]],0)</f>
        <v>0.5</v>
      </c>
      <c r="G4">
        <v>3</v>
      </c>
      <c r="H4">
        <f>COUNTIFS(Таблица1[winner1],"lightbringer",Таблица1[winner1-pw],Table42444546474849[[#This Row],[level]])+COUNTIFS(Таблица1[winner2],"lightbringer",Таблица1[winner2-pw],Table42444546474849[[#This Row],[level]])+COUNTIFS(Таблица1[loser1],"lightbringer",Таблица1[loser1-pw],Table42444546474849[[#This Row],[level]])+COUNTIFS(Таблица1[loser2],"lightbringer",Таблица1[loser2-pw],Table42444546474849[[#This Row],[level]])+COUNTIFS(Table41[winner1],"lightbringer",Table41[winner1-pw],Table42444546474849[[#This Row],[level]])+COUNTIFS(Table41[winner2],"lightbringer",Table41[winner2-pw],Table42444546474849[[#This Row],[level]])+COUNTIFS(Table41[winner3],"lightbringer",Table41[winner3-pw],Table42444546474849[[#This Row],[level]])+COUNTIFS(Table41[loser1],"lightbringer",Table41[loser1-pw],Table42444546474849[[#This Row],[level]])+COUNTIFS(Table41[loser2],"lightbringer",Table41[loser2-pw],Table42444546474849[[#This Row],[level]])+COUNTIFS(Table41[loser3],"lightbringer",Table41[loser3-pw],Table42444546474849[[#This Row],[level]])</f>
        <v>1</v>
      </c>
      <c r="I4">
        <f>COUNTIFS(Таблица1[winner1],"lightbringer",Таблица1[winner1-cp],Table42444546474849[[#This Row],[level]])+COUNTIFS(Таблица1[winner2],"lightbringer",Таблица1[winner2-cp],Table42444546474849[[#This Row],[level]])+COUNTIFS(Таблица1[loser1],"lightbringer",Таблица1[loser1-cp],Table42444546474849[[#This Row],[level]])+COUNTIFS(Таблица1[loser2],"lightbringer",Таблица1[loser2-cp],Table42444546474849[[#This Row],[level]])+COUNTIFS(Table41[winner1],"lightbringer",Table41[winner1-cp],Table42444546474849[[#This Row],[level]])+COUNTIFS(Table41[winner2],"lightbringer",Table41[winner2-cp],Table42444546474849[[#This Row],[level]])+COUNTIFS(Table41[winner3],"lightbringer",Table41[winner3-cp],Table42444546474849[[#This Row],[level]])+COUNTIFS(Table41[loser1],"lightbringer",Table41[loser1-cp],Table42444546474849[[#This Row],[level]])+COUNTIFS(Table41[loser2],"lightbringer",Table41[loser2-cp],Table42444546474849[[#This Row],[level]])+COUNTIFS(Table41[loser3],"lightbringer",Table41[loser3-cp],Table42444546474849[[#This Row],[level]])</f>
        <v>5</v>
      </c>
    </row>
    <row r="6" spans="1:9" x14ac:dyDescent="0.25">
      <c r="A6" s="11" t="s">
        <v>130</v>
      </c>
      <c r="B6" s="12" t="s">
        <v>131</v>
      </c>
      <c r="C6" s="12" t="s">
        <v>79</v>
      </c>
      <c r="D6" s="13" t="s">
        <v>138</v>
      </c>
      <c r="E6" s="13" t="s">
        <v>139</v>
      </c>
    </row>
    <row r="7" spans="1:9" x14ac:dyDescent="0.25">
      <c r="A7" s="2" t="s">
        <v>103</v>
      </c>
      <c r="B7" s="2">
        <f>COUNTIF(Таблица1[winner1-ability2],Table8131721252933[[#This Row],[ability]])+COUNTIF(Таблица1[winner2-ability2],Table8131721252933[[#This Row],[ability]])+COUNTIF(Таблица1[loser1-ability2],Table8131721252933[[#This Row],[ability]])+COUNTIF(Таблица1[loser2-ability2],Table8131721252933[[#This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Row],[ability]])+COUNTIF(Table41[loser1-ability2],Table8131721252933[[#This Row],[ability]])+COUNTIF(Table41[loser2-ability2],Table8131721252933[[#This Row],[ability]])+COUNTIF(Table41[loser3-ability2],Table8131721252933[[#This Row],[ability]])</f>
        <v>25</v>
      </c>
      <c r="C7" s="2">
        <f>COUNTIF(Таблица1[winner1-ability2],Table8131721252933[[#This Row],[ability]])+COUNTIF(Таблица1[winner2-ability2],Table8131721252933[[#This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</f>
        <v>10</v>
      </c>
      <c r="D7" s="16">
        <f>IF(SUM(Table8131721252933[[#This Row],[takes]]) &gt; 0,Table8131721252933[[#This Row],[takes]]/SUM(Table8131721252933[takes]),0)</f>
        <v>0.352112676056338</v>
      </c>
      <c r="E7" s="16">
        <f>IF(Table8131721252933[[#This Row],[takes]]&gt;0,Table8131721252933[[#This Row],[wins]]/Table8131721252933[[#This Row],[takes]],0)</f>
        <v>0.4</v>
      </c>
    </row>
    <row r="8" spans="1:9" x14ac:dyDescent="0.25">
      <c r="A8" t="s">
        <v>167</v>
      </c>
      <c r="B8">
        <f>COUNTIF(Таблица1[winner1-ability2],Table8131721252933[[#This Row],[ability]])+COUNTIF(Таблица1[winner2-ability2],Table8131721252933[[#This Row],[ability]])+COUNTIF(Таблица1[loser1-ability2],Table8131721252933[[#This Row],[ability]])+COUNTIF(Таблица1[loser2-ability2],Table8131721252933[[#This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Row],[ability]])+COUNTIF(Table41[loser1-ability2],Table8131721252933[[#This Row],[ability]])+COUNTIF(Table41[loser2-ability2],Table8131721252933[[#This Row],[ability]])+COUNTIF(Table41[loser3-ability2],Table8131721252933[[#This Row],[ability]])</f>
        <v>29</v>
      </c>
      <c r="C8">
        <f>COUNTIF(Таблица1[winner1-ability2],Table8131721252933[[#This Row],[ability]])+COUNTIF(Таблица1[winner2-ability2],Table8131721252933[[#This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</f>
        <v>13</v>
      </c>
      <c r="D8" s="3">
        <f>IF(SUM(Table8131721252933[[#This Row],[takes]]) &gt; 0,Table8131721252933[[#This Row],[takes]]/SUM(Table8131721252933[takes]),0)</f>
        <v>0.40845070422535212</v>
      </c>
      <c r="E8" s="3">
        <f>IF(Table8131721252933[[#This Row],[takes]]&gt;0,Table8131721252933[[#This Row],[wins]]/Table8131721252933[[#This Row],[takes]],0)</f>
        <v>0.44827586206896552</v>
      </c>
    </row>
    <row r="9" spans="1:9" x14ac:dyDescent="0.25">
      <c r="A9" s="14" t="s">
        <v>95</v>
      </c>
      <c r="B9" s="14">
        <f>COUNTIF(Таблица1[winner1-ability2],Table8131721252933[[#This Row],[ability]])+COUNTIF(Таблица1[winner2-ability2],Table8131721252933[[#This Row],[ability]])+COUNTIF(Таблица1[loser1-ability2],Table8131721252933[[#This Row],[ability]])+COUNTIF(Таблица1[loser2-ability2],Table8131721252933[[#This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Row],[ability]])+COUNTIF(Table41[loser1-ability2],Table8131721252933[[#This Row],[ability]])+COUNTIF(Table41[loser2-ability2],Table8131721252933[[#This Row],[ability]])+COUNTIF(Table41[loser3-ability2],Table8131721252933[[#This Row],[ability]])</f>
        <v>17</v>
      </c>
      <c r="C9" s="14">
        <f>COUNTIF(Таблица1[winner1-ability2],Table8131721252933[[#This Row],[ability]])+COUNTIF(Таблица1[winner2-ability2],Table8131721252933[[#This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</f>
        <v>4</v>
      </c>
      <c r="D9" s="17">
        <f>IF(SUM(Table8131721252933[[#This Row],[takes]]) &gt; 0,Table8131721252933[[#This Row],[takes]]/SUM(Table8131721252933[takes]),0)</f>
        <v>0.23943661971830985</v>
      </c>
      <c r="E9" s="17">
        <f>IF(Table8131721252933[[#This Row],[takes]]&gt;0,Table8131721252933[[#This Row],[wins]]/Table8131721252933[[#This Row],[takes]],0)</f>
        <v>0.23529411764705882</v>
      </c>
    </row>
    <row r="11" spans="1:9" x14ac:dyDescent="0.25">
      <c r="A11" s="11" t="s">
        <v>130</v>
      </c>
      <c r="B11" s="12" t="s">
        <v>131</v>
      </c>
      <c r="C11" s="12" t="s">
        <v>79</v>
      </c>
      <c r="D11" s="13" t="s">
        <v>138</v>
      </c>
      <c r="E11" s="13" t="s">
        <v>139</v>
      </c>
    </row>
    <row r="12" spans="1:9" x14ac:dyDescent="0.25">
      <c r="A12" s="1" t="s">
        <v>119</v>
      </c>
      <c r="B12" s="1">
        <f>COUNTIF(Таблица1[winner1-ability3],Table9141822263034[[#This Row],[ability]])+COUNTIF(Таблица1[winner2-ability3],Table9141822263034[[#This Row],[ability]])+COUNTIF(Таблица1[loser1-ability3],Table9141822263034[[#This Row],[ability]])+COUNTIF(Таблица1[loser2-ability3],Table9141822263034[[#This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Row],[ability]])+COUNTIF(Table41[loser1-ability3],Table9141822263034[[#This Row],[ability]])+COUNTIF(Table41[loser2-ability3],Table9141822263034[[#This Row],[ability]])+COUNTIF(Table41[loser3-ability3],Table9141822263034[[#This Row],[ability]])</f>
        <v>14</v>
      </c>
      <c r="C12" s="1">
        <f>COUNTIF(Таблица1[winner1-ability3],Table9141822263034[[#This Row],[ability]])+COUNTIF(Таблица1[winner2-ability3],Table9141822263034[[#This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</f>
        <v>6</v>
      </c>
      <c r="D12" s="18">
        <f>IF(SUM(Table9141822263034[[#This Row],[takes]]) &gt; 0,Table9141822263034[[#This Row],[takes]]/SUM(Table9141822263034[takes]),0)</f>
        <v>0.5</v>
      </c>
      <c r="E12" s="18">
        <f>IF(Table9141822263034[[#This Row],[takes]]&gt;0,Table9141822263034[[#This Row],[wins]]/Table9141822263034[[#This Row],[takes]],0)</f>
        <v>0.42857142857142855</v>
      </c>
    </row>
    <row r="13" spans="1:9" x14ac:dyDescent="0.25">
      <c r="A13" s="2" t="s">
        <v>168</v>
      </c>
      <c r="B13" s="2">
        <f>COUNTIF(Таблица1[winner1-ability3],Table9141822263034[[#This Row],[ability]])+COUNTIF(Таблица1[winner2-ability3],Table9141822263034[[#This Row],[ability]])+COUNTIF(Таблица1[loser1-ability3],Table9141822263034[[#This Row],[ability]])+COUNTIF(Таблица1[loser2-ability3],Table9141822263034[[#This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Row],[ability]])+COUNTIF(Table41[loser1-ability3],Table9141822263034[[#This Row],[ability]])+COUNTIF(Table41[loser2-ability3],Table9141822263034[[#This Row],[ability]])+COUNTIF(Table41[loser3-ability3],Table9141822263034[[#This Row],[ability]])</f>
        <v>10</v>
      </c>
      <c r="C13" s="2">
        <f>COUNTIF(Таблица1[winner1-ability3],Table9141822263034[[#This Row],[ability]])+COUNTIF(Таблица1[winner2-ability3],Table9141822263034[[#This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</f>
        <v>3</v>
      </c>
      <c r="D13" s="16">
        <f>IF(SUM(Table9141822263034[[#This Row],[takes]]) &gt; 0,Table9141822263034[[#This Row],[takes]]/SUM(Table9141822263034[takes]),0)</f>
        <v>0.35714285714285715</v>
      </c>
      <c r="E13" s="16">
        <f>IF(Table9141822263034[[#This Row],[takes]]&gt;0,Table9141822263034[[#This Row],[wins]]/Table9141822263034[[#This Row],[takes]],0)</f>
        <v>0.3</v>
      </c>
    </row>
    <row r="14" spans="1:9" x14ac:dyDescent="0.25">
      <c r="A14" s="15" t="s">
        <v>169</v>
      </c>
      <c r="B14" s="15">
        <f>COUNTIF(Таблица1[winner1-ability3],Table9141822263034[[#This Row],[ability]])+COUNTIF(Таблица1[winner2-ability3],Table9141822263034[[#This Row],[ability]])+COUNTIF(Таблица1[loser1-ability3],Table9141822263034[[#This Row],[ability]])+COUNTIF(Таблица1[loser2-ability3],Table9141822263034[[#This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Row],[ability]])+COUNTIF(Table41[loser1-ability3],Table9141822263034[[#This Row],[ability]])+COUNTIF(Table41[loser2-ability3],Table9141822263034[[#This Row],[ability]])+COUNTIF(Table41[loser3-ability3],Table9141822263034[[#This Row],[ability]])</f>
        <v>4</v>
      </c>
      <c r="C14" s="15">
        <f>COUNTIF(Таблица1[winner1-ability3],Table9141822263034[[#This Row],[ability]])+COUNTIF(Таблица1[winner2-ability3],Table9141822263034[[#This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</f>
        <v>0</v>
      </c>
      <c r="D14" s="19">
        <f>IF(SUM(Table9141822263034[[#This Row],[takes]]) &gt; 0,Table9141822263034[[#This Row],[takes]]/SUM(Table9141822263034[takes]),0)</f>
        <v>0.14285714285714285</v>
      </c>
      <c r="E14" s="19">
        <f>IF(Table9141822263034[[#This Row],[takes]]&gt;0,Table9141822263034[[#This Row],[wins]]/Table9141822263034[[#This Row],[takes]],0)</f>
        <v>0</v>
      </c>
    </row>
    <row r="16" spans="1:9" x14ac:dyDescent="0.25">
      <c r="A16" s="11" t="s">
        <v>130</v>
      </c>
      <c r="B16" s="12" t="s">
        <v>131</v>
      </c>
      <c r="C16" s="12" t="s">
        <v>79</v>
      </c>
      <c r="D16" s="13" t="s">
        <v>138</v>
      </c>
      <c r="E16" s="13" t="s">
        <v>139</v>
      </c>
    </row>
    <row r="17" spans="1:5" x14ac:dyDescent="0.25">
      <c r="A17" s="2" t="s">
        <v>170</v>
      </c>
      <c r="B17" s="2">
        <f>COUNTIF(Таблица1[winner1-ability4],Table10151923273135[[#This Row],[ability]])+COUNTIF(Таблица1[winner2-ability4],Table10151923273135[[#This Row],[ability]])+COUNTIF(Таблица1[loser1-ability4],Table10151923273135[[#This Row],[ability]])+COUNTIF(Таблица1[loser2-ability4],Table10151923273135[[#This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Row],[ability]])+COUNTIF(Table41[loser1-ability4],Table10151923273135[[#This Row],[ability]])+COUNTIF(Table41[loser2-ability4],Table10151923273135[[#This Row],[ability]])+COUNTIF(Table41[loser3-ability4],Table10151923273135[[#This Row],[ability]])</f>
        <v>5</v>
      </c>
      <c r="C17" s="2">
        <f>COUNTIF(Таблица1[winner1-ability4],Table10151923273135[[#This Row],[ability]])+COUNTIF(Таблица1[winner2-ability4],Table10151923273135[[#This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</f>
        <v>1</v>
      </c>
      <c r="D17" s="16">
        <f>IF(SUM(Table10151923273135[[#This Row],[takes]]) &gt; 0,Table10151923273135[[#This Row],[takes]]/SUM(Table10151923273135[takes]),0)</f>
        <v>0.55555555555555558</v>
      </c>
      <c r="E17" s="16">
        <f>IF(Table10151923273135[[#This Row],[takes]]&gt;0,Table10151923273135[[#This Row],[wins]]/Table10151923273135[[#This Row],[takes]],0)</f>
        <v>0.2</v>
      </c>
    </row>
    <row r="18" spans="1:5" x14ac:dyDescent="0.25">
      <c r="A18" s="2" t="s">
        <v>171</v>
      </c>
      <c r="B18" s="2">
        <f>COUNTIF(Таблица1[winner1-ability4],Table10151923273135[[#This Row],[ability]])+COUNTIF(Таблица1[winner2-ability4],Table10151923273135[[#This Row],[ability]])+COUNTIF(Таблица1[loser1-ability4],Table10151923273135[[#This Row],[ability]])+COUNTIF(Таблица1[loser2-ability4],Table10151923273135[[#This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Row],[ability]])+COUNTIF(Table41[loser1-ability4],Table10151923273135[[#This Row],[ability]])+COUNTIF(Table41[loser2-ability4],Table10151923273135[[#This Row],[ability]])+COUNTIF(Table41[loser3-ability4],Table10151923273135[[#This Row],[ability]])</f>
        <v>0</v>
      </c>
      <c r="C18" s="2">
        <f>COUNTIF(Таблица1[winner1-ability4],Table10151923273135[[#This Row],[ability]])+COUNTIF(Таблица1[winner2-ability4],Table10151923273135[[#This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</f>
        <v>0</v>
      </c>
      <c r="D18" s="16">
        <f>IF(SUM(Table10151923273135[[#This Row],[takes]]) &gt; 0,Table10151923273135[[#This Row],[takes]]/SUM(Table10151923273135[takes]),0)</f>
        <v>0</v>
      </c>
      <c r="E18" s="16">
        <f>IF(Table10151923273135[[#This Row],[takes]]&gt;0,Table10151923273135[[#This Row],[wins]]/Table10151923273135[[#This Row],[takes]],0)</f>
        <v>0</v>
      </c>
    </row>
    <row r="19" spans="1:5" x14ac:dyDescent="0.25">
      <c r="A19" s="14" t="s">
        <v>172</v>
      </c>
      <c r="B19" s="14">
        <f>COUNTIF(Таблица1[winner1-ability4],Table10151923273135[[#This Row],[ability]])+COUNTIF(Таблица1[winner2-ability4],Table10151923273135[[#This Row],[ability]])+COUNTIF(Таблица1[loser1-ability4],Table10151923273135[[#This Row],[ability]])+COUNTIF(Таблица1[loser2-ability4],Table10151923273135[[#This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Row],[ability]])+COUNTIF(Table41[loser1-ability4],Table10151923273135[[#This Row],[ability]])+COUNTIF(Table41[loser2-ability4],Table10151923273135[[#This Row],[ability]])+COUNTIF(Table41[loser3-ability4],Table10151923273135[[#This Row],[ability]])</f>
        <v>4</v>
      </c>
      <c r="C19" s="14">
        <f>COUNTIF(Таблица1[winner1-ability4],Table10151923273135[[#This Row],[ability]])+COUNTIF(Таблица1[winner2-ability4],Table10151923273135[[#This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</f>
        <v>2</v>
      </c>
      <c r="D19" s="17">
        <f>IF(SUM(Table10151923273135[[#This Row],[takes]]) &gt; 0,Table10151923273135[[#This Row],[takes]]/SUM(Table10151923273135[takes]),0)</f>
        <v>0.44444444444444442</v>
      </c>
      <c r="E19" s="17">
        <f>IF(Table10151923273135[[#This Row],[takes]]&gt;0,Table10151923273135[[#This Row],[wins]]/Table10151923273135[[#This Row],[takes]],0)</f>
        <v>0.5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90183-2A0C-4C9B-8AD4-4EE359B5820C}">
  <dimension ref="A1:J19"/>
  <sheetViews>
    <sheetView workbookViewId="0">
      <selection activeCell="D25" sqref="D25"/>
    </sheetView>
  </sheetViews>
  <sheetFormatPr defaultRowHeight="15" x14ac:dyDescent="0.25"/>
  <cols>
    <col min="1" max="1" width="17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8.140625" bestFit="1" customWidth="1"/>
    <col min="9" max="9" width="8.28515625" bestFit="1" customWidth="1"/>
    <col min="10" max="10" width="12.85546875" bestFit="1" customWidth="1"/>
  </cols>
  <sheetData>
    <row r="1" spans="1:10" x14ac:dyDescent="0.25">
      <c r="A1" t="s">
        <v>130</v>
      </c>
      <c r="B1" t="s">
        <v>131</v>
      </c>
      <c r="C1" t="s">
        <v>79</v>
      </c>
      <c r="D1" s="3" t="s">
        <v>138</v>
      </c>
      <c r="E1" s="3" t="s">
        <v>139</v>
      </c>
      <c r="G1" t="s">
        <v>336</v>
      </c>
      <c r="H1" t="s">
        <v>346</v>
      </c>
      <c r="I1" t="s">
        <v>347</v>
      </c>
      <c r="J1" t="s">
        <v>339</v>
      </c>
    </row>
    <row r="2" spans="1:10" x14ac:dyDescent="0.25">
      <c r="A2" t="s">
        <v>67</v>
      </c>
      <c r="B2">
        <f>COUNTIF(Таблица1[winner1-ability1],Table712162024283236[[#This Row],[ability]])+COUNTIF(Таблица1[winner2-ability1],Table712162024283236[[#This Row],[ability]])+COUNTIF(Таблица1[loser1-ability1],Table712162024283236[[#This Row],[ability]])+COUNTIF(Таблица1[loser2-ability1],Table712162024283236[[#This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Row],[ability]])+COUNTIF(Table41[loser1-ability1],Table712162024283236[[#This Row],[ability]])+COUNTIF(Table41[loser2-ability1],Table712162024283236[[#This Row],[ability]])+COUNTIF(Table41[loser3-ability1],Table712162024283236[[#This Row],[ability]])</f>
        <v>135</v>
      </c>
      <c r="C2">
        <f>COUNTIF(Таблица1[winner1-ability1],Table712162024283236[[#This Row],[ability]])+COUNTIF(Таблица1[winner2-ability1],Table712162024283236[[#This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</f>
        <v>73</v>
      </c>
      <c r="D2" s="3">
        <f>IF(SUM(Table712162024283236[[#This Row],[takes]]) &gt; 0,Table712162024283236[[#This Row],[takes]]/SUM(Table712162024283236[takes]),0)</f>
        <v>0.84375</v>
      </c>
      <c r="E2" s="3">
        <f>IF(Table712162024283236[[#This Row],[takes]]&gt;0,Table712162024283236[[#This Row],[wins]]/Table712162024283236[[#This Row],[takes]],0)</f>
        <v>0.54074074074074074</v>
      </c>
      <c r="G2">
        <v>1</v>
      </c>
      <c r="H2">
        <f>COUNTIFS(Таблица1[winner1],"avenger",Таблица1[winner1-pw],Table4250[[#This Row],[level]])+COUNTIFS(Таблица1[winner2],"avenger",Таблица1[winner2-pw],Table4250[[#This Row],[level]])+COUNTIFS(Таблица1[loser1],"avenger",Таблица1[loser1-pw],Table4250[[#This Row],[level]])+COUNTIFS(Таблица1[loser2],"avenger",Таблица1[loser2-pw],Table4250[[#This Row],[level]])+COUNTIFS(Table41[winner1],"avenger",Table41[winner1-pw],Table4250[[#This Row],[level]])+COUNTIFS(Table41[winner2],"avenger",Table41[winner2-pw],Table4250[[#This Row],[level]])+COUNTIFS(Table41[winner3],"avenger",Table41[winner3-pw],Table4250[[#This Row],[level]])+COUNTIFS(Table41[loser1],"avenger",Table41[loser1-pw],Table4250[[#This Row],[level]])+COUNTIFS(Table41[loser2],"avenger",Table41[loser2-pw],Table4250[[#This Row],[level]])+COUNTIFS(Table41[loser3],"avenger",Table41[loser3-pw],Table4250[[#This Row],[level]])</f>
        <v>80</v>
      </c>
      <c r="I2">
        <f>COUNTIFS(Таблица1[winner1],"avenger",Таблица1[winner1-sw],Table4250[[#This Row],[level]])+COUNTIFS(Таблица1[winner2],"avenger",Таблица1[winner2-sw],Table4250[[#This Row],[level]])+COUNTIFS(Таблица1[loser1],"avenger",Таблица1[loser1-sw],Table4250[[#This Row],[level]])+COUNTIFS(Таблица1[loser2],"avenger",Таблица1[loser2-sw],Table4250[[#This Row],[level]])+COUNTIFS(Table41[winner1],"avenger",Table41[winner1-sw],Table4250[[#This Row],[level]])+COUNTIFS(Table41[winner2],"avenger",Table41[winner2-sw],Table4250[[#This Row],[level]])+COUNTIFS(Table41[winner3],"avenger",Table41[winner3-sw],Table4250[[#This Row],[level]])+COUNTIFS(Table41[loser1],"avenger",Table41[loser1-sw],Table4250[[#This Row],[level]])+COUNTIFS(Table41[loser2],"avenger",Table41[loser2-sw],Table4250[[#This Row],[level]])+COUNTIFS(Table41[loser3],"avenger",Table41[loser3-sw],Table4250[[#This Row],[level]])</f>
        <v>145</v>
      </c>
      <c r="J2">
        <f>COUNTIFS(Таблица1[winner1],"avenger",Таблица1[winner1-cp],Table4250[[#This Row],[level]])+COUNTIFS(Таблица1[winner2],"avenger",Таблица1[winner2-cp],Table4250[[#This Row],[level]])+COUNTIFS(Таблица1[loser1],"avenger",Таблица1[loser1-cp],Table4250[[#This Row],[level]])+COUNTIFS(Таблица1[loser2],"avenger",Таблица1[loser2-cp],Table4250[[#This Row],[level]])+COUNTIFS(Table41[winner1],"avenger",Table41[winner1-cp],Table4250[[#This Row],[level]])+COUNTIFS(Table41[winner2],"avenger",Table41[winner2-cp],Table4250[[#This Row],[level]])+COUNTIFS(Table41[winner3],"avenger",Table41[winner3-cp],Table4250[[#This Row],[level]])+COUNTIFS(Table41[loser1],"avenger",Table41[loser1-cp],Table4250[[#This Row],[level]])+COUNTIFS(Table41[loser2],"avenger",Table41[loser2-cp],Table4250[[#This Row],[level]])+COUNTIFS(Table41[loser3],"avenger",Table41[loser3-cp],Table4250[[#This Row],[level]])</f>
        <v>124</v>
      </c>
    </row>
    <row r="3" spans="1:10" x14ac:dyDescent="0.25">
      <c r="A3" t="s">
        <v>173</v>
      </c>
      <c r="B3">
        <f>COUNTIF(Таблица1[winner1-ability1],Table712162024283236[[#This Row],[ability]])+COUNTIF(Таблица1[winner2-ability1],Table712162024283236[[#This Row],[ability]])+COUNTIF(Таблица1[loser1-ability1],Table712162024283236[[#This Row],[ability]])+COUNTIF(Таблица1[loser2-ability1],Table712162024283236[[#This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Row],[ability]])+COUNTIF(Table41[loser1-ability1],Table712162024283236[[#This Row],[ability]])+COUNTIF(Table41[loser2-ability1],Table712162024283236[[#This Row],[ability]])+COUNTIF(Table41[loser3-ability1],Table712162024283236[[#This Row],[ability]])</f>
        <v>25</v>
      </c>
      <c r="C3">
        <f>COUNTIF(Таблица1[winner1-ability1],Table712162024283236[[#This Row],[ability]])+COUNTIF(Таблица1[winner2-ability1],Table712162024283236[[#This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</f>
        <v>15</v>
      </c>
      <c r="D3" s="3">
        <f>IF(SUM(Table712162024283236[[#This Row],[takes]]) &gt; 0,Table712162024283236[[#This Row],[takes]]/SUM(Table712162024283236[takes]),0)</f>
        <v>0.15625</v>
      </c>
      <c r="E3" s="3">
        <f>IF(Table712162024283236[[#This Row],[takes]]&gt;0,Table712162024283236[[#This Row],[wins]]/Table712162024283236[[#This Row],[takes]],0)</f>
        <v>0.6</v>
      </c>
      <c r="G3">
        <v>2</v>
      </c>
      <c r="H3">
        <f>COUNTIFS(Таблица1[winner1],"avenger",Таблица1[winner1-pw],Table4250[[#This Row],[level]])+COUNTIFS(Таблица1[winner2],"avenger",Таблица1[winner2-pw],Table4250[[#This Row],[level]])+COUNTIFS(Таблица1[loser1],"avenger",Таблица1[loser1-pw],Table4250[[#This Row],[level]])+COUNTIFS(Таблица1[loser2],"avenger",Таблица1[loser2-pw],Table4250[[#This Row],[level]])+COUNTIFS(Table41[winner1],"avenger",Table41[winner1-pw],Table4250[[#This Row],[level]])+COUNTIFS(Table41[winner2],"avenger",Table41[winner2-pw],Table4250[[#This Row],[level]])+COUNTIFS(Table41[winner3],"avenger",Table41[winner3-pw],Table4250[[#This Row],[level]])+COUNTIFS(Table41[loser1],"avenger",Table41[loser1-pw],Table4250[[#This Row],[level]])+COUNTIFS(Table41[loser2],"avenger",Table41[loser2-pw],Table4250[[#This Row],[level]])+COUNTIFS(Table41[loser3],"avenger",Table41[loser3-pw],Table4250[[#This Row],[level]])</f>
        <v>58</v>
      </c>
      <c r="I3">
        <f>COUNTIFS(Таблица1[winner1],"avenger",Таблица1[winner1-sw],Table4250[[#This Row],[level]])+COUNTIFS(Таблица1[winner2],"avenger",Таблица1[winner2-sw],Table4250[[#This Row],[level]])+COUNTIFS(Таблица1[loser1],"avenger",Таблица1[loser1-sw],Table4250[[#This Row],[level]])+COUNTIFS(Таблица1[loser2],"avenger",Таблица1[loser2-sw],Table4250[[#This Row],[level]])+COUNTIFS(Table41[winner1],"avenger",Table41[winner1-sw],Table4250[[#This Row],[level]])+COUNTIFS(Table41[winner2],"avenger",Table41[winner2-sw],Table4250[[#This Row],[level]])+COUNTIFS(Table41[winner3],"avenger",Table41[winner3-sw],Table4250[[#This Row],[level]])+COUNTIFS(Table41[loser1],"avenger",Table41[loser1-sw],Table4250[[#This Row],[level]])+COUNTIFS(Table41[loser2],"avenger",Table41[loser2-sw],Table4250[[#This Row],[level]])+COUNTIFS(Table41[loser3],"avenger",Table41[loser3-sw],Table4250[[#This Row],[level]])</f>
        <v>9</v>
      </c>
      <c r="J3">
        <f>COUNTIFS(Таблица1[winner1],"avenger",Таблица1[winner1-cp],Table4250[[#This Row],[level]])+COUNTIFS(Таблица1[winner2],"avenger",Таблица1[winner2-cp],Table4250[[#This Row],[level]])+COUNTIFS(Таблица1[loser1],"avenger",Таблица1[loser1-cp],Table4250[[#This Row],[level]])+COUNTIFS(Таблица1[loser2],"avenger",Таблица1[loser2-cp],Table4250[[#This Row],[level]])+COUNTIFS(Table41[winner1],"avenger",Table41[winner1-cp],Table4250[[#This Row],[level]])+COUNTIFS(Table41[winner2],"avenger",Table41[winner2-cp],Table4250[[#This Row],[level]])+COUNTIFS(Table41[winner3],"avenger",Table41[winner3-cp],Table4250[[#This Row],[level]])+COUNTIFS(Table41[loser1],"avenger",Table41[loser1-cp],Table4250[[#This Row],[level]])+COUNTIFS(Table41[loser2],"avenger",Table41[loser2-cp],Table4250[[#This Row],[level]])+COUNTIFS(Table41[loser3],"avenger",Table41[loser3-cp],Table4250[[#This Row],[level]])</f>
        <v>32</v>
      </c>
    </row>
    <row r="4" spans="1:10" x14ac:dyDescent="0.25">
      <c r="A4" t="s">
        <v>39</v>
      </c>
      <c r="B4">
        <f>COUNTIF(Таблица1[winner1-ability1],Table712162024283236[[#This Row],[ability]])+COUNTIF(Таблица1[winner2-ability1],Table712162024283236[[#This Row],[ability]])+COUNTIF(Таблица1[loser1-ability1],Table712162024283236[[#This Row],[ability]])+COUNTIF(Таблица1[loser2-ability1],Table712162024283236[[#This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Row],[ability]])+COUNTIF(Table41[loser1-ability1],Table712162024283236[[#This Row],[ability]])+COUNTIF(Table41[loser2-ability1],Table712162024283236[[#This Row],[ability]])+COUNTIF(Table41[loser3-ability1],Table712162024283236[[#This Row],[ability]])</f>
        <v>0</v>
      </c>
      <c r="C4">
        <f>COUNTIF(Таблица1[winner1-ability1],Table712162024283236[[#This Row],[ability]])+COUNTIF(Таблица1[winner2-ability1],Table712162024283236[[#This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</f>
        <v>0</v>
      </c>
      <c r="D4" s="3">
        <f>IF(SUM(Table712162024283236[[#This Row],[takes]]) &gt; 0,Table712162024283236[[#This Row],[takes]]/SUM(Table712162024283236[takes]),0)</f>
        <v>0</v>
      </c>
      <c r="E4" s="3">
        <f>IF(Table712162024283236[[#This Row],[takes]]&gt;0,Table712162024283236[[#This Row],[wins]]/Table712162024283236[[#This Row],[takes]],0)</f>
        <v>0</v>
      </c>
      <c r="G4">
        <v>3</v>
      </c>
      <c r="H4">
        <f>COUNTIFS(Таблица1[winner1],"avenger",Таблица1[winner1-pw],Table4250[[#This Row],[level]])+COUNTIFS(Таблица1[winner2],"avenger",Таблица1[winner2-pw],Table4250[[#This Row],[level]])+COUNTIFS(Таблица1[loser1],"avenger",Таблица1[loser1-pw],Table4250[[#This Row],[level]])+COUNTIFS(Таблица1[loser2],"avenger",Таблица1[loser2-pw],Table4250[[#This Row],[level]])+COUNTIFS(Table41[winner1],"avenger",Table41[winner1-pw],Table4250[[#This Row],[level]])+COUNTIFS(Table41[winner2],"avenger",Table41[winner2-pw],Table4250[[#This Row],[level]])+COUNTIFS(Table41[winner3],"avenger",Table41[winner3-pw],Table4250[[#This Row],[level]])+COUNTIFS(Table41[loser1],"avenger",Table41[loser1-pw],Table4250[[#This Row],[level]])+COUNTIFS(Table41[loser2],"avenger",Table41[loser2-pw],Table4250[[#This Row],[level]])+COUNTIFS(Table41[loser3],"avenger",Table41[loser3-pw],Table4250[[#This Row],[level]])</f>
        <v>22</v>
      </c>
      <c r="I4">
        <f>COUNTIFS(Таблица1[winner1],"avenger",Таблица1[winner1-sw],Table4250[[#This Row],[level]])+COUNTIFS(Таблица1[winner2],"avenger",Таблица1[winner2-sw],Table4250[[#This Row],[level]])+COUNTIFS(Таблица1[loser1],"avenger",Таблица1[loser1-sw],Table4250[[#This Row],[level]])+COUNTIFS(Таблица1[loser2],"avenger",Таблица1[loser2-sw],Table4250[[#This Row],[level]])+COUNTIFS(Table41[winner1],"avenger",Table41[winner1-sw],Table4250[[#This Row],[level]])+COUNTIFS(Table41[winner2],"avenger",Table41[winner2-sw],Table4250[[#This Row],[level]])+COUNTIFS(Table41[winner3],"avenger",Table41[winner3-sw],Table4250[[#This Row],[level]])+COUNTIFS(Table41[loser1],"avenger",Table41[loser1-sw],Table4250[[#This Row],[level]])+COUNTIFS(Table41[loser2],"avenger",Table41[loser2-sw],Table4250[[#This Row],[level]])+COUNTIFS(Table41[loser3],"avenger",Table41[loser3-sw],Table4250[[#This Row],[level]])</f>
        <v>6</v>
      </c>
      <c r="J4">
        <f>COUNTIFS(Таблица1[winner1],"avenger",Таблица1[winner1-cp],Table4250[[#This Row],[level]])+COUNTIFS(Таблица1[winner2],"avenger",Таблица1[winner2-cp],Table4250[[#This Row],[level]])+COUNTIFS(Таблица1[loser1],"avenger",Таблица1[loser1-cp],Table4250[[#This Row],[level]])+COUNTIFS(Таблица1[loser2],"avenger",Таблица1[loser2-cp],Table4250[[#This Row],[level]])+COUNTIFS(Table41[winner1],"avenger",Table41[winner1-cp],Table4250[[#This Row],[level]])+COUNTIFS(Table41[winner2],"avenger",Table41[winner2-cp],Table4250[[#This Row],[level]])+COUNTIFS(Table41[winner3],"avenger",Table41[winner3-cp],Table4250[[#This Row],[level]])+COUNTIFS(Table41[loser1],"avenger",Table41[loser1-cp],Table4250[[#This Row],[level]])+COUNTIFS(Table41[loser2],"avenger",Table41[loser2-cp],Table4250[[#This Row],[level]])+COUNTIFS(Table41[loser3],"avenger",Table41[loser3-cp],Table4250[[#This Row],[level]])</f>
        <v>4</v>
      </c>
    </row>
    <row r="6" spans="1:10" x14ac:dyDescent="0.25">
      <c r="A6" s="11" t="s">
        <v>130</v>
      </c>
      <c r="B6" s="12" t="s">
        <v>131</v>
      </c>
      <c r="C6" s="12" t="s">
        <v>79</v>
      </c>
      <c r="D6" s="13" t="s">
        <v>138</v>
      </c>
      <c r="E6" s="13" t="s">
        <v>139</v>
      </c>
    </row>
    <row r="7" spans="1:10" x14ac:dyDescent="0.25">
      <c r="A7" s="2" t="s">
        <v>40</v>
      </c>
      <c r="B7" s="2">
        <f>COUNTIF(Таблица1[winner1-ability2],Table813172125293337[[#This Row],[ability]])+COUNTIF(Таблица1[winner2-ability2],Table813172125293337[[#This Row],[ability]])+COUNTIF(Таблица1[loser1-ability2],Table813172125293337[[#This Row],[ability]])+COUNTIF(Таблица1[loser2-ability2],Table813172125293337[[#This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Row],[ability]])+COUNTIF(Table41[loser1-ability2],Table813172125293337[[#This Row],[ability]])+COUNTIF(Table41[loser2-ability2],Table813172125293337[[#This Row],[ability]])+COUNTIF(Table41[loser3-ability2],Table813172125293337[[#This Row],[ability]])</f>
        <v>55</v>
      </c>
      <c r="C7" s="2">
        <f>COUNTIF(Таблица1[winner1-ability2],Table813172125293337[[#This Row],[ability]])+COUNTIF(Таблица1[winner2-ability2],Table813172125293337[[#This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</f>
        <v>27</v>
      </c>
      <c r="D7" s="16">
        <f>IF(SUM(Table813172125293337[[#This Row],[takes]]) &gt; 0,Table813172125293337[[#This Row],[takes]]/SUM(Table813172125293337[takes]),0)</f>
        <v>0.57894736842105265</v>
      </c>
      <c r="E7" s="16">
        <f>IF(Table813172125293337[[#This Row],[takes]]&gt;0,Table813172125293337[[#This Row],[wins]]/Table813172125293337[[#This Row],[takes]],0)</f>
        <v>0.49090909090909091</v>
      </c>
    </row>
    <row r="8" spans="1:10" x14ac:dyDescent="0.25">
      <c r="A8" t="s">
        <v>70</v>
      </c>
      <c r="B8">
        <f>COUNTIF(Таблица1[winner1-ability2],Table813172125293337[[#This Row],[ability]])+COUNTIF(Таблица1[winner2-ability2],Table813172125293337[[#This Row],[ability]])+COUNTIF(Таблица1[loser1-ability2],Table813172125293337[[#This Row],[ability]])+COUNTIF(Таблица1[loser2-ability2],Table813172125293337[[#This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Row],[ability]])+COUNTIF(Table41[loser1-ability2],Table813172125293337[[#This Row],[ability]])+COUNTIF(Table41[loser2-ability2],Table813172125293337[[#This Row],[ability]])+COUNTIF(Table41[loser3-ability2],Table813172125293337[[#This Row],[ability]])</f>
        <v>16</v>
      </c>
      <c r="C8">
        <f>COUNTIF(Таблица1[winner1-ability2],Table813172125293337[[#This Row],[ability]])+COUNTIF(Таблица1[winner2-ability2],Table813172125293337[[#This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</f>
        <v>10</v>
      </c>
      <c r="D8" s="3">
        <f>IF(SUM(Table813172125293337[[#This Row],[takes]]) &gt; 0,Table813172125293337[[#This Row],[takes]]/SUM(Table813172125293337[takes]),0)</f>
        <v>0.16842105263157894</v>
      </c>
      <c r="E8" s="3">
        <f>IF(Table813172125293337[[#This Row],[takes]]&gt;0,Table813172125293337[[#This Row],[wins]]/Table813172125293337[[#This Row],[takes]],0)</f>
        <v>0.625</v>
      </c>
    </row>
    <row r="9" spans="1:10" x14ac:dyDescent="0.25">
      <c r="A9" s="14" t="s">
        <v>105</v>
      </c>
      <c r="B9" s="14">
        <f>COUNTIF(Таблица1[winner1-ability2],Table813172125293337[[#This Row],[ability]])+COUNTIF(Таблица1[winner2-ability2],Table813172125293337[[#This Row],[ability]])+COUNTIF(Таблица1[loser1-ability2],Table813172125293337[[#This Row],[ability]])+COUNTIF(Таблица1[loser2-ability2],Table813172125293337[[#This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Row],[ability]])+COUNTIF(Table41[loser1-ability2],Table813172125293337[[#This Row],[ability]])+COUNTIF(Table41[loser2-ability2],Table813172125293337[[#This Row],[ability]])+COUNTIF(Table41[loser3-ability2],Table813172125293337[[#This Row],[ability]])</f>
        <v>24</v>
      </c>
      <c r="C9" s="14">
        <f>COUNTIF(Таблица1[winner1-ability2],Table813172125293337[[#This Row],[ability]])+COUNTIF(Таблица1[winner2-ability2],Table813172125293337[[#This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</f>
        <v>16</v>
      </c>
      <c r="D9" s="17">
        <f>IF(SUM(Table813172125293337[[#This Row],[takes]]) &gt; 0,Table813172125293337[[#This Row],[takes]]/SUM(Table813172125293337[takes]),0)</f>
        <v>0.25263157894736843</v>
      </c>
      <c r="E9" s="17">
        <f>IF(Table813172125293337[[#This Row],[takes]]&gt;0,Table813172125293337[[#This Row],[wins]]/Table813172125293337[[#This Row],[takes]],0)</f>
        <v>0.66666666666666663</v>
      </c>
    </row>
    <row r="11" spans="1:10" x14ac:dyDescent="0.25">
      <c r="A11" s="11" t="s">
        <v>130</v>
      </c>
      <c r="B11" s="12" t="s">
        <v>131</v>
      </c>
      <c r="C11" s="12" t="s">
        <v>79</v>
      </c>
      <c r="D11" s="13" t="s">
        <v>138</v>
      </c>
      <c r="E11" s="13" t="s">
        <v>139</v>
      </c>
    </row>
    <row r="12" spans="1:10" x14ac:dyDescent="0.25">
      <c r="A12" s="1" t="s">
        <v>41</v>
      </c>
      <c r="B12" s="1">
        <f>COUNTIF(Таблица1[winner1-ability3],Table914182226303438[[#This Row],[ability]])+COUNTIF(Таблица1[winner2-ability3],Table914182226303438[[#This Row],[ability]])+COUNTIF(Таблица1[loser1-ability3],Table914182226303438[[#This Row],[ability]])+COUNTIF(Таблица1[loser2-ability3],Table914182226303438[[#This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Row],[ability]])+COUNTIF(Table41[loser1-ability3],Table914182226303438[[#This Row],[ability]])+COUNTIF(Table41[loser2-ability3],Table914182226303438[[#This Row],[ability]])+COUNTIF(Table41[loser3-ability3],Table914182226303438[[#This Row],[ability]])</f>
        <v>18</v>
      </c>
      <c r="C12" s="1">
        <f>COUNTIF(Таблица1[winner1-ability3],Table914182226303438[[#This Row],[ability]])+COUNTIF(Таблица1[winner2-ability3],Table914182226303438[[#This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</f>
        <v>9</v>
      </c>
      <c r="D12" s="18">
        <f>IF(SUM(Table914182226303438[[#This Row],[takes]]) &gt; 0,Table914182226303438[[#This Row],[takes]]/SUM(Table914182226303438[takes]),0)</f>
        <v>0.5</v>
      </c>
      <c r="E12" s="18">
        <f>IF(Table914182226303438[[#This Row],[takes]]&gt;0,Table914182226303438[[#This Row],[wins]]/Table914182226303438[[#This Row],[takes]],0)</f>
        <v>0.5</v>
      </c>
    </row>
    <row r="13" spans="1:10" x14ac:dyDescent="0.25">
      <c r="A13" s="2" t="s">
        <v>174</v>
      </c>
      <c r="B13" s="2">
        <f>COUNTIF(Таблица1[winner1-ability3],Table914182226303438[[#This Row],[ability]])+COUNTIF(Таблица1[winner2-ability3],Table914182226303438[[#This Row],[ability]])+COUNTIF(Таблица1[loser1-ability3],Table914182226303438[[#This Row],[ability]])+COUNTIF(Таблица1[loser2-ability3],Table914182226303438[[#This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Row],[ability]])+COUNTIF(Table41[loser1-ability3],Table914182226303438[[#This Row],[ability]])+COUNTIF(Table41[loser2-ability3],Table914182226303438[[#This Row],[ability]])+COUNTIF(Table41[loser3-ability3],Table914182226303438[[#This Row],[ability]])</f>
        <v>2</v>
      </c>
      <c r="C13" s="2">
        <f>COUNTIF(Таблица1[winner1-ability3],Table914182226303438[[#This Row],[ability]])+COUNTIF(Таблица1[winner2-ability3],Table914182226303438[[#This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</f>
        <v>1</v>
      </c>
      <c r="D13" s="16">
        <f>IF(SUM(Table914182226303438[[#This Row],[takes]]) &gt; 0,Table914182226303438[[#This Row],[takes]]/SUM(Table914182226303438[takes]),0)</f>
        <v>5.5555555555555552E-2</v>
      </c>
      <c r="E13" s="16">
        <f>IF(Table914182226303438[[#This Row],[takes]]&gt;0,Table914182226303438[[#This Row],[wins]]/Table914182226303438[[#This Row],[takes]],0)</f>
        <v>0.5</v>
      </c>
    </row>
    <row r="14" spans="1:10" x14ac:dyDescent="0.25">
      <c r="A14" s="15" t="s">
        <v>175</v>
      </c>
      <c r="B14" s="15">
        <f>COUNTIF(Таблица1[winner1-ability3],Table914182226303438[[#This Row],[ability]])+COUNTIF(Таблица1[winner2-ability3],Table914182226303438[[#This Row],[ability]])+COUNTIF(Таблица1[loser1-ability3],Table914182226303438[[#This Row],[ability]])+COUNTIF(Таблица1[loser2-ability3],Table914182226303438[[#This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Row],[ability]])+COUNTIF(Table41[loser1-ability3],Table914182226303438[[#This Row],[ability]])+COUNTIF(Table41[loser2-ability3],Table914182226303438[[#This Row],[ability]])+COUNTIF(Table41[loser3-ability3],Table914182226303438[[#This Row],[ability]])</f>
        <v>16</v>
      </c>
      <c r="C14" s="15">
        <f>COUNTIF(Таблица1[winner1-ability3],Table914182226303438[[#This Row],[ability]])+COUNTIF(Таблица1[winner2-ability3],Table914182226303438[[#This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</f>
        <v>11</v>
      </c>
      <c r="D14" s="19">
        <f>IF(SUM(Table914182226303438[[#This Row],[takes]]) &gt; 0,Table914182226303438[[#This Row],[takes]]/SUM(Table914182226303438[takes]),0)</f>
        <v>0.44444444444444442</v>
      </c>
      <c r="E14" s="19">
        <f>IF(Table914182226303438[[#This Row],[takes]]&gt;0,Table914182226303438[[#This Row],[wins]]/Table914182226303438[[#This Row],[takes]],0)</f>
        <v>0.6875</v>
      </c>
    </row>
    <row r="16" spans="1:10" x14ac:dyDescent="0.25">
      <c r="A16" s="11" t="s">
        <v>130</v>
      </c>
      <c r="B16" s="12" t="s">
        <v>131</v>
      </c>
      <c r="C16" s="12" t="s">
        <v>79</v>
      </c>
      <c r="D16" s="13" t="s">
        <v>138</v>
      </c>
      <c r="E16" s="13" t="s">
        <v>139</v>
      </c>
    </row>
    <row r="17" spans="1:5" x14ac:dyDescent="0.25">
      <c r="A17" s="2" t="s">
        <v>176</v>
      </c>
      <c r="B17" s="2">
        <f>COUNTIF(Таблица1[winner1-ability4],Table1015192327313539[[#This Row],[ability]])+COUNTIF(Таблица1[winner2-ability4],Table1015192327313539[[#This Row],[ability]])+COUNTIF(Таблица1[loser1-ability4],Table1015192327313539[[#This Row],[ability]])+COUNTIF(Таблица1[loser2-ability4],Table1015192327313539[[#This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Row],[ability]])+COUNTIF(Table41[loser1-ability4],Table1015192327313539[[#This Row],[ability]])+COUNTIF(Table41[loser2-ability4],Table1015192327313539[[#This Row],[ability]])+COUNTIF(Table41[loser3-ability4],Table1015192327313539[[#This Row],[ability]])</f>
        <v>3</v>
      </c>
      <c r="C17" s="2">
        <f>COUNTIF(Таблица1[winner1-ability4],Table1015192327313539[[#This Row],[ability]])+COUNTIF(Таблица1[winner2-ability4],Table1015192327313539[[#This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</f>
        <v>1</v>
      </c>
      <c r="D17" s="16">
        <f>IF(SUM(Table1015192327313539[[#This Row],[takes]]) &gt; 0,Table1015192327313539[[#This Row],[takes]]/SUM(Table1015192327313539[takes]),0)</f>
        <v>0.16666666666666666</v>
      </c>
      <c r="E17" s="16">
        <f>IF(Table1015192327313539[[#This Row],[takes]]&gt;0,Table1015192327313539[[#This Row],[wins]]/Table1015192327313539[[#This Row],[takes]],0)</f>
        <v>0.33333333333333331</v>
      </c>
    </row>
    <row r="18" spans="1:5" x14ac:dyDescent="0.25">
      <c r="A18" s="2" t="s">
        <v>177</v>
      </c>
      <c r="B18" s="2">
        <f>COUNTIF(Таблица1[winner1-ability4],Table1015192327313539[[#This Row],[ability]])+COUNTIF(Таблица1[winner2-ability4],Table1015192327313539[[#This Row],[ability]])+COUNTIF(Таблица1[loser1-ability4],Table1015192327313539[[#This Row],[ability]])+COUNTIF(Таблица1[loser2-ability4],Table1015192327313539[[#This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Row],[ability]])+COUNTIF(Table41[loser1-ability4],Table1015192327313539[[#This Row],[ability]])+COUNTIF(Table41[loser2-ability4],Table1015192327313539[[#This Row],[ability]])+COUNTIF(Table41[loser3-ability4],Table1015192327313539[[#This Row],[ability]])</f>
        <v>13</v>
      </c>
      <c r="C18" s="2">
        <f>COUNTIF(Таблица1[winner1-ability4],Table1015192327313539[[#This Row],[ability]])+COUNTIF(Таблица1[winner2-ability4],Table1015192327313539[[#This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</f>
        <v>11</v>
      </c>
      <c r="D18" s="16">
        <f>IF(SUM(Table1015192327313539[[#This Row],[takes]]) &gt; 0,Table1015192327313539[[#This Row],[takes]]/SUM(Table1015192327313539[takes]),0)</f>
        <v>0.72222222222222221</v>
      </c>
      <c r="E18" s="16">
        <f>IF(Table1015192327313539[[#This Row],[takes]]&gt;0,Table1015192327313539[[#This Row],[wins]]/Table1015192327313539[[#This Row],[takes]],0)</f>
        <v>0.84615384615384615</v>
      </c>
    </row>
    <row r="19" spans="1:5" x14ac:dyDescent="0.25">
      <c r="A19" s="14" t="s">
        <v>42</v>
      </c>
      <c r="B19" s="14">
        <f>COUNTIF(Таблица1[winner1-ability4],Table1015192327313539[[#This Row],[ability]])+COUNTIF(Таблица1[winner2-ability4],Table1015192327313539[[#This Row],[ability]])+COUNTIF(Таблица1[loser1-ability4],Table1015192327313539[[#This Row],[ability]])+COUNTIF(Таблица1[loser2-ability4],Table1015192327313539[[#This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Row],[ability]])+COUNTIF(Table41[loser1-ability4],Table1015192327313539[[#This Row],[ability]])+COUNTIF(Table41[loser2-ability4],Table1015192327313539[[#This Row],[ability]])+COUNTIF(Table41[loser3-ability4],Table1015192327313539[[#This Row],[ability]])</f>
        <v>2</v>
      </c>
      <c r="C19" s="14">
        <f>COUNTIF(Таблица1[winner1-ability4],Table1015192327313539[[#This Row],[ability]])+COUNTIF(Таблица1[winner2-ability4],Table1015192327313539[[#This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</f>
        <v>2</v>
      </c>
      <c r="D19" s="17">
        <f>IF(SUM(Table1015192327313539[[#This Row],[takes]]) &gt; 0,Table1015192327313539[[#This Row],[takes]]/SUM(Table1015192327313539[takes]),0)</f>
        <v>0.1111111111111111</v>
      </c>
      <c r="E19" s="17">
        <f>IF(Table1015192327313539[[#This Row],[takes]]&gt;0,Table1015192327313539[[#This Row],[wins]]/Table1015192327313539[[#This Row],[takes]],0)</f>
        <v>1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12"/>
  <sheetViews>
    <sheetView topLeftCell="B1" workbookViewId="0">
      <selection activeCell="Q15" sqref="Q15"/>
    </sheetView>
  </sheetViews>
  <sheetFormatPr defaultRowHeight="15" x14ac:dyDescent="0.25"/>
  <cols>
    <col min="1" max="1" width="10.5703125" bestFit="1" customWidth="1"/>
    <col min="2" max="2" width="11.42578125" bestFit="1" customWidth="1"/>
    <col min="3" max="3" width="13.5703125" bestFit="1" customWidth="1"/>
    <col min="4" max="5" width="11.42578125" bestFit="1" customWidth="1"/>
    <col min="6" max="6" width="13.5703125" bestFit="1" customWidth="1"/>
    <col min="7" max="7" width="13.5703125" customWidth="1"/>
    <col min="9" max="10" width="11.42578125" bestFit="1" customWidth="1"/>
    <col min="11" max="11" width="11.42578125" customWidth="1"/>
    <col min="12" max="12" width="7.42578125" bestFit="1" customWidth="1"/>
    <col min="13" max="13" width="10.7109375" customWidth="1"/>
    <col min="15" max="15" width="25.140625" bestFit="1" customWidth="1"/>
    <col min="18" max="18" width="13" bestFit="1" customWidth="1"/>
    <col min="19" max="19" width="29.42578125" style="10" bestFit="1" customWidth="1"/>
    <col min="20" max="20" width="32.140625" style="5" bestFit="1" customWidth="1"/>
    <col min="21" max="21" width="9.28515625" bestFit="1" customWidth="1"/>
  </cols>
  <sheetData>
    <row r="1" spans="1:20" ht="15.75" thickBot="1" x14ac:dyDescent="0.3">
      <c r="A1" s="21" t="s">
        <v>78</v>
      </c>
      <c r="B1" s="22"/>
      <c r="C1" s="22"/>
      <c r="D1" s="22"/>
      <c r="E1" s="22"/>
      <c r="F1" s="22"/>
      <c r="G1" s="23"/>
      <c r="I1" s="21" t="s">
        <v>82</v>
      </c>
      <c r="J1" s="22"/>
      <c r="K1" s="22"/>
      <c r="L1" s="22"/>
      <c r="M1" s="23"/>
      <c r="O1" s="6" t="s">
        <v>252</v>
      </c>
      <c r="P1" s="7">
        <f>MIN(Таблица1[crystals])</f>
        <v>1</v>
      </c>
      <c r="R1" t="s">
        <v>126</v>
      </c>
      <c r="S1" s="10" t="s">
        <v>127</v>
      </c>
      <c r="T1" s="5" t="s">
        <v>128</v>
      </c>
    </row>
    <row r="2" spans="1:20" ht="15.75" thickBot="1" x14ac:dyDescent="0.3">
      <c r="A2" t="s">
        <v>59</v>
      </c>
      <c r="B2" t="s">
        <v>60</v>
      </c>
      <c r="C2" t="s">
        <v>81</v>
      </c>
      <c r="D2" t="s">
        <v>61</v>
      </c>
      <c r="E2" t="s">
        <v>62</v>
      </c>
      <c r="F2" t="s">
        <v>77</v>
      </c>
      <c r="G2" t="s">
        <v>58</v>
      </c>
      <c r="I2" t="s">
        <v>59</v>
      </c>
      <c r="J2" t="s">
        <v>60</v>
      </c>
      <c r="K2" t="s">
        <v>58</v>
      </c>
      <c r="L2" t="s">
        <v>79</v>
      </c>
      <c r="M2" t="s">
        <v>80</v>
      </c>
      <c r="O2" s="6" t="s">
        <v>124</v>
      </c>
      <c r="P2" s="7">
        <f>AVERAGE(Таблица1[crystals])</f>
        <v>5.7047619047619049</v>
      </c>
      <c r="R2">
        <v>30000</v>
      </c>
      <c r="S2" s="10">
        <f>Table6[[#This Row],[Think Time]]*$P$6/1000/60</f>
        <v>17.242857142857144</v>
      </c>
      <c r="T2" s="10">
        <f>Table6[[#This Row],[Estimated Battle Time (mins)]]*COUNTA(Таблица2[hero-1])/60</f>
        <v>60.35</v>
      </c>
    </row>
    <row r="3" spans="1:20" ht="15.75" thickBot="1" x14ac:dyDescent="0.3">
      <c r="A3" t="s">
        <v>53</v>
      </c>
      <c r="B3" t="s">
        <v>56</v>
      </c>
      <c r="C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" t="s">
        <v>48</v>
      </c>
      <c r="E3" t="s">
        <v>33</v>
      </c>
      <c r="F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">
        <f>Таблица2[[#This Row],[team-1-win]]+Таблица2[[#This Row],[team-2-win]]</f>
        <v>1</v>
      </c>
      <c r="I3" t="s">
        <v>53</v>
      </c>
      <c r="J3" t="s">
        <v>56</v>
      </c>
      <c r="K3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3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13</v>
      </c>
      <c r="M3" s="3">
        <f>IF(Table3[[#This Row],[battles]],Table3[[#This Row],[wins]]/Table3[[#This Row],[battles]],0)</f>
        <v>0.8666666666666667</v>
      </c>
      <c r="O3" s="6" t="s">
        <v>254</v>
      </c>
      <c r="P3" s="7">
        <f>MAX(Таблица1[crystals])</f>
        <v>21</v>
      </c>
      <c r="R3">
        <v>60000</v>
      </c>
      <c r="S3" s="10">
        <f>Table6[[#This Row],[Think Time]]*$P$6/1000/60</f>
        <v>34.485714285714288</v>
      </c>
      <c r="T3" s="10">
        <f>Table6[[#This Row],[Estimated Battle Time (mins)]]*COUNTA(Таблица2[hero-1])/60</f>
        <v>120.7</v>
      </c>
    </row>
    <row r="4" spans="1:20" ht="15.75" thickBot="1" x14ac:dyDescent="0.3">
      <c r="A4" t="s">
        <v>53</v>
      </c>
      <c r="B4" t="s">
        <v>56</v>
      </c>
      <c r="C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" t="s">
        <v>48</v>
      </c>
      <c r="E4" t="s">
        <v>43</v>
      </c>
      <c r="F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">
        <f>Таблица2[[#This Row],[team-1-win]]+Таблица2[[#This Row],[team-2-win]]</f>
        <v>1</v>
      </c>
      <c r="I4" t="s">
        <v>53</v>
      </c>
      <c r="J4" t="s">
        <v>48</v>
      </c>
      <c r="K4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4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10</v>
      </c>
      <c r="M4" s="3">
        <f>IF(Table3[[#This Row],[battles]],Table3[[#This Row],[wins]]/Table3[[#This Row],[battles]],0)</f>
        <v>0.66666666666666663</v>
      </c>
      <c r="R4">
        <v>120000</v>
      </c>
      <c r="S4" s="10">
        <f>Table6[[#This Row],[Think Time]]*$P$6/1000/60</f>
        <v>68.971428571428575</v>
      </c>
      <c r="T4" s="10">
        <f>Table6[[#This Row],[Estimated Battle Time (mins)]]*COUNTA(Таблица2[hero-1])/60</f>
        <v>241.4</v>
      </c>
    </row>
    <row r="5" spans="1:20" ht="15.75" thickBot="1" x14ac:dyDescent="0.3">
      <c r="A5" t="s">
        <v>53</v>
      </c>
      <c r="B5" t="s">
        <v>56</v>
      </c>
      <c r="C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" t="s">
        <v>48</v>
      </c>
      <c r="E5" t="s">
        <v>45</v>
      </c>
      <c r="F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">
        <f>Таблица2[[#This Row],[team-1-win]]+Таблица2[[#This Row],[team-2-win]]</f>
        <v>1</v>
      </c>
      <c r="I5" t="s">
        <v>53</v>
      </c>
      <c r="J5" t="s">
        <v>33</v>
      </c>
      <c r="K5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5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11</v>
      </c>
      <c r="M5" s="3">
        <f>IF(Table3[[#This Row],[battles]],Table3[[#This Row],[wins]]/Table3[[#This Row],[battles]],0)</f>
        <v>0.73333333333333328</v>
      </c>
      <c r="O5" s="6" t="s">
        <v>253</v>
      </c>
      <c r="P5" s="7">
        <f>MIN(Таблица1[turns])</f>
        <v>16</v>
      </c>
      <c r="R5">
        <v>300000</v>
      </c>
      <c r="S5" s="10">
        <f>Table6[[#This Row],[Think Time]]*$P$6/1000/60</f>
        <v>172.42857142857144</v>
      </c>
      <c r="T5" s="10">
        <f>Table6[[#This Row],[Estimated Battle Time (mins)]]*COUNTA(Таблица2[hero-1])/60</f>
        <v>603.5</v>
      </c>
    </row>
    <row r="6" spans="1:20" ht="15.75" thickBot="1" x14ac:dyDescent="0.3">
      <c r="A6" t="s">
        <v>53</v>
      </c>
      <c r="B6" t="s">
        <v>56</v>
      </c>
      <c r="C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" t="s">
        <v>48</v>
      </c>
      <c r="E6" t="s">
        <v>63</v>
      </c>
      <c r="F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">
        <f>Таблица2[[#This Row],[team-1-win]]+Таблица2[[#This Row],[team-2-win]]</f>
        <v>1</v>
      </c>
      <c r="I6" t="s">
        <v>53</v>
      </c>
      <c r="J6" t="s">
        <v>43</v>
      </c>
      <c r="K6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6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11</v>
      </c>
      <c r="M6" s="3">
        <f>IF(Table3[[#This Row],[battles]],Table3[[#This Row],[wins]]/Table3[[#This Row],[battles]],0)</f>
        <v>0.73333333333333328</v>
      </c>
      <c r="O6" s="8" t="s">
        <v>125</v>
      </c>
      <c r="P6" s="9">
        <f>AVERAGE(Таблица1[turns])</f>
        <v>34.485714285714288</v>
      </c>
      <c r="R6">
        <v>600000</v>
      </c>
      <c r="S6" s="10">
        <f>Table6[[#This Row],[Think Time]]*$P$6/1000/60</f>
        <v>344.85714285714289</v>
      </c>
      <c r="T6" s="10">
        <f>Table6[[#This Row],[Estimated Battle Time (mins)]]*COUNTA(Таблица2[hero-1])/60</f>
        <v>1207</v>
      </c>
    </row>
    <row r="7" spans="1:20" ht="15.75" thickBot="1" x14ac:dyDescent="0.3">
      <c r="A7" t="s">
        <v>53</v>
      </c>
      <c r="B7" t="s">
        <v>56</v>
      </c>
      <c r="C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" t="s">
        <v>48</v>
      </c>
      <c r="E7" t="s">
        <v>38</v>
      </c>
      <c r="F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">
        <f>Таблица2[[#This Row],[team-1-win]]+Таблица2[[#This Row],[team-2-win]]</f>
        <v>1</v>
      </c>
      <c r="I7" t="s">
        <v>53</v>
      </c>
      <c r="J7" t="s">
        <v>45</v>
      </c>
      <c r="K7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7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9</v>
      </c>
      <c r="M7" s="3">
        <f>IF(Table3[[#This Row],[battles]],Table3[[#This Row],[wins]]/Table3[[#This Row],[battles]],0)</f>
        <v>0.6</v>
      </c>
      <c r="O7" s="8" t="s">
        <v>255</v>
      </c>
      <c r="P7" s="9">
        <f>MAX(Таблица1[turns])</f>
        <v>84</v>
      </c>
    </row>
    <row r="8" spans="1:20" x14ac:dyDescent="0.25">
      <c r="A8" t="s">
        <v>53</v>
      </c>
      <c r="B8" t="s">
        <v>56</v>
      </c>
      <c r="C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" t="s">
        <v>33</v>
      </c>
      <c r="E8" t="s">
        <v>43</v>
      </c>
      <c r="F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8">
        <f>Таблица2[[#This Row],[team-1-win]]+Таблица2[[#This Row],[team-2-win]]</f>
        <v>1</v>
      </c>
      <c r="I8" t="s">
        <v>53</v>
      </c>
      <c r="J8" t="s">
        <v>63</v>
      </c>
      <c r="K8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8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10</v>
      </c>
      <c r="M8" s="3">
        <f>IF(Table3[[#This Row],[battles]],Table3[[#This Row],[wins]]/Table3[[#This Row],[battles]],0)</f>
        <v>0.66666666666666663</v>
      </c>
    </row>
    <row r="9" spans="1:20" x14ac:dyDescent="0.25">
      <c r="A9" t="s">
        <v>53</v>
      </c>
      <c r="B9" t="s">
        <v>56</v>
      </c>
      <c r="C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9" t="s">
        <v>33</v>
      </c>
      <c r="E9" t="s">
        <v>45</v>
      </c>
      <c r="F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9">
        <f>Таблица2[[#This Row],[team-1-win]]+Таблица2[[#This Row],[team-2-win]]</f>
        <v>1</v>
      </c>
      <c r="I9" t="s">
        <v>53</v>
      </c>
      <c r="J9" t="s">
        <v>38</v>
      </c>
      <c r="K9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9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14</v>
      </c>
      <c r="M9" s="3">
        <f>IF(Table3[[#This Row],[battles]],Table3[[#This Row],[wins]]/Table3[[#This Row],[battles]],0)</f>
        <v>0.93333333333333335</v>
      </c>
    </row>
    <row r="10" spans="1:20" x14ac:dyDescent="0.25">
      <c r="A10" t="s">
        <v>53</v>
      </c>
      <c r="B10" t="s">
        <v>56</v>
      </c>
      <c r="C1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" t="s">
        <v>33</v>
      </c>
      <c r="E10" t="s">
        <v>63</v>
      </c>
      <c r="F1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">
        <f>Таблица2[[#This Row],[team-1-win]]+Таблица2[[#This Row],[team-2-win]]</f>
        <v>1</v>
      </c>
      <c r="I10" t="s">
        <v>56</v>
      </c>
      <c r="J10" t="s">
        <v>48</v>
      </c>
      <c r="K10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0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6</v>
      </c>
      <c r="M10" s="3">
        <f>IF(Table3[[#This Row],[battles]],Table3[[#This Row],[wins]]/Table3[[#This Row],[battles]],0)</f>
        <v>0.4</v>
      </c>
    </row>
    <row r="11" spans="1:20" x14ac:dyDescent="0.25">
      <c r="A11" t="s">
        <v>53</v>
      </c>
      <c r="B11" t="s">
        <v>56</v>
      </c>
      <c r="C1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1" t="s">
        <v>33</v>
      </c>
      <c r="E11" t="s">
        <v>38</v>
      </c>
      <c r="F1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">
        <f>Таблица2[[#This Row],[team-1-win]]+Таблица2[[#This Row],[team-2-win]]</f>
        <v>1</v>
      </c>
      <c r="I11" t="s">
        <v>56</v>
      </c>
      <c r="J11" t="s">
        <v>33</v>
      </c>
      <c r="K11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1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9</v>
      </c>
      <c r="M11" s="3">
        <f>IF(Table3[[#This Row],[battles]],Table3[[#This Row],[wins]]/Table3[[#This Row],[battles]],0)</f>
        <v>0.6</v>
      </c>
    </row>
    <row r="12" spans="1:20" x14ac:dyDescent="0.25">
      <c r="A12" t="s">
        <v>53</v>
      </c>
      <c r="B12" t="s">
        <v>56</v>
      </c>
      <c r="C1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2" t="s">
        <v>43</v>
      </c>
      <c r="E12" t="s">
        <v>45</v>
      </c>
      <c r="F1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">
        <f>Таблица2[[#This Row],[team-1-win]]+Таблица2[[#This Row],[team-2-win]]</f>
        <v>1</v>
      </c>
      <c r="I12" t="s">
        <v>56</v>
      </c>
      <c r="J12" t="s">
        <v>43</v>
      </c>
      <c r="K12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2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5</v>
      </c>
      <c r="M12" s="3">
        <f>IF(Table3[[#This Row],[battles]],Table3[[#This Row],[wins]]/Table3[[#This Row],[battles]],0)</f>
        <v>0.33333333333333331</v>
      </c>
    </row>
    <row r="13" spans="1:20" x14ac:dyDescent="0.25">
      <c r="A13" t="s">
        <v>53</v>
      </c>
      <c r="B13" t="s">
        <v>56</v>
      </c>
      <c r="C1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3" t="s">
        <v>43</v>
      </c>
      <c r="E13" t="s">
        <v>63</v>
      </c>
      <c r="F1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">
        <f>Таблица2[[#This Row],[team-1-win]]+Таблица2[[#This Row],[team-2-win]]</f>
        <v>1</v>
      </c>
      <c r="I13" t="s">
        <v>56</v>
      </c>
      <c r="J13" t="s">
        <v>45</v>
      </c>
      <c r="K13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3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4</v>
      </c>
      <c r="M13" s="3">
        <f>IF(Table3[[#This Row],[battles]],Table3[[#This Row],[wins]]/Table3[[#This Row],[battles]],0)</f>
        <v>0.26666666666666666</v>
      </c>
    </row>
    <row r="14" spans="1:20" x14ac:dyDescent="0.25">
      <c r="A14" t="s">
        <v>53</v>
      </c>
      <c r="B14" t="s">
        <v>56</v>
      </c>
      <c r="C1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4" t="s">
        <v>43</v>
      </c>
      <c r="E14" t="s">
        <v>38</v>
      </c>
      <c r="F1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">
        <f>Таблица2[[#This Row],[team-1-win]]+Таблица2[[#This Row],[team-2-win]]</f>
        <v>1</v>
      </c>
      <c r="I14" t="s">
        <v>56</v>
      </c>
      <c r="J14" t="s">
        <v>63</v>
      </c>
      <c r="K14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4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6</v>
      </c>
      <c r="M14" s="3">
        <f>IF(Table3[[#This Row],[battles]],Table3[[#This Row],[wins]]/Table3[[#This Row],[battles]],0)</f>
        <v>0.4</v>
      </c>
    </row>
    <row r="15" spans="1:20" x14ac:dyDescent="0.25">
      <c r="A15" t="s">
        <v>53</v>
      </c>
      <c r="B15" t="s">
        <v>56</v>
      </c>
      <c r="C1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5" t="s">
        <v>45</v>
      </c>
      <c r="E15" t="s">
        <v>63</v>
      </c>
      <c r="F1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">
        <f>Таблица2[[#This Row],[team-1-win]]+Таблица2[[#This Row],[team-2-win]]</f>
        <v>1</v>
      </c>
      <c r="I15" t="s">
        <v>56</v>
      </c>
      <c r="J15" t="s">
        <v>38</v>
      </c>
      <c r="K15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5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10</v>
      </c>
      <c r="M15" s="3">
        <f>IF(Table3[[#This Row],[battles]],Table3[[#This Row],[wins]]/Table3[[#This Row],[battles]],0)</f>
        <v>0.66666666666666663</v>
      </c>
    </row>
    <row r="16" spans="1:20" x14ac:dyDescent="0.25">
      <c r="A16" t="s">
        <v>53</v>
      </c>
      <c r="B16" t="s">
        <v>56</v>
      </c>
      <c r="C1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6" t="s">
        <v>45</v>
      </c>
      <c r="E16" t="s">
        <v>38</v>
      </c>
      <c r="F1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">
        <f>Таблица2[[#This Row],[team-1-win]]+Таблица2[[#This Row],[team-2-win]]</f>
        <v>1</v>
      </c>
      <c r="I16" t="s">
        <v>48</v>
      </c>
      <c r="J16" t="s">
        <v>33</v>
      </c>
      <c r="K16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6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5</v>
      </c>
      <c r="M16" s="3">
        <f>IF(Table3[[#This Row],[battles]],Table3[[#This Row],[wins]]/Table3[[#This Row],[battles]],0)</f>
        <v>0.33333333333333331</v>
      </c>
    </row>
    <row r="17" spans="1:13" x14ac:dyDescent="0.25">
      <c r="A17" t="s">
        <v>53</v>
      </c>
      <c r="B17" t="s">
        <v>56</v>
      </c>
      <c r="C1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7" t="s">
        <v>63</v>
      </c>
      <c r="E17" t="s">
        <v>38</v>
      </c>
      <c r="F1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">
        <f>Таблица2[[#This Row],[team-1-win]]+Таблица2[[#This Row],[team-2-win]]</f>
        <v>1</v>
      </c>
      <c r="I17" t="s">
        <v>48</v>
      </c>
      <c r="J17" t="s">
        <v>43</v>
      </c>
      <c r="K17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7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6</v>
      </c>
      <c r="M17" s="3">
        <f>IF(Table3[[#This Row],[battles]],Table3[[#This Row],[wins]]/Table3[[#This Row],[battles]],0)</f>
        <v>0.4</v>
      </c>
    </row>
    <row r="18" spans="1:13" x14ac:dyDescent="0.25">
      <c r="A18" t="s">
        <v>53</v>
      </c>
      <c r="B18" t="s">
        <v>48</v>
      </c>
      <c r="C1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" t="s">
        <v>56</v>
      </c>
      <c r="E18" t="s">
        <v>33</v>
      </c>
      <c r="F1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">
        <f>Таблица2[[#This Row],[team-1-win]]+Таблица2[[#This Row],[team-2-win]]</f>
        <v>1</v>
      </c>
      <c r="I18" t="s">
        <v>48</v>
      </c>
      <c r="J18" t="s">
        <v>45</v>
      </c>
      <c r="K18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8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3</v>
      </c>
      <c r="M18" s="3">
        <f>IF(Table3[[#This Row],[battles]],Table3[[#This Row],[wins]]/Table3[[#This Row],[battles]],0)</f>
        <v>0.2</v>
      </c>
    </row>
    <row r="19" spans="1:13" x14ac:dyDescent="0.25">
      <c r="A19" t="s">
        <v>53</v>
      </c>
      <c r="B19" t="s">
        <v>48</v>
      </c>
      <c r="C1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9" t="s">
        <v>56</v>
      </c>
      <c r="E19" t="s">
        <v>43</v>
      </c>
      <c r="F1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">
        <f>Таблица2[[#This Row],[team-1-win]]+Таблица2[[#This Row],[team-2-win]]</f>
        <v>1</v>
      </c>
      <c r="I19" t="s">
        <v>48</v>
      </c>
      <c r="J19" t="s">
        <v>63</v>
      </c>
      <c r="K19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9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7</v>
      </c>
      <c r="M19" s="3">
        <f>IF(Table3[[#This Row],[battles]],Table3[[#This Row],[wins]]/Table3[[#This Row],[battles]],0)</f>
        <v>0.46666666666666667</v>
      </c>
    </row>
    <row r="20" spans="1:13" x14ac:dyDescent="0.25">
      <c r="A20" t="s">
        <v>53</v>
      </c>
      <c r="B20" t="s">
        <v>48</v>
      </c>
      <c r="C2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0" t="s">
        <v>56</v>
      </c>
      <c r="E20" t="s">
        <v>45</v>
      </c>
      <c r="F2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">
        <f>Таблица2[[#This Row],[team-1-win]]+Таблица2[[#This Row],[team-2-win]]</f>
        <v>1</v>
      </c>
      <c r="I20" t="s">
        <v>48</v>
      </c>
      <c r="J20" t="s">
        <v>38</v>
      </c>
      <c r="K20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0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5</v>
      </c>
      <c r="M20" s="3">
        <f>IF(Table3[[#This Row],[battles]],Table3[[#This Row],[wins]]/Table3[[#This Row],[battles]],0)</f>
        <v>0.33333333333333331</v>
      </c>
    </row>
    <row r="21" spans="1:13" x14ac:dyDescent="0.25">
      <c r="A21" t="s">
        <v>53</v>
      </c>
      <c r="B21" t="s">
        <v>48</v>
      </c>
      <c r="C2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1" t="s">
        <v>56</v>
      </c>
      <c r="E21" t="s">
        <v>63</v>
      </c>
      <c r="F2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1">
        <f>Таблица2[[#This Row],[team-1-win]]+Таблица2[[#This Row],[team-2-win]]</f>
        <v>1</v>
      </c>
      <c r="I21" t="s">
        <v>33</v>
      </c>
      <c r="J21" t="s">
        <v>43</v>
      </c>
      <c r="K21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1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10</v>
      </c>
      <c r="M21" s="3">
        <f>IF(Table3[[#This Row],[battles]],Table3[[#This Row],[wins]]/Table3[[#This Row],[battles]],0)</f>
        <v>0.66666666666666663</v>
      </c>
    </row>
    <row r="22" spans="1:13" x14ac:dyDescent="0.25">
      <c r="A22" t="s">
        <v>53</v>
      </c>
      <c r="B22" t="s">
        <v>48</v>
      </c>
      <c r="C2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2" t="s">
        <v>56</v>
      </c>
      <c r="E22" t="s">
        <v>38</v>
      </c>
      <c r="F2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2">
        <f>Таблица2[[#This Row],[team-1-win]]+Таблица2[[#This Row],[team-2-win]]</f>
        <v>1</v>
      </c>
      <c r="I22" t="s">
        <v>33</v>
      </c>
      <c r="J22" t="s">
        <v>45</v>
      </c>
      <c r="K22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2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4</v>
      </c>
      <c r="M22" s="3">
        <f>IF(Table3[[#This Row],[battles]],Table3[[#This Row],[wins]]/Table3[[#This Row],[battles]],0)</f>
        <v>0.26666666666666666</v>
      </c>
    </row>
    <row r="23" spans="1:13" x14ac:dyDescent="0.25">
      <c r="A23" t="s">
        <v>53</v>
      </c>
      <c r="B23" t="s">
        <v>48</v>
      </c>
      <c r="C2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3" t="s">
        <v>33</v>
      </c>
      <c r="E23" t="s">
        <v>43</v>
      </c>
      <c r="F2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3">
        <f>Таблица2[[#This Row],[team-1-win]]+Таблица2[[#This Row],[team-2-win]]</f>
        <v>1</v>
      </c>
      <c r="I23" t="s">
        <v>33</v>
      </c>
      <c r="J23" t="s">
        <v>63</v>
      </c>
      <c r="K23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3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6</v>
      </c>
      <c r="M23" s="3">
        <f>IF(Table3[[#This Row],[battles]],Table3[[#This Row],[wins]]/Table3[[#This Row],[battles]],0)</f>
        <v>0.4</v>
      </c>
    </row>
    <row r="24" spans="1:13" x14ac:dyDescent="0.25">
      <c r="A24" t="s">
        <v>53</v>
      </c>
      <c r="B24" t="s">
        <v>48</v>
      </c>
      <c r="C2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4" t="s">
        <v>33</v>
      </c>
      <c r="E24" t="s">
        <v>45</v>
      </c>
      <c r="F2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4">
        <f>Таблица2[[#This Row],[team-1-win]]+Таблица2[[#This Row],[team-2-win]]</f>
        <v>1</v>
      </c>
      <c r="I24" t="s">
        <v>33</v>
      </c>
      <c r="J24" t="s">
        <v>38</v>
      </c>
      <c r="K24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4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6</v>
      </c>
      <c r="M24" s="3">
        <f>IF(Table3[[#This Row],[battles]],Table3[[#This Row],[wins]]/Table3[[#This Row],[battles]],0)</f>
        <v>0.4</v>
      </c>
    </row>
    <row r="25" spans="1:13" x14ac:dyDescent="0.25">
      <c r="A25" t="s">
        <v>53</v>
      </c>
      <c r="B25" t="s">
        <v>48</v>
      </c>
      <c r="C2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5" t="s">
        <v>33</v>
      </c>
      <c r="E25" t="s">
        <v>63</v>
      </c>
      <c r="F2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5">
        <f>Таблица2[[#This Row],[team-1-win]]+Таблица2[[#This Row],[team-2-win]]</f>
        <v>1</v>
      </c>
      <c r="I25" t="s">
        <v>43</v>
      </c>
      <c r="J25" t="s">
        <v>45</v>
      </c>
      <c r="K25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5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5</v>
      </c>
      <c r="M25" s="3">
        <f>IF(Table3[[#This Row],[battles]],Table3[[#This Row],[wins]]/Table3[[#This Row],[battles]],0)</f>
        <v>0.33333333333333331</v>
      </c>
    </row>
    <row r="26" spans="1:13" x14ac:dyDescent="0.25">
      <c r="A26" t="s">
        <v>53</v>
      </c>
      <c r="B26" t="s">
        <v>48</v>
      </c>
      <c r="C2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6" t="s">
        <v>33</v>
      </c>
      <c r="E26" t="s">
        <v>38</v>
      </c>
      <c r="F2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6">
        <f>Таблица2[[#This Row],[team-1-win]]+Таблица2[[#This Row],[team-2-win]]</f>
        <v>1</v>
      </c>
      <c r="I26" t="s">
        <v>43</v>
      </c>
      <c r="J26" t="s">
        <v>63</v>
      </c>
      <c r="K26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6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6</v>
      </c>
      <c r="M26" s="3">
        <f>IF(Table3[[#This Row],[battles]],Table3[[#This Row],[wins]]/Table3[[#This Row],[battles]],0)</f>
        <v>0.4</v>
      </c>
    </row>
    <row r="27" spans="1:13" x14ac:dyDescent="0.25">
      <c r="A27" t="s">
        <v>53</v>
      </c>
      <c r="B27" t="s">
        <v>48</v>
      </c>
      <c r="C2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7" t="s">
        <v>43</v>
      </c>
      <c r="E27" t="s">
        <v>45</v>
      </c>
      <c r="F2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7">
        <f>Таблица2[[#This Row],[team-1-win]]+Таблица2[[#This Row],[team-2-win]]</f>
        <v>1</v>
      </c>
      <c r="I27" t="s">
        <v>43</v>
      </c>
      <c r="J27" t="s">
        <v>38</v>
      </c>
      <c r="K27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7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10</v>
      </c>
      <c r="M27" s="3">
        <f>IF(Table3[[#This Row],[battles]],Table3[[#This Row],[wins]]/Table3[[#This Row],[battles]],0)</f>
        <v>0.66666666666666663</v>
      </c>
    </row>
    <row r="28" spans="1:13" x14ac:dyDescent="0.25">
      <c r="A28" t="s">
        <v>53</v>
      </c>
      <c r="B28" t="s">
        <v>48</v>
      </c>
      <c r="C2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8" t="s">
        <v>43</v>
      </c>
      <c r="E28" t="s">
        <v>63</v>
      </c>
      <c r="F2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8">
        <f>Таблица2[[#This Row],[team-1-win]]+Таблица2[[#This Row],[team-2-win]]</f>
        <v>1</v>
      </c>
      <c r="I28" t="s">
        <v>45</v>
      </c>
      <c r="J28" t="s">
        <v>63</v>
      </c>
      <c r="K28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8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3</v>
      </c>
      <c r="M28" s="3">
        <f>IF(Table3[[#This Row],[battles]],Table3[[#This Row],[wins]]/Table3[[#This Row],[battles]],0)</f>
        <v>0.2</v>
      </c>
    </row>
    <row r="29" spans="1:13" x14ac:dyDescent="0.25">
      <c r="A29" t="s">
        <v>53</v>
      </c>
      <c r="B29" t="s">
        <v>48</v>
      </c>
      <c r="C2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9" t="s">
        <v>43</v>
      </c>
      <c r="E29" t="s">
        <v>38</v>
      </c>
      <c r="F2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9">
        <f>Таблица2[[#This Row],[team-1-win]]+Таблица2[[#This Row],[team-2-win]]</f>
        <v>1</v>
      </c>
      <c r="I29" t="s">
        <v>45</v>
      </c>
      <c r="J29" t="s">
        <v>38</v>
      </c>
      <c r="K29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9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8</v>
      </c>
      <c r="M29" s="3">
        <f>IF(Table3[[#This Row],[battles]],Table3[[#This Row],[wins]]/Table3[[#This Row],[battles]],0)</f>
        <v>0.53333333333333333</v>
      </c>
    </row>
    <row r="30" spans="1:13" x14ac:dyDescent="0.25">
      <c r="A30" t="s">
        <v>53</v>
      </c>
      <c r="B30" t="s">
        <v>48</v>
      </c>
      <c r="C3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0" t="s">
        <v>45</v>
      </c>
      <c r="E30" t="s">
        <v>63</v>
      </c>
      <c r="F3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0">
        <f>Таблица2[[#This Row],[team-1-win]]+Таблица2[[#This Row],[team-2-win]]</f>
        <v>1</v>
      </c>
      <c r="I30" t="s">
        <v>63</v>
      </c>
      <c r="J30" t="s">
        <v>38</v>
      </c>
      <c r="K30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30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8</v>
      </c>
      <c r="M30" s="3">
        <f>IF(Table3[[#This Row],[battles]],Table3[[#This Row],[wins]]/Table3[[#This Row],[battles]],0)</f>
        <v>0.53333333333333333</v>
      </c>
    </row>
    <row r="31" spans="1:13" x14ac:dyDescent="0.25">
      <c r="A31" t="s">
        <v>53</v>
      </c>
      <c r="B31" t="s">
        <v>48</v>
      </c>
      <c r="C3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1" t="s">
        <v>45</v>
      </c>
      <c r="E31" t="s">
        <v>38</v>
      </c>
      <c r="F3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1">
        <f>Таблица2[[#This Row],[team-1-win]]+Таблица2[[#This Row],[team-2-win]]</f>
        <v>1</v>
      </c>
    </row>
    <row r="32" spans="1:13" x14ac:dyDescent="0.25">
      <c r="A32" t="s">
        <v>53</v>
      </c>
      <c r="B32" t="s">
        <v>48</v>
      </c>
      <c r="C3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2" t="s">
        <v>63</v>
      </c>
      <c r="E32" t="s">
        <v>38</v>
      </c>
      <c r="F3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2">
        <f>Таблица2[[#This Row],[team-1-win]]+Таблица2[[#This Row],[team-2-win]]</f>
        <v>1</v>
      </c>
    </row>
    <row r="33" spans="1:7" x14ac:dyDescent="0.25">
      <c r="A33" t="s">
        <v>53</v>
      </c>
      <c r="B33" t="s">
        <v>33</v>
      </c>
      <c r="C3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3" t="s">
        <v>56</v>
      </c>
      <c r="E33" t="s">
        <v>48</v>
      </c>
      <c r="F3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3">
        <f>Таблица2[[#This Row],[team-1-win]]+Таблица2[[#This Row],[team-2-win]]</f>
        <v>1</v>
      </c>
    </row>
    <row r="34" spans="1:7" x14ac:dyDescent="0.25">
      <c r="A34" t="s">
        <v>53</v>
      </c>
      <c r="B34" t="s">
        <v>33</v>
      </c>
      <c r="C3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4" t="s">
        <v>56</v>
      </c>
      <c r="E34" t="s">
        <v>43</v>
      </c>
      <c r="F3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4">
        <f>Таблица2[[#This Row],[team-1-win]]+Таблица2[[#This Row],[team-2-win]]</f>
        <v>1</v>
      </c>
    </row>
    <row r="35" spans="1:7" x14ac:dyDescent="0.25">
      <c r="A35" t="s">
        <v>53</v>
      </c>
      <c r="B35" t="s">
        <v>33</v>
      </c>
      <c r="C3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35" t="s">
        <v>56</v>
      </c>
      <c r="E35" t="s">
        <v>45</v>
      </c>
      <c r="F3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35">
        <f>Таблица2[[#This Row],[team-1-win]]+Таблица2[[#This Row],[team-2-win]]</f>
        <v>1</v>
      </c>
    </row>
    <row r="36" spans="1:7" x14ac:dyDescent="0.25">
      <c r="A36" t="s">
        <v>53</v>
      </c>
      <c r="B36" t="s">
        <v>33</v>
      </c>
      <c r="C3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6" t="s">
        <v>56</v>
      </c>
      <c r="E36" t="s">
        <v>63</v>
      </c>
      <c r="F3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6">
        <f>Таблица2[[#This Row],[team-1-win]]+Таблица2[[#This Row],[team-2-win]]</f>
        <v>1</v>
      </c>
    </row>
    <row r="37" spans="1:7" x14ac:dyDescent="0.25">
      <c r="A37" t="s">
        <v>53</v>
      </c>
      <c r="B37" t="s">
        <v>33</v>
      </c>
      <c r="C3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7" t="s">
        <v>56</v>
      </c>
      <c r="E37" t="s">
        <v>38</v>
      </c>
      <c r="F3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7">
        <f>Таблица2[[#This Row],[team-1-win]]+Таблица2[[#This Row],[team-2-win]]</f>
        <v>1</v>
      </c>
    </row>
    <row r="38" spans="1:7" x14ac:dyDescent="0.25">
      <c r="A38" t="s">
        <v>53</v>
      </c>
      <c r="B38" t="s">
        <v>33</v>
      </c>
      <c r="C3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8" t="s">
        <v>48</v>
      </c>
      <c r="E38" t="s">
        <v>43</v>
      </c>
      <c r="F3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8">
        <f>Таблица2[[#This Row],[team-1-win]]+Таблица2[[#This Row],[team-2-win]]</f>
        <v>1</v>
      </c>
    </row>
    <row r="39" spans="1:7" x14ac:dyDescent="0.25">
      <c r="A39" t="s">
        <v>53</v>
      </c>
      <c r="B39" t="s">
        <v>33</v>
      </c>
      <c r="C3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9" t="s">
        <v>48</v>
      </c>
      <c r="E39" t="s">
        <v>45</v>
      </c>
      <c r="F3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9">
        <f>Таблица2[[#This Row],[team-1-win]]+Таблица2[[#This Row],[team-2-win]]</f>
        <v>1</v>
      </c>
    </row>
    <row r="40" spans="1:7" x14ac:dyDescent="0.25">
      <c r="A40" t="s">
        <v>53</v>
      </c>
      <c r="B40" t="s">
        <v>33</v>
      </c>
      <c r="C4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40" t="s">
        <v>48</v>
      </c>
      <c r="E40" t="s">
        <v>63</v>
      </c>
      <c r="F4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40">
        <f>Таблица2[[#This Row],[team-1-win]]+Таблица2[[#This Row],[team-2-win]]</f>
        <v>1</v>
      </c>
    </row>
    <row r="41" spans="1:7" x14ac:dyDescent="0.25">
      <c r="A41" t="s">
        <v>53</v>
      </c>
      <c r="B41" t="s">
        <v>33</v>
      </c>
      <c r="C4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1" t="s">
        <v>48</v>
      </c>
      <c r="E41" t="s">
        <v>38</v>
      </c>
      <c r="F4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1">
        <f>Таблица2[[#This Row],[team-1-win]]+Таблица2[[#This Row],[team-2-win]]</f>
        <v>1</v>
      </c>
    </row>
    <row r="42" spans="1:7" x14ac:dyDescent="0.25">
      <c r="A42" t="s">
        <v>53</v>
      </c>
      <c r="B42" t="s">
        <v>33</v>
      </c>
      <c r="C4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2" t="s">
        <v>43</v>
      </c>
      <c r="E42" t="s">
        <v>45</v>
      </c>
      <c r="F4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2">
        <f>Таблица2[[#This Row],[team-1-win]]+Таблица2[[#This Row],[team-2-win]]</f>
        <v>1</v>
      </c>
    </row>
    <row r="43" spans="1:7" x14ac:dyDescent="0.25">
      <c r="A43" t="s">
        <v>53</v>
      </c>
      <c r="B43" t="s">
        <v>33</v>
      </c>
      <c r="C4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3" t="s">
        <v>43</v>
      </c>
      <c r="E43" t="s">
        <v>63</v>
      </c>
      <c r="F4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3">
        <f>Таблица2[[#This Row],[team-1-win]]+Таблица2[[#This Row],[team-2-win]]</f>
        <v>1</v>
      </c>
    </row>
    <row r="44" spans="1:7" x14ac:dyDescent="0.25">
      <c r="A44" t="s">
        <v>53</v>
      </c>
      <c r="B44" t="s">
        <v>33</v>
      </c>
      <c r="C4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44" t="s">
        <v>43</v>
      </c>
      <c r="E44" t="s">
        <v>38</v>
      </c>
      <c r="F4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44">
        <f>Таблица2[[#This Row],[team-1-win]]+Таблица2[[#This Row],[team-2-win]]</f>
        <v>1</v>
      </c>
    </row>
    <row r="45" spans="1:7" x14ac:dyDescent="0.25">
      <c r="A45" t="s">
        <v>53</v>
      </c>
      <c r="B45" t="s">
        <v>33</v>
      </c>
      <c r="C4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5" t="s">
        <v>45</v>
      </c>
      <c r="E45" t="s">
        <v>63</v>
      </c>
      <c r="F4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5">
        <f>Таблица2[[#This Row],[team-1-win]]+Таблица2[[#This Row],[team-2-win]]</f>
        <v>1</v>
      </c>
    </row>
    <row r="46" spans="1:7" x14ac:dyDescent="0.25">
      <c r="A46" t="s">
        <v>53</v>
      </c>
      <c r="B46" t="s">
        <v>33</v>
      </c>
      <c r="C4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46" t="s">
        <v>45</v>
      </c>
      <c r="E46" t="s">
        <v>38</v>
      </c>
      <c r="F4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46">
        <f>Таблица2[[#This Row],[team-1-win]]+Таблица2[[#This Row],[team-2-win]]</f>
        <v>1</v>
      </c>
    </row>
    <row r="47" spans="1:7" x14ac:dyDescent="0.25">
      <c r="A47" t="s">
        <v>53</v>
      </c>
      <c r="B47" t="s">
        <v>33</v>
      </c>
      <c r="C4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7" t="s">
        <v>63</v>
      </c>
      <c r="E47" t="s">
        <v>38</v>
      </c>
      <c r="F4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7">
        <f>Таблица2[[#This Row],[team-1-win]]+Таблица2[[#This Row],[team-2-win]]</f>
        <v>1</v>
      </c>
    </row>
    <row r="48" spans="1:7" x14ac:dyDescent="0.25">
      <c r="A48" t="s">
        <v>53</v>
      </c>
      <c r="B48" t="s">
        <v>43</v>
      </c>
      <c r="C4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48" t="s">
        <v>56</v>
      </c>
      <c r="E48" t="s">
        <v>48</v>
      </c>
      <c r="F4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48">
        <f>Таблица2[[#This Row],[team-1-win]]+Таблица2[[#This Row],[team-2-win]]</f>
        <v>1</v>
      </c>
    </row>
    <row r="49" spans="1:7" x14ac:dyDescent="0.25">
      <c r="A49" t="s">
        <v>53</v>
      </c>
      <c r="B49" t="s">
        <v>43</v>
      </c>
      <c r="C4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9" t="s">
        <v>56</v>
      </c>
      <c r="E49" t="s">
        <v>33</v>
      </c>
      <c r="F4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9">
        <f>Таблица2[[#This Row],[team-1-win]]+Таблица2[[#This Row],[team-2-win]]</f>
        <v>1</v>
      </c>
    </row>
    <row r="50" spans="1:7" x14ac:dyDescent="0.25">
      <c r="A50" t="s">
        <v>53</v>
      </c>
      <c r="B50" t="s">
        <v>43</v>
      </c>
      <c r="C5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50" t="s">
        <v>56</v>
      </c>
      <c r="E50" t="s">
        <v>45</v>
      </c>
      <c r="F5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50">
        <f>Таблица2[[#This Row],[team-1-win]]+Таблица2[[#This Row],[team-2-win]]</f>
        <v>1</v>
      </c>
    </row>
    <row r="51" spans="1:7" x14ac:dyDescent="0.25">
      <c r="A51" t="s">
        <v>53</v>
      </c>
      <c r="B51" t="s">
        <v>43</v>
      </c>
      <c r="C5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1" t="s">
        <v>56</v>
      </c>
      <c r="E51" t="s">
        <v>63</v>
      </c>
      <c r="F5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1">
        <f>Таблица2[[#This Row],[team-1-win]]+Таблица2[[#This Row],[team-2-win]]</f>
        <v>1</v>
      </c>
    </row>
    <row r="52" spans="1:7" x14ac:dyDescent="0.25">
      <c r="A52" t="s">
        <v>53</v>
      </c>
      <c r="B52" t="s">
        <v>43</v>
      </c>
      <c r="C5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2" t="s">
        <v>56</v>
      </c>
      <c r="E52" t="s">
        <v>38</v>
      </c>
      <c r="F5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2">
        <f>Таблица2[[#This Row],[team-1-win]]+Таблица2[[#This Row],[team-2-win]]</f>
        <v>1</v>
      </c>
    </row>
    <row r="53" spans="1:7" x14ac:dyDescent="0.25">
      <c r="A53" t="s">
        <v>53</v>
      </c>
      <c r="B53" t="s">
        <v>43</v>
      </c>
      <c r="C5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53" t="s">
        <v>48</v>
      </c>
      <c r="E53" t="s">
        <v>33</v>
      </c>
      <c r="F5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53">
        <f>Таблица2[[#This Row],[team-1-win]]+Таблица2[[#This Row],[team-2-win]]</f>
        <v>1</v>
      </c>
    </row>
    <row r="54" spans="1:7" x14ac:dyDescent="0.25">
      <c r="A54" t="s">
        <v>53</v>
      </c>
      <c r="B54" t="s">
        <v>43</v>
      </c>
      <c r="C5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4" t="s">
        <v>48</v>
      </c>
      <c r="E54" t="s">
        <v>45</v>
      </c>
      <c r="F5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4">
        <f>Таблица2[[#This Row],[team-1-win]]+Таблица2[[#This Row],[team-2-win]]</f>
        <v>1</v>
      </c>
    </row>
    <row r="55" spans="1:7" x14ac:dyDescent="0.25">
      <c r="A55" t="s">
        <v>53</v>
      </c>
      <c r="B55" t="s">
        <v>43</v>
      </c>
      <c r="C5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5" t="s">
        <v>48</v>
      </c>
      <c r="E55" t="s">
        <v>63</v>
      </c>
      <c r="F5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5">
        <f>Таблица2[[#This Row],[team-1-win]]+Таблица2[[#This Row],[team-2-win]]</f>
        <v>1</v>
      </c>
    </row>
    <row r="56" spans="1:7" x14ac:dyDescent="0.25">
      <c r="A56" t="s">
        <v>53</v>
      </c>
      <c r="B56" t="s">
        <v>43</v>
      </c>
      <c r="C5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6" t="s">
        <v>48</v>
      </c>
      <c r="E56" t="s">
        <v>38</v>
      </c>
      <c r="F5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6">
        <f>Таблица2[[#This Row],[team-1-win]]+Таблица2[[#This Row],[team-2-win]]</f>
        <v>1</v>
      </c>
    </row>
    <row r="57" spans="1:7" x14ac:dyDescent="0.25">
      <c r="A57" t="s">
        <v>53</v>
      </c>
      <c r="B57" t="s">
        <v>43</v>
      </c>
      <c r="C5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7" t="s">
        <v>33</v>
      </c>
      <c r="E57" t="s">
        <v>45</v>
      </c>
      <c r="F5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7">
        <f>Таблица2[[#This Row],[team-1-win]]+Таблица2[[#This Row],[team-2-win]]</f>
        <v>1</v>
      </c>
    </row>
    <row r="58" spans="1:7" x14ac:dyDescent="0.25">
      <c r="A58" t="s">
        <v>53</v>
      </c>
      <c r="B58" t="s">
        <v>43</v>
      </c>
      <c r="C5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8" t="s">
        <v>33</v>
      </c>
      <c r="E58" t="s">
        <v>63</v>
      </c>
      <c r="F5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8">
        <f>Таблица2[[#This Row],[team-1-win]]+Таблица2[[#This Row],[team-2-win]]</f>
        <v>1</v>
      </c>
    </row>
    <row r="59" spans="1:7" x14ac:dyDescent="0.25">
      <c r="A59" t="s">
        <v>53</v>
      </c>
      <c r="B59" t="s">
        <v>43</v>
      </c>
      <c r="C5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9" t="s">
        <v>33</v>
      </c>
      <c r="E59" t="s">
        <v>38</v>
      </c>
      <c r="F5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9">
        <f>Таблица2[[#This Row],[team-1-win]]+Таблица2[[#This Row],[team-2-win]]</f>
        <v>1</v>
      </c>
    </row>
    <row r="60" spans="1:7" x14ac:dyDescent="0.25">
      <c r="A60" t="s">
        <v>53</v>
      </c>
      <c r="B60" t="s">
        <v>43</v>
      </c>
      <c r="C6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0" t="s">
        <v>45</v>
      </c>
      <c r="E60" t="s">
        <v>63</v>
      </c>
      <c r="F6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0">
        <f>Таблица2[[#This Row],[team-1-win]]+Таблица2[[#This Row],[team-2-win]]</f>
        <v>1</v>
      </c>
    </row>
    <row r="61" spans="1:7" x14ac:dyDescent="0.25">
      <c r="A61" t="s">
        <v>53</v>
      </c>
      <c r="B61" t="s">
        <v>43</v>
      </c>
      <c r="C6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1" t="s">
        <v>45</v>
      </c>
      <c r="E61" t="s">
        <v>38</v>
      </c>
      <c r="F6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1">
        <f>Таблица2[[#This Row],[team-1-win]]+Таблица2[[#This Row],[team-2-win]]</f>
        <v>1</v>
      </c>
    </row>
    <row r="62" spans="1:7" x14ac:dyDescent="0.25">
      <c r="A62" t="s">
        <v>53</v>
      </c>
      <c r="B62" t="s">
        <v>43</v>
      </c>
      <c r="C6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62" t="s">
        <v>63</v>
      </c>
      <c r="E62" t="s">
        <v>38</v>
      </c>
      <c r="F6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62">
        <f>Таблица2[[#This Row],[team-1-win]]+Таблица2[[#This Row],[team-2-win]]</f>
        <v>1</v>
      </c>
    </row>
    <row r="63" spans="1:7" x14ac:dyDescent="0.25">
      <c r="A63" t="s">
        <v>53</v>
      </c>
      <c r="B63" t="s">
        <v>45</v>
      </c>
      <c r="C6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63" t="s">
        <v>56</v>
      </c>
      <c r="E63" t="s">
        <v>48</v>
      </c>
      <c r="F6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63">
        <f>Таблица2[[#This Row],[team-1-win]]+Таблица2[[#This Row],[team-2-win]]</f>
        <v>1</v>
      </c>
    </row>
    <row r="64" spans="1:7" x14ac:dyDescent="0.25">
      <c r="A64" t="s">
        <v>53</v>
      </c>
      <c r="B64" t="s">
        <v>45</v>
      </c>
      <c r="C6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64" t="s">
        <v>56</v>
      </c>
      <c r="E64" t="s">
        <v>33</v>
      </c>
      <c r="F6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64">
        <f>Таблица2[[#This Row],[team-1-win]]+Таблица2[[#This Row],[team-2-win]]</f>
        <v>1</v>
      </c>
    </row>
    <row r="65" spans="1:7" x14ac:dyDescent="0.25">
      <c r="A65" t="s">
        <v>53</v>
      </c>
      <c r="B65" t="s">
        <v>45</v>
      </c>
      <c r="C6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5" t="s">
        <v>56</v>
      </c>
      <c r="E65" t="s">
        <v>43</v>
      </c>
      <c r="F6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5">
        <f>Таблица2[[#This Row],[team-1-win]]+Таблица2[[#This Row],[team-2-win]]</f>
        <v>1</v>
      </c>
    </row>
    <row r="66" spans="1:7" x14ac:dyDescent="0.25">
      <c r="A66" t="s">
        <v>53</v>
      </c>
      <c r="B66" t="s">
        <v>45</v>
      </c>
      <c r="C6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6" t="s">
        <v>56</v>
      </c>
      <c r="E66" t="s">
        <v>63</v>
      </c>
      <c r="F6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6">
        <f>Таблица2[[#This Row],[team-1-win]]+Таблица2[[#This Row],[team-2-win]]</f>
        <v>1</v>
      </c>
    </row>
    <row r="67" spans="1:7" x14ac:dyDescent="0.25">
      <c r="A67" t="s">
        <v>53</v>
      </c>
      <c r="B67" t="s">
        <v>45</v>
      </c>
      <c r="C6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67" t="s">
        <v>56</v>
      </c>
      <c r="E67" t="s">
        <v>38</v>
      </c>
      <c r="F6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67">
        <f>Таблица2[[#This Row],[team-1-win]]+Таблица2[[#This Row],[team-2-win]]</f>
        <v>1</v>
      </c>
    </row>
    <row r="68" spans="1:7" x14ac:dyDescent="0.25">
      <c r="A68" t="s">
        <v>53</v>
      </c>
      <c r="B68" t="s">
        <v>45</v>
      </c>
      <c r="C6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8" t="s">
        <v>48</v>
      </c>
      <c r="E68" t="s">
        <v>33</v>
      </c>
      <c r="F6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8">
        <f>Таблица2[[#This Row],[team-1-win]]+Таблица2[[#This Row],[team-2-win]]</f>
        <v>1</v>
      </c>
    </row>
    <row r="69" spans="1:7" x14ac:dyDescent="0.25">
      <c r="A69" t="s">
        <v>53</v>
      </c>
      <c r="B69" t="s">
        <v>45</v>
      </c>
      <c r="C6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69" t="s">
        <v>48</v>
      </c>
      <c r="E69" t="s">
        <v>43</v>
      </c>
      <c r="F6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69">
        <f>Таблица2[[#This Row],[team-1-win]]+Таблица2[[#This Row],[team-2-win]]</f>
        <v>1</v>
      </c>
    </row>
    <row r="70" spans="1:7" x14ac:dyDescent="0.25">
      <c r="A70" t="s">
        <v>53</v>
      </c>
      <c r="B70" t="s">
        <v>45</v>
      </c>
      <c r="C7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70" t="s">
        <v>48</v>
      </c>
      <c r="E70" t="s">
        <v>63</v>
      </c>
      <c r="F7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70">
        <f>Таблица2[[#This Row],[team-1-win]]+Таблица2[[#This Row],[team-2-win]]</f>
        <v>1</v>
      </c>
    </row>
    <row r="71" spans="1:7" x14ac:dyDescent="0.25">
      <c r="A71" t="s">
        <v>53</v>
      </c>
      <c r="B71" t="s">
        <v>45</v>
      </c>
      <c r="C7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1" t="s">
        <v>48</v>
      </c>
      <c r="E71" t="s">
        <v>38</v>
      </c>
      <c r="F7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1">
        <f>Таблица2[[#This Row],[team-1-win]]+Таблица2[[#This Row],[team-2-win]]</f>
        <v>1</v>
      </c>
    </row>
    <row r="72" spans="1:7" x14ac:dyDescent="0.25">
      <c r="A72" t="s">
        <v>53</v>
      </c>
      <c r="B72" t="s">
        <v>45</v>
      </c>
      <c r="C7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2" t="s">
        <v>33</v>
      </c>
      <c r="E72" t="s">
        <v>43</v>
      </c>
      <c r="F7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2">
        <f>Таблица2[[#This Row],[team-1-win]]+Таблица2[[#This Row],[team-2-win]]</f>
        <v>1</v>
      </c>
    </row>
    <row r="73" spans="1:7" x14ac:dyDescent="0.25">
      <c r="A73" t="s">
        <v>53</v>
      </c>
      <c r="B73" t="s">
        <v>45</v>
      </c>
      <c r="C7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3" t="s">
        <v>33</v>
      </c>
      <c r="E73" t="s">
        <v>63</v>
      </c>
      <c r="F7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3">
        <f>Таблица2[[#This Row],[team-1-win]]+Таблица2[[#This Row],[team-2-win]]</f>
        <v>1</v>
      </c>
    </row>
    <row r="74" spans="1:7" x14ac:dyDescent="0.25">
      <c r="A74" t="s">
        <v>53</v>
      </c>
      <c r="B74" t="s">
        <v>45</v>
      </c>
      <c r="C7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4" t="s">
        <v>33</v>
      </c>
      <c r="E74" t="s">
        <v>38</v>
      </c>
      <c r="F7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4">
        <f>Таблица2[[#This Row],[team-1-win]]+Таблица2[[#This Row],[team-2-win]]</f>
        <v>1</v>
      </c>
    </row>
    <row r="75" spans="1:7" x14ac:dyDescent="0.25">
      <c r="A75" t="s">
        <v>53</v>
      </c>
      <c r="B75" t="s">
        <v>45</v>
      </c>
      <c r="C7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5" t="s">
        <v>43</v>
      </c>
      <c r="E75" t="s">
        <v>63</v>
      </c>
      <c r="F7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5">
        <f>Таблица2[[#This Row],[team-1-win]]+Таблица2[[#This Row],[team-2-win]]</f>
        <v>1</v>
      </c>
    </row>
    <row r="76" spans="1:7" x14ac:dyDescent="0.25">
      <c r="A76" t="s">
        <v>53</v>
      </c>
      <c r="B76" t="s">
        <v>45</v>
      </c>
      <c r="C7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76" t="s">
        <v>43</v>
      </c>
      <c r="E76" t="s">
        <v>38</v>
      </c>
      <c r="F7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76">
        <f>Таблица2[[#This Row],[team-1-win]]+Таблица2[[#This Row],[team-2-win]]</f>
        <v>1</v>
      </c>
    </row>
    <row r="77" spans="1:7" x14ac:dyDescent="0.25">
      <c r="A77" t="s">
        <v>53</v>
      </c>
      <c r="B77" t="s">
        <v>45</v>
      </c>
      <c r="C7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7" t="s">
        <v>63</v>
      </c>
      <c r="E77" t="s">
        <v>38</v>
      </c>
      <c r="F7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7">
        <f>Таблица2[[#This Row],[team-1-win]]+Таблица2[[#This Row],[team-2-win]]</f>
        <v>1</v>
      </c>
    </row>
    <row r="78" spans="1:7" x14ac:dyDescent="0.25">
      <c r="A78" t="s">
        <v>53</v>
      </c>
      <c r="B78" t="s">
        <v>63</v>
      </c>
      <c r="C7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8" t="s">
        <v>56</v>
      </c>
      <c r="E78" t="s">
        <v>48</v>
      </c>
      <c r="F7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8">
        <f>Таблица2[[#This Row],[team-1-win]]+Таблица2[[#This Row],[team-2-win]]</f>
        <v>1</v>
      </c>
    </row>
    <row r="79" spans="1:7" x14ac:dyDescent="0.25">
      <c r="A79" t="s">
        <v>53</v>
      </c>
      <c r="B79" t="s">
        <v>63</v>
      </c>
      <c r="C7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9" t="s">
        <v>56</v>
      </c>
      <c r="E79" t="s">
        <v>33</v>
      </c>
      <c r="F7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9">
        <f>Таблица2[[#This Row],[team-1-win]]+Таблица2[[#This Row],[team-2-win]]</f>
        <v>1</v>
      </c>
    </row>
    <row r="80" spans="1:7" x14ac:dyDescent="0.25">
      <c r="A80" t="s">
        <v>53</v>
      </c>
      <c r="B80" t="s">
        <v>63</v>
      </c>
      <c r="C8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0" t="s">
        <v>56</v>
      </c>
      <c r="E80" t="s">
        <v>43</v>
      </c>
      <c r="F8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0">
        <f>Таблица2[[#This Row],[team-1-win]]+Таблица2[[#This Row],[team-2-win]]</f>
        <v>1</v>
      </c>
    </row>
    <row r="81" spans="1:7" x14ac:dyDescent="0.25">
      <c r="A81" t="s">
        <v>53</v>
      </c>
      <c r="B81" t="s">
        <v>63</v>
      </c>
      <c r="C8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1" t="s">
        <v>56</v>
      </c>
      <c r="E81" t="s">
        <v>45</v>
      </c>
      <c r="F8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1">
        <f>Таблица2[[#This Row],[team-1-win]]+Таблица2[[#This Row],[team-2-win]]</f>
        <v>1</v>
      </c>
    </row>
    <row r="82" spans="1:7" x14ac:dyDescent="0.25">
      <c r="A82" t="s">
        <v>53</v>
      </c>
      <c r="B82" t="s">
        <v>63</v>
      </c>
      <c r="C8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2" t="s">
        <v>56</v>
      </c>
      <c r="E82" t="s">
        <v>38</v>
      </c>
      <c r="F8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82">
        <f>Таблица2[[#This Row],[team-1-win]]+Таблица2[[#This Row],[team-2-win]]</f>
        <v>1</v>
      </c>
    </row>
    <row r="83" spans="1:7" x14ac:dyDescent="0.25">
      <c r="A83" t="s">
        <v>53</v>
      </c>
      <c r="B83" t="s">
        <v>63</v>
      </c>
      <c r="C8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3" t="s">
        <v>48</v>
      </c>
      <c r="E83" t="s">
        <v>33</v>
      </c>
      <c r="F8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3">
        <f>Таблица2[[#This Row],[team-1-win]]+Таблица2[[#This Row],[team-2-win]]</f>
        <v>1</v>
      </c>
    </row>
    <row r="84" spans="1:7" x14ac:dyDescent="0.25">
      <c r="A84" t="s">
        <v>53</v>
      </c>
      <c r="B84" t="s">
        <v>63</v>
      </c>
      <c r="C8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4" t="s">
        <v>48</v>
      </c>
      <c r="E84" t="s">
        <v>43</v>
      </c>
      <c r="F8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4">
        <f>Таблица2[[#This Row],[team-1-win]]+Таблица2[[#This Row],[team-2-win]]</f>
        <v>1</v>
      </c>
    </row>
    <row r="85" spans="1:7" x14ac:dyDescent="0.25">
      <c r="A85" t="s">
        <v>53</v>
      </c>
      <c r="B85" t="s">
        <v>63</v>
      </c>
      <c r="C8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5" t="s">
        <v>48</v>
      </c>
      <c r="E85" t="s">
        <v>45</v>
      </c>
      <c r="F8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5">
        <f>Таблица2[[#This Row],[team-1-win]]+Таблица2[[#This Row],[team-2-win]]</f>
        <v>1</v>
      </c>
    </row>
    <row r="86" spans="1:7" x14ac:dyDescent="0.25">
      <c r="A86" t="s">
        <v>53</v>
      </c>
      <c r="B86" t="s">
        <v>63</v>
      </c>
      <c r="C8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6" t="s">
        <v>48</v>
      </c>
      <c r="E86" t="s">
        <v>38</v>
      </c>
      <c r="F8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86">
        <f>Таблица2[[#This Row],[team-1-win]]+Таблица2[[#This Row],[team-2-win]]</f>
        <v>1</v>
      </c>
    </row>
    <row r="87" spans="1:7" x14ac:dyDescent="0.25">
      <c r="A87" t="s">
        <v>53</v>
      </c>
      <c r="B87" t="s">
        <v>63</v>
      </c>
      <c r="C8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7" t="s">
        <v>33</v>
      </c>
      <c r="E87" t="s">
        <v>43</v>
      </c>
      <c r="F8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87">
        <f>Таблица2[[#This Row],[team-1-win]]+Таблица2[[#This Row],[team-2-win]]</f>
        <v>1</v>
      </c>
    </row>
    <row r="88" spans="1:7" x14ac:dyDescent="0.25">
      <c r="A88" t="s">
        <v>53</v>
      </c>
      <c r="B88" t="s">
        <v>63</v>
      </c>
      <c r="C8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8" t="s">
        <v>33</v>
      </c>
      <c r="E88" t="s">
        <v>45</v>
      </c>
      <c r="F8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88">
        <f>Таблица2[[#This Row],[team-1-win]]+Таблица2[[#This Row],[team-2-win]]</f>
        <v>1</v>
      </c>
    </row>
    <row r="89" spans="1:7" x14ac:dyDescent="0.25">
      <c r="A89" t="s">
        <v>53</v>
      </c>
      <c r="B89" t="s">
        <v>63</v>
      </c>
      <c r="C8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9" t="s">
        <v>33</v>
      </c>
      <c r="E89" t="s">
        <v>38</v>
      </c>
      <c r="F8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9">
        <f>Таблица2[[#This Row],[team-1-win]]+Таблица2[[#This Row],[team-2-win]]</f>
        <v>1</v>
      </c>
    </row>
    <row r="90" spans="1:7" x14ac:dyDescent="0.25">
      <c r="A90" t="s">
        <v>53</v>
      </c>
      <c r="B90" t="s">
        <v>63</v>
      </c>
      <c r="C9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0" t="s">
        <v>43</v>
      </c>
      <c r="E90" t="s">
        <v>45</v>
      </c>
      <c r="F9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0">
        <f>Таблица2[[#This Row],[team-1-win]]+Таблица2[[#This Row],[team-2-win]]</f>
        <v>1</v>
      </c>
    </row>
    <row r="91" spans="1:7" x14ac:dyDescent="0.25">
      <c r="A91" t="s">
        <v>53</v>
      </c>
      <c r="B91" t="s">
        <v>63</v>
      </c>
      <c r="C9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1" t="s">
        <v>43</v>
      </c>
      <c r="E91" t="s">
        <v>38</v>
      </c>
      <c r="F9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1">
        <f>Таблица2[[#This Row],[team-1-win]]+Таблица2[[#This Row],[team-2-win]]</f>
        <v>1</v>
      </c>
    </row>
    <row r="92" spans="1:7" x14ac:dyDescent="0.25">
      <c r="A92" t="s">
        <v>53</v>
      </c>
      <c r="B92" t="s">
        <v>63</v>
      </c>
      <c r="C9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92" t="s">
        <v>45</v>
      </c>
      <c r="E92" t="s">
        <v>38</v>
      </c>
      <c r="F9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92">
        <f>Таблица2[[#This Row],[team-1-win]]+Таблица2[[#This Row],[team-2-win]]</f>
        <v>1</v>
      </c>
    </row>
    <row r="93" spans="1:7" x14ac:dyDescent="0.25">
      <c r="A93" t="s">
        <v>53</v>
      </c>
      <c r="B93" t="s">
        <v>38</v>
      </c>
      <c r="C9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3" t="s">
        <v>56</v>
      </c>
      <c r="E93" t="s">
        <v>48</v>
      </c>
      <c r="F9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3">
        <f>Таблица2[[#This Row],[team-1-win]]+Таблица2[[#This Row],[team-2-win]]</f>
        <v>1</v>
      </c>
    </row>
    <row r="94" spans="1:7" x14ac:dyDescent="0.25">
      <c r="A94" t="s">
        <v>53</v>
      </c>
      <c r="B94" t="s">
        <v>38</v>
      </c>
      <c r="C9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4" t="s">
        <v>56</v>
      </c>
      <c r="E94" t="s">
        <v>33</v>
      </c>
      <c r="F9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4">
        <f>Таблица2[[#This Row],[team-1-win]]+Таблица2[[#This Row],[team-2-win]]</f>
        <v>1</v>
      </c>
    </row>
    <row r="95" spans="1:7" x14ac:dyDescent="0.25">
      <c r="A95" t="s">
        <v>53</v>
      </c>
      <c r="B95" t="s">
        <v>38</v>
      </c>
      <c r="C9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5" t="s">
        <v>56</v>
      </c>
      <c r="E95" t="s">
        <v>43</v>
      </c>
      <c r="F9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5">
        <f>Таблица2[[#This Row],[team-1-win]]+Таблица2[[#This Row],[team-2-win]]</f>
        <v>1</v>
      </c>
    </row>
    <row r="96" spans="1:7" x14ac:dyDescent="0.25">
      <c r="A96" t="s">
        <v>53</v>
      </c>
      <c r="B96" t="s">
        <v>38</v>
      </c>
      <c r="C9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6" t="s">
        <v>56</v>
      </c>
      <c r="E96" t="s">
        <v>45</v>
      </c>
      <c r="F9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6">
        <f>Таблица2[[#This Row],[team-1-win]]+Таблица2[[#This Row],[team-2-win]]</f>
        <v>1</v>
      </c>
    </row>
    <row r="97" spans="1:7" x14ac:dyDescent="0.25">
      <c r="A97" t="s">
        <v>53</v>
      </c>
      <c r="B97" t="s">
        <v>38</v>
      </c>
      <c r="C9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7" t="s">
        <v>56</v>
      </c>
      <c r="E97" t="s">
        <v>63</v>
      </c>
      <c r="F9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7">
        <f>Таблица2[[#This Row],[team-1-win]]+Таблица2[[#This Row],[team-2-win]]</f>
        <v>1</v>
      </c>
    </row>
    <row r="98" spans="1:7" x14ac:dyDescent="0.25">
      <c r="A98" t="s">
        <v>53</v>
      </c>
      <c r="B98" t="s">
        <v>38</v>
      </c>
      <c r="C9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98" t="s">
        <v>48</v>
      </c>
      <c r="E98" t="s">
        <v>33</v>
      </c>
      <c r="F9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98">
        <f>Таблица2[[#This Row],[team-1-win]]+Таблица2[[#This Row],[team-2-win]]</f>
        <v>1</v>
      </c>
    </row>
    <row r="99" spans="1:7" x14ac:dyDescent="0.25">
      <c r="A99" t="s">
        <v>53</v>
      </c>
      <c r="B99" t="s">
        <v>38</v>
      </c>
      <c r="C9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9" t="s">
        <v>48</v>
      </c>
      <c r="E99" t="s">
        <v>43</v>
      </c>
      <c r="F9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9">
        <f>Таблица2[[#This Row],[team-1-win]]+Таблица2[[#This Row],[team-2-win]]</f>
        <v>1</v>
      </c>
    </row>
    <row r="100" spans="1:7" x14ac:dyDescent="0.25">
      <c r="A100" t="s">
        <v>53</v>
      </c>
      <c r="B100" t="s">
        <v>38</v>
      </c>
      <c r="C10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0" t="s">
        <v>48</v>
      </c>
      <c r="E100" t="s">
        <v>45</v>
      </c>
      <c r="F10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0">
        <f>Таблица2[[#This Row],[team-1-win]]+Таблица2[[#This Row],[team-2-win]]</f>
        <v>1</v>
      </c>
    </row>
    <row r="101" spans="1:7" x14ac:dyDescent="0.25">
      <c r="A101" t="s">
        <v>53</v>
      </c>
      <c r="B101" t="s">
        <v>38</v>
      </c>
      <c r="C10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1" t="s">
        <v>48</v>
      </c>
      <c r="E101" t="s">
        <v>63</v>
      </c>
      <c r="F10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1">
        <f>Таблица2[[#This Row],[team-1-win]]+Таблица2[[#This Row],[team-2-win]]</f>
        <v>1</v>
      </c>
    </row>
    <row r="102" spans="1:7" x14ac:dyDescent="0.25">
      <c r="A102" t="s">
        <v>53</v>
      </c>
      <c r="B102" t="s">
        <v>38</v>
      </c>
      <c r="C10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2" t="s">
        <v>33</v>
      </c>
      <c r="E102" t="s">
        <v>43</v>
      </c>
      <c r="F10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2">
        <f>Таблица2[[#This Row],[team-1-win]]+Таблица2[[#This Row],[team-2-win]]</f>
        <v>1</v>
      </c>
    </row>
    <row r="103" spans="1:7" x14ac:dyDescent="0.25">
      <c r="A103" t="s">
        <v>53</v>
      </c>
      <c r="B103" t="s">
        <v>38</v>
      </c>
      <c r="C10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3" t="s">
        <v>33</v>
      </c>
      <c r="E103" t="s">
        <v>45</v>
      </c>
      <c r="F10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3">
        <f>Таблица2[[#This Row],[team-1-win]]+Таблица2[[#This Row],[team-2-win]]</f>
        <v>1</v>
      </c>
    </row>
    <row r="104" spans="1:7" x14ac:dyDescent="0.25">
      <c r="A104" t="s">
        <v>53</v>
      </c>
      <c r="B104" t="s">
        <v>38</v>
      </c>
      <c r="C10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4" t="s">
        <v>33</v>
      </c>
      <c r="E104" t="s">
        <v>63</v>
      </c>
      <c r="F10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4">
        <f>Таблица2[[#This Row],[team-1-win]]+Таблица2[[#This Row],[team-2-win]]</f>
        <v>1</v>
      </c>
    </row>
    <row r="105" spans="1:7" x14ac:dyDescent="0.25">
      <c r="A105" t="s">
        <v>53</v>
      </c>
      <c r="B105" t="s">
        <v>38</v>
      </c>
      <c r="C10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5" t="s">
        <v>43</v>
      </c>
      <c r="E105" t="s">
        <v>45</v>
      </c>
      <c r="F10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5">
        <f>Таблица2[[#This Row],[team-1-win]]+Таблица2[[#This Row],[team-2-win]]</f>
        <v>1</v>
      </c>
    </row>
    <row r="106" spans="1:7" x14ac:dyDescent="0.25">
      <c r="A106" t="s">
        <v>53</v>
      </c>
      <c r="B106" t="s">
        <v>38</v>
      </c>
      <c r="C10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6" t="s">
        <v>43</v>
      </c>
      <c r="E106" t="s">
        <v>63</v>
      </c>
      <c r="F10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6">
        <f>Таблица2[[#This Row],[team-1-win]]+Таблица2[[#This Row],[team-2-win]]</f>
        <v>1</v>
      </c>
    </row>
    <row r="107" spans="1:7" x14ac:dyDescent="0.25">
      <c r="A107" t="s">
        <v>53</v>
      </c>
      <c r="B107" t="s">
        <v>38</v>
      </c>
      <c r="C10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7" t="s">
        <v>45</v>
      </c>
      <c r="E107" t="s">
        <v>63</v>
      </c>
      <c r="F10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7">
        <f>Таблица2[[#This Row],[team-1-win]]+Таблица2[[#This Row],[team-2-win]]</f>
        <v>1</v>
      </c>
    </row>
    <row r="108" spans="1:7" x14ac:dyDescent="0.25">
      <c r="A108" t="s">
        <v>56</v>
      </c>
      <c r="B108" t="s">
        <v>48</v>
      </c>
      <c r="C10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8" t="s">
        <v>33</v>
      </c>
      <c r="E108" t="s">
        <v>43</v>
      </c>
      <c r="F10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8">
        <f>Таблица2[[#This Row],[team-1-win]]+Таблица2[[#This Row],[team-2-win]]</f>
        <v>1</v>
      </c>
    </row>
    <row r="109" spans="1:7" x14ac:dyDescent="0.25">
      <c r="A109" t="s">
        <v>56</v>
      </c>
      <c r="B109" t="s">
        <v>48</v>
      </c>
      <c r="C10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9" t="s">
        <v>33</v>
      </c>
      <c r="E109" t="s">
        <v>45</v>
      </c>
      <c r="F10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9">
        <f>Таблица2[[#This Row],[team-1-win]]+Таблица2[[#This Row],[team-2-win]]</f>
        <v>1</v>
      </c>
    </row>
    <row r="110" spans="1:7" x14ac:dyDescent="0.25">
      <c r="A110" t="s">
        <v>56</v>
      </c>
      <c r="B110" t="s">
        <v>48</v>
      </c>
      <c r="C11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0" t="s">
        <v>33</v>
      </c>
      <c r="E110" t="s">
        <v>63</v>
      </c>
      <c r="F11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0">
        <f>Таблица2[[#This Row],[team-1-win]]+Таблица2[[#This Row],[team-2-win]]</f>
        <v>1</v>
      </c>
    </row>
    <row r="111" spans="1:7" x14ac:dyDescent="0.25">
      <c r="A111" t="s">
        <v>56</v>
      </c>
      <c r="B111" t="s">
        <v>48</v>
      </c>
      <c r="C11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1" t="s">
        <v>33</v>
      </c>
      <c r="E111" t="s">
        <v>38</v>
      </c>
      <c r="F11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1">
        <f>Таблица2[[#This Row],[team-1-win]]+Таблица2[[#This Row],[team-2-win]]</f>
        <v>1</v>
      </c>
    </row>
    <row r="112" spans="1:7" x14ac:dyDescent="0.25">
      <c r="A112" t="s">
        <v>56</v>
      </c>
      <c r="B112" t="s">
        <v>48</v>
      </c>
      <c r="C11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12" t="s">
        <v>43</v>
      </c>
      <c r="E112" t="s">
        <v>45</v>
      </c>
      <c r="F11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2">
        <f>Таблица2[[#This Row],[team-1-win]]+Таблица2[[#This Row],[team-2-win]]</f>
        <v>1</v>
      </c>
    </row>
    <row r="113" spans="1:7" x14ac:dyDescent="0.25">
      <c r="A113" t="s">
        <v>56</v>
      </c>
      <c r="B113" t="s">
        <v>48</v>
      </c>
      <c r="C11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3" t="s">
        <v>43</v>
      </c>
      <c r="E113" t="s">
        <v>63</v>
      </c>
      <c r="F11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3">
        <f>Таблица2[[#This Row],[team-1-win]]+Таблица2[[#This Row],[team-2-win]]</f>
        <v>1</v>
      </c>
    </row>
    <row r="114" spans="1:7" x14ac:dyDescent="0.25">
      <c r="A114" t="s">
        <v>56</v>
      </c>
      <c r="B114" t="s">
        <v>48</v>
      </c>
      <c r="C11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4" t="s">
        <v>43</v>
      </c>
      <c r="E114" t="s">
        <v>38</v>
      </c>
      <c r="F11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4">
        <f>Таблица2[[#This Row],[team-1-win]]+Таблица2[[#This Row],[team-2-win]]</f>
        <v>1</v>
      </c>
    </row>
    <row r="115" spans="1:7" x14ac:dyDescent="0.25">
      <c r="A115" t="s">
        <v>56</v>
      </c>
      <c r="B115" t="s">
        <v>48</v>
      </c>
      <c r="C11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15" t="s">
        <v>45</v>
      </c>
      <c r="E115" t="s">
        <v>63</v>
      </c>
      <c r="F11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5">
        <f>Таблица2[[#This Row],[team-1-win]]+Таблица2[[#This Row],[team-2-win]]</f>
        <v>1</v>
      </c>
    </row>
    <row r="116" spans="1:7" x14ac:dyDescent="0.25">
      <c r="A116" t="s">
        <v>56</v>
      </c>
      <c r="B116" t="s">
        <v>48</v>
      </c>
      <c r="C11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6" t="s">
        <v>45</v>
      </c>
      <c r="E116" t="s">
        <v>38</v>
      </c>
      <c r="F11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6">
        <f>Таблица2[[#This Row],[team-1-win]]+Таблица2[[#This Row],[team-2-win]]</f>
        <v>1</v>
      </c>
    </row>
    <row r="117" spans="1:7" x14ac:dyDescent="0.25">
      <c r="A117" t="s">
        <v>56</v>
      </c>
      <c r="B117" t="s">
        <v>48</v>
      </c>
      <c r="C11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7" t="s">
        <v>63</v>
      </c>
      <c r="E117" t="s">
        <v>38</v>
      </c>
      <c r="F11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7">
        <f>Таблица2[[#This Row],[team-1-win]]+Таблица2[[#This Row],[team-2-win]]</f>
        <v>1</v>
      </c>
    </row>
    <row r="118" spans="1:7" x14ac:dyDescent="0.25">
      <c r="A118" t="s">
        <v>56</v>
      </c>
      <c r="B118" t="s">
        <v>33</v>
      </c>
      <c r="C11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18" t="s">
        <v>48</v>
      </c>
      <c r="E118" t="s">
        <v>43</v>
      </c>
      <c r="F11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8">
        <f>Таблица2[[#This Row],[team-1-win]]+Таблица2[[#This Row],[team-2-win]]</f>
        <v>1</v>
      </c>
    </row>
    <row r="119" spans="1:7" x14ac:dyDescent="0.25">
      <c r="A119" t="s">
        <v>56</v>
      </c>
      <c r="B119" t="s">
        <v>33</v>
      </c>
      <c r="C11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19" t="s">
        <v>48</v>
      </c>
      <c r="E119" t="s">
        <v>45</v>
      </c>
      <c r="F11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9">
        <f>Таблица2[[#This Row],[team-1-win]]+Таблица2[[#This Row],[team-2-win]]</f>
        <v>1</v>
      </c>
    </row>
    <row r="120" spans="1:7" x14ac:dyDescent="0.25">
      <c r="A120" t="s">
        <v>56</v>
      </c>
      <c r="B120" t="s">
        <v>33</v>
      </c>
      <c r="C12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0" t="s">
        <v>48</v>
      </c>
      <c r="E120" t="s">
        <v>63</v>
      </c>
      <c r="F12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20">
        <f>Таблица2[[#This Row],[team-1-win]]+Таблица2[[#This Row],[team-2-win]]</f>
        <v>1</v>
      </c>
    </row>
    <row r="121" spans="1:7" x14ac:dyDescent="0.25">
      <c r="A121" t="s">
        <v>56</v>
      </c>
      <c r="B121" t="s">
        <v>33</v>
      </c>
      <c r="C12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21" t="s">
        <v>48</v>
      </c>
      <c r="E121" t="s">
        <v>38</v>
      </c>
      <c r="F12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1">
        <f>Таблица2[[#This Row],[team-1-win]]+Таблица2[[#This Row],[team-2-win]]</f>
        <v>1</v>
      </c>
    </row>
    <row r="122" spans="1:7" x14ac:dyDescent="0.25">
      <c r="A122" t="s">
        <v>56</v>
      </c>
      <c r="B122" t="s">
        <v>33</v>
      </c>
      <c r="C12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22" t="s">
        <v>43</v>
      </c>
      <c r="E122" t="s">
        <v>45</v>
      </c>
      <c r="F12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2">
        <f>Таблица2[[#This Row],[team-1-win]]+Таблица2[[#This Row],[team-2-win]]</f>
        <v>1</v>
      </c>
    </row>
    <row r="123" spans="1:7" x14ac:dyDescent="0.25">
      <c r="A123" t="s">
        <v>56</v>
      </c>
      <c r="B123" t="s">
        <v>33</v>
      </c>
      <c r="C12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3" t="s">
        <v>43</v>
      </c>
      <c r="E123" t="s">
        <v>63</v>
      </c>
      <c r="F12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23">
        <f>Таблица2[[#This Row],[team-1-win]]+Таблица2[[#This Row],[team-2-win]]</f>
        <v>1</v>
      </c>
    </row>
    <row r="124" spans="1:7" x14ac:dyDescent="0.25">
      <c r="A124" t="s">
        <v>56</v>
      </c>
      <c r="B124" t="s">
        <v>33</v>
      </c>
      <c r="C12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24" t="s">
        <v>43</v>
      </c>
      <c r="E124" t="s">
        <v>38</v>
      </c>
      <c r="F12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4">
        <f>Таблица2[[#This Row],[team-1-win]]+Таблица2[[#This Row],[team-2-win]]</f>
        <v>1</v>
      </c>
    </row>
    <row r="125" spans="1:7" x14ac:dyDescent="0.25">
      <c r="A125" t="s">
        <v>56</v>
      </c>
      <c r="B125" t="s">
        <v>33</v>
      </c>
      <c r="C12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25" t="s">
        <v>45</v>
      </c>
      <c r="E125" t="s">
        <v>63</v>
      </c>
      <c r="F12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5">
        <f>Таблица2[[#This Row],[team-1-win]]+Таблица2[[#This Row],[team-2-win]]</f>
        <v>1</v>
      </c>
    </row>
    <row r="126" spans="1:7" x14ac:dyDescent="0.25">
      <c r="A126" t="s">
        <v>56</v>
      </c>
      <c r="B126" t="s">
        <v>33</v>
      </c>
      <c r="C12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6" t="s">
        <v>45</v>
      </c>
      <c r="E126" t="s">
        <v>38</v>
      </c>
      <c r="F12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26">
        <f>Таблица2[[#This Row],[team-1-win]]+Таблица2[[#This Row],[team-2-win]]</f>
        <v>1</v>
      </c>
    </row>
    <row r="127" spans="1:7" x14ac:dyDescent="0.25">
      <c r="A127" t="s">
        <v>56</v>
      </c>
      <c r="B127" t="s">
        <v>33</v>
      </c>
      <c r="C12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27" t="s">
        <v>63</v>
      </c>
      <c r="E127" t="s">
        <v>38</v>
      </c>
      <c r="F12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7">
        <f>Таблица2[[#This Row],[team-1-win]]+Таблица2[[#This Row],[team-2-win]]</f>
        <v>1</v>
      </c>
    </row>
    <row r="128" spans="1:7" x14ac:dyDescent="0.25">
      <c r="A128" t="s">
        <v>56</v>
      </c>
      <c r="B128" t="s">
        <v>43</v>
      </c>
      <c r="C12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28" t="s">
        <v>48</v>
      </c>
      <c r="E128" t="s">
        <v>33</v>
      </c>
      <c r="F12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8">
        <f>Таблица2[[#This Row],[team-1-win]]+Таблица2[[#This Row],[team-2-win]]</f>
        <v>1</v>
      </c>
    </row>
    <row r="129" spans="1:7" x14ac:dyDescent="0.25">
      <c r="A129" t="s">
        <v>56</v>
      </c>
      <c r="B129" t="s">
        <v>43</v>
      </c>
      <c r="C12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9" t="s">
        <v>48</v>
      </c>
      <c r="E129" t="s">
        <v>45</v>
      </c>
      <c r="F12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29">
        <f>Таблица2[[#This Row],[team-1-win]]+Таблица2[[#This Row],[team-2-win]]</f>
        <v>1</v>
      </c>
    </row>
    <row r="130" spans="1:7" x14ac:dyDescent="0.25">
      <c r="A130" t="s">
        <v>56</v>
      </c>
      <c r="B130" t="s">
        <v>43</v>
      </c>
      <c r="C13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30" t="s">
        <v>48</v>
      </c>
      <c r="E130" t="s">
        <v>63</v>
      </c>
      <c r="F13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0">
        <f>Таблица2[[#This Row],[team-1-win]]+Таблица2[[#This Row],[team-2-win]]</f>
        <v>1</v>
      </c>
    </row>
    <row r="131" spans="1:7" x14ac:dyDescent="0.25">
      <c r="A131" t="s">
        <v>56</v>
      </c>
      <c r="B131" t="s">
        <v>43</v>
      </c>
      <c r="C13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1" t="s">
        <v>48</v>
      </c>
      <c r="E131" t="s">
        <v>38</v>
      </c>
      <c r="F13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31">
        <f>Таблица2[[#This Row],[team-1-win]]+Таблица2[[#This Row],[team-2-win]]</f>
        <v>1</v>
      </c>
    </row>
    <row r="132" spans="1:7" x14ac:dyDescent="0.25">
      <c r="A132" t="s">
        <v>56</v>
      </c>
      <c r="B132" t="s">
        <v>43</v>
      </c>
      <c r="C13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32" t="s">
        <v>33</v>
      </c>
      <c r="E132" t="s">
        <v>45</v>
      </c>
      <c r="F13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2">
        <f>Таблица2[[#This Row],[team-1-win]]+Таблица2[[#This Row],[team-2-win]]</f>
        <v>1</v>
      </c>
    </row>
    <row r="133" spans="1:7" x14ac:dyDescent="0.25">
      <c r="A133" t="s">
        <v>56</v>
      </c>
      <c r="B133" t="s">
        <v>43</v>
      </c>
      <c r="C13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3" t="s">
        <v>33</v>
      </c>
      <c r="E133" t="s">
        <v>63</v>
      </c>
      <c r="F13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33">
        <f>Таблица2[[#This Row],[team-1-win]]+Таблица2[[#This Row],[team-2-win]]</f>
        <v>1</v>
      </c>
    </row>
    <row r="134" spans="1:7" x14ac:dyDescent="0.25">
      <c r="A134" t="s">
        <v>56</v>
      </c>
      <c r="B134" t="s">
        <v>43</v>
      </c>
      <c r="C13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4" t="s">
        <v>33</v>
      </c>
      <c r="E134" t="s">
        <v>38</v>
      </c>
      <c r="F13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34">
        <f>Таблица2[[#This Row],[team-1-win]]+Таблица2[[#This Row],[team-2-win]]</f>
        <v>1</v>
      </c>
    </row>
    <row r="135" spans="1:7" x14ac:dyDescent="0.25">
      <c r="A135" t="s">
        <v>56</v>
      </c>
      <c r="B135" t="s">
        <v>43</v>
      </c>
      <c r="C13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35" t="s">
        <v>45</v>
      </c>
      <c r="E135" t="s">
        <v>63</v>
      </c>
      <c r="F13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5">
        <f>Таблица2[[#This Row],[team-1-win]]+Таблица2[[#This Row],[team-2-win]]</f>
        <v>1</v>
      </c>
    </row>
    <row r="136" spans="1:7" x14ac:dyDescent="0.25">
      <c r="A136" t="s">
        <v>56</v>
      </c>
      <c r="B136" t="s">
        <v>43</v>
      </c>
      <c r="C13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36" t="s">
        <v>45</v>
      </c>
      <c r="E136" t="s">
        <v>38</v>
      </c>
      <c r="F13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6">
        <f>Таблица2[[#This Row],[team-1-win]]+Таблица2[[#This Row],[team-2-win]]</f>
        <v>1</v>
      </c>
    </row>
    <row r="137" spans="1:7" x14ac:dyDescent="0.25">
      <c r="A137" t="s">
        <v>56</v>
      </c>
      <c r="B137" t="s">
        <v>43</v>
      </c>
      <c r="C13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7" t="s">
        <v>63</v>
      </c>
      <c r="E137" t="s">
        <v>38</v>
      </c>
      <c r="F13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37">
        <f>Таблица2[[#This Row],[team-1-win]]+Таблица2[[#This Row],[team-2-win]]</f>
        <v>1</v>
      </c>
    </row>
    <row r="138" spans="1:7" x14ac:dyDescent="0.25">
      <c r="A138" t="s">
        <v>56</v>
      </c>
      <c r="B138" t="s">
        <v>45</v>
      </c>
      <c r="C13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8" t="s">
        <v>48</v>
      </c>
      <c r="E138" t="s">
        <v>33</v>
      </c>
      <c r="F13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38">
        <f>Таблица2[[#This Row],[team-1-win]]+Таблица2[[#This Row],[team-2-win]]</f>
        <v>1</v>
      </c>
    </row>
    <row r="139" spans="1:7" x14ac:dyDescent="0.25">
      <c r="A139" t="s">
        <v>56</v>
      </c>
      <c r="B139" t="s">
        <v>45</v>
      </c>
      <c r="C13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9" t="s">
        <v>48</v>
      </c>
      <c r="E139" t="s">
        <v>43</v>
      </c>
      <c r="F13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39">
        <f>Таблица2[[#This Row],[team-1-win]]+Таблица2[[#This Row],[team-2-win]]</f>
        <v>1</v>
      </c>
    </row>
    <row r="140" spans="1:7" x14ac:dyDescent="0.25">
      <c r="A140" t="s">
        <v>56</v>
      </c>
      <c r="B140" t="s">
        <v>45</v>
      </c>
      <c r="C14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40" t="s">
        <v>48</v>
      </c>
      <c r="E140" t="s">
        <v>63</v>
      </c>
      <c r="F14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0">
        <f>Таблица2[[#This Row],[team-1-win]]+Таблица2[[#This Row],[team-2-win]]</f>
        <v>1</v>
      </c>
    </row>
    <row r="141" spans="1:7" x14ac:dyDescent="0.25">
      <c r="A141" t="s">
        <v>56</v>
      </c>
      <c r="B141" t="s">
        <v>45</v>
      </c>
      <c r="C14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1" t="s">
        <v>48</v>
      </c>
      <c r="E141" t="s">
        <v>38</v>
      </c>
      <c r="F14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41">
        <f>Таблица2[[#This Row],[team-1-win]]+Таблица2[[#This Row],[team-2-win]]</f>
        <v>1</v>
      </c>
    </row>
    <row r="142" spans="1:7" x14ac:dyDescent="0.25">
      <c r="A142" t="s">
        <v>56</v>
      </c>
      <c r="B142" t="s">
        <v>45</v>
      </c>
      <c r="C14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2" t="s">
        <v>33</v>
      </c>
      <c r="E142" t="s">
        <v>43</v>
      </c>
      <c r="F14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42">
        <f>Таблица2[[#This Row],[team-1-win]]+Таблица2[[#This Row],[team-2-win]]</f>
        <v>1</v>
      </c>
    </row>
    <row r="143" spans="1:7" x14ac:dyDescent="0.25">
      <c r="A143" t="s">
        <v>56</v>
      </c>
      <c r="B143" t="s">
        <v>45</v>
      </c>
      <c r="C14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3" t="s">
        <v>33</v>
      </c>
      <c r="E143" t="s">
        <v>63</v>
      </c>
      <c r="F14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43">
        <f>Таблица2[[#This Row],[team-1-win]]+Таблица2[[#This Row],[team-2-win]]</f>
        <v>1</v>
      </c>
    </row>
    <row r="144" spans="1:7" x14ac:dyDescent="0.25">
      <c r="A144" t="s">
        <v>56</v>
      </c>
      <c r="B144" t="s">
        <v>45</v>
      </c>
      <c r="C14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4" t="s">
        <v>33</v>
      </c>
      <c r="E144" t="s">
        <v>38</v>
      </c>
      <c r="F14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44">
        <f>Таблица2[[#This Row],[team-1-win]]+Таблица2[[#This Row],[team-2-win]]</f>
        <v>1</v>
      </c>
    </row>
    <row r="145" spans="1:7" x14ac:dyDescent="0.25">
      <c r="A145" t="s">
        <v>56</v>
      </c>
      <c r="B145" t="s">
        <v>45</v>
      </c>
      <c r="C14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45" t="s">
        <v>43</v>
      </c>
      <c r="E145" t="s">
        <v>63</v>
      </c>
      <c r="F14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5">
        <f>Таблица2[[#This Row],[team-1-win]]+Таблица2[[#This Row],[team-2-win]]</f>
        <v>1</v>
      </c>
    </row>
    <row r="146" spans="1:7" x14ac:dyDescent="0.25">
      <c r="A146" t="s">
        <v>56</v>
      </c>
      <c r="B146" t="s">
        <v>45</v>
      </c>
      <c r="C14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6" t="s">
        <v>43</v>
      </c>
      <c r="E146" t="s">
        <v>38</v>
      </c>
      <c r="F14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46">
        <f>Таблица2[[#This Row],[team-1-win]]+Таблица2[[#This Row],[team-2-win]]</f>
        <v>1</v>
      </c>
    </row>
    <row r="147" spans="1:7" x14ac:dyDescent="0.25">
      <c r="A147" t="s">
        <v>56</v>
      </c>
      <c r="B147" t="s">
        <v>45</v>
      </c>
      <c r="C14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7" t="s">
        <v>63</v>
      </c>
      <c r="E147" t="s">
        <v>38</v>
      </c>
      <c r="F14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47">
        <f>Таблица2[[#This Row],[team-1-win]]+Таблица2[[#This Row],[team-2-win]]</f>
        <v>1</v>
      </c>
    </row>
    <row r="148" spans="1:7" x14ac:dyDescent="0.25">
      <c r="A148" t="s">
        <v>56</v>
      </c>
      <c r="B148" t="s">
        <v>63</v>
      </c>
      <c r="C14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8" t="s">
        <v>48</v>
      </c>
      <c r="E148" t="s">
        <v>33</v>
      </c>
      <c r="F14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48">
        <f>Таблица2[[#This Row],[team-1-win]]+Таблица2[[#This Row],[team-2-win]]</f>
        <v>1</v>
      </c>
    </row>
    <row r="149" spans="1:7" x14ac:dyDescent="0.25">
      <c r="A149" t="s">
        <v>56</v>
      </c>
      <c r="B149" t="s">
        <v>63</v>
      </c>
      <c r="C14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49" t="s">
        <v>48</v>
      </c>
      <c r="E149" t="s">
        <v>43</v>
      </c>
      <c r="F14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9">
        <f>Таблица2[[#This Row],[team-1-win]]+Таблица2[[#This Row],[team-2-win]]</f>
        <v>1</v>
      </c>
    </row>
    <row r="150" spans="1:7" x14ac:dyDescent="0.25">
      <c r="A150" t="s">
        <v>56</v>
      </c>
      <c r="B150" t="s">
        <v>63</v>
      </c>
      <c r="C15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50" t="s">
        <v>48</v>
      </c>
      <c r="E150" t="s">
        <v>45</v>
      </c>
      <c r="F15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0">
        <f>Таблица2[[#This Row],[team-1-win]]+Таблица2[[#This Row],[team-2-win]]</f>
        <v>1</v>
      </c>
    </row>
    <row r="151" spans="1:7" x14ac:dyDescent="0.25">
      <c r="A151" t="s">
        <v>56</v>
      </c>
      <c r="B151" t="s">
        <v>63</v>
      </c>
      <c r="C15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51" t="s">
        <v>48</v>
      </c>
      <c r="E151" t="s">
        <v>38</v>
      </c>
      <c r="F15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1">
        <f>Таблица2[[#This Row],[team-1-win]]+Таблица2[[#This Row],[team-2-win]]</f>
        <v>1</v>
      </c>
    </row>
    <row r="152" spans="1:7" x14ac:dyDescent="0.25">
      <c r="A152" t="s">
        <v>56</v>
      </c>
      <c r="B152" t="s">
        <v>63</v>
      </c>
      <c r="C15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2" t="s">
        <v>33</v>
      </c>
      <c r="E152" t="s">
        <v>43</v>
      </c>
      <c r="F15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52">
        <f>Таблица2[[#This Row],[team-1-win]]+Таблица2[[#This Row],[team-2-win]]</f>
        <v>1</v>
      </c>
    </row>
    <row r="153" spans="1:7" x14ac:dyDescent="0.25">
      <c r="A153" t="s">
        <v>56</v>
      </c>
      <c r="B153" t="s">
        <v>63</v>
      </c>
      <c r="C15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3" t="s">
        <v>33</v>
      </c>
      <c r="E153" t="s">
        <v>45</v>
      </c>
      <c r="F15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53">
        <f>Таблица2[[#This Row],[team-1-win]]+Таблица2[[#This Row],[team-2-win]]</f>
        <v>1</v>
      </c>
    </row>
    <row r="154" spans="1:7" x14ac:dyDescent="0.25">
      <c r="A154" t="s">
        <v>56</v>
      </c>
      <c r="B154" t="s">
        <v>63</v>
      </c>
      <c r="C15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54" t="s">
        <v>33</v>
      </c>
      <c r="E154" t="s">
        <v>38</v>
      </c>
      <c r="F15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4">
        <f>Таблица2[[#This Row],[team-1-win]]+Таблица2[[#This Row],[team-2-win]]</f>
        <v>1</v>
      </c>
    </row>
    <row r="155" spans="1:7" x14ac:dyDescent="0.25">
      <c r="A155" t="s">
        <v>56</v>
      </c>
      <c r="B155" t="s">
        <v>63</v>
      </c>
      <c r="C15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55" t="s">
        <v>43</v>
      </c>
      <c r="E155" t="s">
        <v>45</v>
      </c>
      <c r="F15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5">
        <f>Таблица2[[#This Row],[team-1-win]]+Таблица2[[#This Row],[team-2-win]]</f>
        <v>1</v>
      </c>
    </row>
    <row r="156" spans="1:7" x14ac:dyDescent="0.25">
      <c r="A156" t="s">
        <v>56</v>
      </c>
      <c r="B156" t="s">
        <v>63</v>
      </c>
      <c r="C15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6" t="s">
        <v>43</v>
      </c>
      <c r="E156" t="s">
        <v>38</v>
      </c>
      <c r="F15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56">
        <f>Таблица2[[#This Row],[team-1-win]]+Таблица2[[#This Row],[team-2-win]]</f>
        <v>1</v>
      </c>
    </row>
    <row r="157" spans="1:7" x14ac:dyDescent="0.25">
      <c r="A157" t="s">
        <v>56</v>
      </c>
      <c r="B157" t="s">
        <v>63</v>
      </c>
      <c r="C15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57" t="s">
        <v>45</v>
      </c>
      <c r="E157" t="s">
        <v>38</v>
      </c>
      <c r="F15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7">
        <f>Таблица2[[#This Row],[team-1-win]]+Таблица2[[#This Row],[team-2-win]]</f>
        <v>1</v>
      </c>
    </row>
    <row r="158" spans="1:7" x14ac:dyDescent="0.25">
      <c r="A158" t="s">
        <v>56</v>
      </c>
      <c r="B158" t="s">
        <v>38</v>
      </c>
      <c r="C15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8" t="s">
        <v>48</v>
      </c>
      <c r="E158" t="s">
        <v>33</v>
      </c>
      <c r="F15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58">
        <f>Таблица2[[#This Row],[team-1-win]]+Таблица2[[#This Row],[team-2-win]]</f>
        <v>1</v>
      </c>
    </row>
    <row r="159" spans="1:7" x14ac:dyDescent="0.25">
      <c r="A159" t="s">
        <v>56</v>
      </c>
      <c r="B159" t="s">
        <v>38</v>
      </c>
      <c r="C15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59" t="s">
        <v>48</v>
      </c>
      <c r="E159" t="s">
        <v>43</v>
      </c>
      <c r="F15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9">
        <f>Таблица2[[#This Row],[team-1-win]]+Таблица2[[#This Row],[team-2-win]]</f>
        <v>1</v>
      </c>
    </row>
    <row r="160" spans="1:7" x14ac:dyDescent="0.25">
      <c r="A160" t="s">
        <v>56</v>
      </c>
      <c r="B160" t="s">
        <v>38</v>
      </c>
      <c r="C16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60" t="s">
        <v>48</v>
      </c>
      <c r="E160" t="s">
        <v>45</v>
      </c>
      <c r="F16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0">
        <f>Таблица2[[#This Row],[team-1-win]]+Таблица2[[#This Row],[team-2-win]]</f>
        <v>1</v>
      </c>
    </row>
    <row r="161" spans="1:7" x14ac:dyDescent="0.25">
      <c r="A161" t="s">
        <v>56</v>
      </c>
      <c r="B161" t="s">
        <v>38</v>
      </c>
      <c r="C16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61" t="s">
        <v>48</v>
      </c>
      <c r="E161" t="s">
        <v>63</v>
      </c>
      <c r="F16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1">
        <f>Таблица2[[#This Row],[team-1-win]]+Таблица2[[#This Row],[team-2-win]]</f>
        <v>1</v>
      </c>
    </row>
    <row r="162" spans="1:7" x14ac:dyDescent="0.25">
      <c r="A162" t="s">
        <v>56</v>
      </c>
      <c r="B162" t="s">
        <v>38</v>
      </c>
      <c r="C16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62" t="s">
        <v>33</v>
      </c>
      <c r="E162" t="s">
        <v>43</v>
      </c>
      <c r="F16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2">
        <f>Таблица2[[#This Row],[team-1-win]]+Таблица2[[#This Row],[team-2-win]]</f>
        <v>1</v>
      </c>
    </row>
    <row r="163" spans="1:7" x14ac:dyDescent="0.25">
      <c r="A163" t="s">
        <v>56</v>
      </c>
      <c r="B163" t="s">
        <v>38</v>
      </c>
      <c r="C16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63" t="s">
        <v>33</v>
      </c>
      <c r="E163" t="s">
        <v>45</v>
      </c>
      <c r="F16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3">
        <f>Таблица2[[#This Row],[team-1-win]]+Таблица2[[#This Row],[team-2-win]]</f>
        <v>1</v>
      </c>
    </row>
    <row r="164" spans="1:7" x14ac:dyDescent="0.25">
      <c r="A164" t="s">
        <v>56</v>
      </c>
      <c r="B164" t="s">
        <v>38</v>
      </c>
      <c r="C16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4" t="s">
        <v>33</v>
      </c>
      <c r="E164" t="s">
        <v>63</v>
      </c>
      <c r="F16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64">
        <f>Таблица2[[#This Row],[team-1-win]]+Таблица2[[#This Row],[team-2-win]]</f>
        <v>1</v>
      </c>
    </row>
    <row r="165" spans="1:7" x14ac:dyDescent="0.25">
      <c r="A165" t="s">
        <v>56</v>
      </c>
      <c r="B165" t="s">
        <v>38</v>
      </c>
      <c r="C16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65" t="s">
        <v>43</v>
      </c>
      <c r="E165" t="s">
        <v>45</v>
      </c>
      <c r="F16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5">
        <f>Таблица2[[#This Row],[team-1-win]]+Таблица2[[#This Row],[team-2-win]]</f>
        <v>1</v>
      </c>
    </row>
    <row r="166" spans="1:7" x14ac:dyDescent="0.25">
      <c r="A166" t="s">
        <v>56</v>
      </c>
      <c r="B166" t="s">
        <v>38</v>
      </c>
      <c r="C16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66" t="s">
        <v>43</v>
      </c>
      <c r="E166" t="s">
        <v>63</v>
      </c>
      <c r="F16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6">
        <f>Таблица2[[#This Row],[team-1-win]]+Таблица2[[#This Row],[team-2-win]]</f>
        <v>1</v>
      </c>
    </row>
    <row r="167" spans="1:7" x14ac:dyDescent="0.25">
      <c r="A167" t="s">
        <v>56</v>
      </c>
      <c r="B167" t="s">
        <v>38</v>
      </c>
      <c r="C16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7" t="s">
        <v>45</v>
      </c>
      <c r="E167" t="s">
        <v>63</v>
      </c>
      <c r="F16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67">
        <f>Таблица2[[#This Row],[team-1-win]]+Таблица2[[#This Row],[team-2-win]]</f>
        <v>1</v>
      </c>
    </row>
    <row r="168" spans="1:7" x14ac:dyDescent="0.25">
      <c r="A168" t="s">
        <v>48</v>
      </c>
      <c r="B168" t="s">
        <v>33</v>
      </c>
      <c r="C16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8" t="s">
        <v>43</v>
      </c>
      <c r="E168" t="s">
        <v>45</v>
      </c>
      <c r="F16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68">
        <f>Таблица2[[#This Row],[team-1-win]]+Таблица2[[#This Row],[team-2-win]]</f>
        <v>1</v>
      </c>
    </row>
    <row r="169" spans="1:7" x14ac:dyDescent="0.25">
      <c r="A169" t="s">
        <v>48</v>
      </c>
      <c r="B169" t="s">
        <v>33</v>
      </c>
      <c r="C16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9" t="s">
        <v>43</v>
      </c>
      <c r="E169" t="s">
        <v>63</v>
      </c>
      <c r="F16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69">
        <f>Таблица2[[#This Row],[team-1-win]]+Таблица2[[#This Row],[team-2-win]]</f>
        <v>1</v>
      </c>
    </row>
    <row r="170" spans="1:7" x14ac:dyDescent="0.25">
      <c r="A170" t="s">
        <v>48</v>
      </c>
      <c r="B170" t="s">
        <v>33</v>
      </c>
      <c r="C17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0" t="s">
        <v>43</v>
      </c>
      <c r="E170" t="s">
        <v>38</v>
      </c>
      <c r="F17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0">
        <f>Таблица2[[#This Row],[team-1-win]]+Таблица2[[#This Row],[team-2-win]]</f>
        <v>1</v>
      </c>
    </row>
    <row r="171" spans="1:7" x14ac:dyDescent="0.25">
      <c r="A171" t="s">
        <v>48</v>
      </c>
      <c r="B171" t="s">
        <v>33</v>
      </c>
      <c r="C17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1" t="s">
        <v>45</v>
      </c>
      <c r="E171" t="s">
        <v>63</v>
      </c>
      <c r="F17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1">
        <f>Таблица2[[#This Row],[team-1-win]]+Таблица2[[#This Row],[team-2-win]]</f>
        <v>1</v>
      </c>
    </row>
    <row r="172" spans="1:7" x14ac:dyDescent="0.25">
      <c r="A172" t="s">
        <v>48</v>
      </c>
      <c r="B172" t="s">
        <v>33</v>
      </c>
      <c r="C17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2" t="s">
        <v>45</v>
      </c>
      <c r="E172" t="s">
        <v>38</v>
      </c>
      <c r="F17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2">
        <f>Таблица2[[#This Row],[team-1-win]]+Таблица2[[#This Row],[team-2-win]]</f>
        <v>1</v>
      </c>
    </row>
    <row r="173" spans="1:7" x14ac:dyDescent="0.25">
      <c r="A173" t="s">
        <v>48</v>
      </c>
      <c r="B173" t="s">
        <v>33</v>
      </c>
      <c r="C17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3" t="s">
        <v>63</v>
      </c>
      <c r="E173" t="s">
        <v>38</v>
      </c>
      <c r="F17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3">
        <f>Таблица2[[#This Row],[team-1-win]]+Таблица2[[#This Row],[team-2-win]]</f>
        <v>1</v>
      </c>
    </row>
    <row r="174" spans="1:7" x14ac:dyDescent="0.25">
      <c r="A174" t="s">
        <v>48</v>
      </c>
      <c r="B174" t="s">
        <v>43</v>
      </c>
      <c r="C17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74" t="s">
        <v>33</v>
      </c>
      <c r="E174" t="s">
        <v>45</v>
      </c>
      <c r="F17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4">
        <f>Таблица2[[#This Row],[team-1-win]]+Таблица2[[#This Row],[team-2-win]]</f>
        <v>1</v>
      </c>
    </row>
    <row r="175" spans="1:7" x14ac:dyDescent="0.25">
      <c r="A175" t="s">
        <v>48</v>
      </c>
      <c r="B175" t="s">
        <v>43</v>
      </c>
      <c r="C17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75" t="s">
        <v>33</v>
      </c>
      <c r="E175" t="s">
        <v>63</v>
      </c>
      <c r="F17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5">
        <f>Таблица2[[#This Row],[team-1-win]]+Таблица2[[#This Row],[team-2-win]]</f>
        <v>1</v>
      </c>
    </row>
    <row r="176" spans="1:7" x14ac:dyDescent="0.25">
      <c r="A176" t="s">
        <v>48</v>
      </c>
      <c r="B176" t="s">
        <v>43</v>
      </c>
      <c r="C17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6" t="s">
        <v>33</v>
      </c>
      <c r="E176" t="s">
        <v>38</v>
      </c>
      <c r="F17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6">
        <f>Таблица2[[#This Row],[team-1-win]]+Таблица2[[#This Row],[team-2-win]]</f>
        <v>1</v>
      </c>
    </row>
    <row r="177" spans="1:7" x14ac:dyDescent="0.25">
      <c r="A177" t="s">
        <v>48</v>
      </c>
      <c r="B177" t="s">
        <v>43</v>
      </c>
      <c r="C17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77" t="s">
        <v>45</v>
      </c>
      <c r="E177" t="s">
        <v>63</v>
      </c>
      <c r="F17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7">
        <f>Таблица2[[#This Row],[team-1-win]]+Таблица2[[#This Row],[team-2-win]]</f>
        <v>1</v>
      </c>
    </row>
    <row r="178" spans="1:7" x14ac:dyDescent="0.25">
      <c r="A178" t="s">
        <v>48</v>
      </c>
      <c r="B178" t="s">
        <v>43</v>
      </c>
      <c r="C17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78" t="s">
        <v>45</v>
      </c>
      <c r="E178" t="s">
        <v>38</v>
      </c>
      <c r="F17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8">
        <f>Таблица2[[#This Row],[team-1-win]]+Таблица2[[#This Row],[team-2-win]]</f>
        <v>1</v>
      </c>
    </row>
    <row r="179" spans="1:7" x14ac:dyDescent="0.25">
      <c r="A179" t="s">
        <v>48</v>
      </c>
      <c r="B179" t="s">
        <v>43</v>
      </c>
      <c r="C17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9" t="s">
        <v>63</v>
      </c>
      <c r="E179" t="s">
        <v>38</v>
      </c>
      <c r="F17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9">
        <f>Таблица2[[#This Row],[team-1-win]]+Таблица2[[#This Row],[team-2-win]]</f>
        <v>1</v>
      </c>
    </row>
    <row r="180" spans="1:7" x14ac:dyDescent="0.25">
      <c r="A180" t="s">
        <v>48</v>
      </c>
      <c r="B180" t="s">
        <v>45</v>
      </c>
      <c r="C18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0" t="s">
        <v>33</v>
      </c>
      <c r="E180" t="s">
        <v>43</v>
      </c>
      <c r="F18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0">
        <f>Таблица2[[#This Row],[team-1-win]]+Таблица2[[#This Row],[team-2-win]]</f>
        <v>1</v>
      </c>
    </row>
    <row r="181" spans="1:7" x14ac:dyDescent="0.25">
      <c r="A181" t="s">
        <v>48</v>
      </c>
      <c r="B181" t="s">
        <v>45</v>
      </c>
      <c r="C18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1" t="s">
        <v>33</v>
      </c>
      <c r="E181" t="s">
        <v>63</v>
      </c>
      <c r="F18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1">
        <f>Таблица2[[#This Row],[team-1-win]]+Таблица2[[#This Row],[team-2-win]]</f>
        <v>1</v>
      </c>
    </row>
    <row r="182" spans="1:7" x14ac:dyDescent="0.25">
      <c r="A182" t="s">
        <v>48</v>
      </c>
      <c r="B182" t="s">
        <v>45</v>
      </c>
      <c r="C18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82" t="s">
        <v>33</v>
      </c>
      <c r="E182" t="s">
        <v>38</v>
      </c>
      <c r="F18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2">
        <f>Таблица2[[#This Row],[team-1-win]]+Таблица2[[#This Row],[team-2-win]]</f>
        <v>1</v>
      </c>
    </row>
    <row r="183" spans="1:7" x14ac:dyDescent="0.25">
      <c r="A183" t="s">
        <v>48</v>
      </c>
      <c r="B183" t="s">
        <v>45</v>
      </c>
      <c r="C18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3" t="s">
        <v>43</v>
      </c>
      <c r="E183" t="s">
        <v>63</v>
      </c>
      <c r="F18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3">
        <f>Таблица2[[#This Row],[team-1-win]]+Таблица2[[#This Row],[team-2-win]]</f>
        <v>1</v>
      </c>
    </row>
    <row r="184" spans="1:7" x14ac:dyDescent="0.25">
      <c r="A184" t="s">
        <v>48</v>
      </c>
      <c r="B184" t="s">
        <v>45</v>
      </c>
      <c r="C18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4" t="s">
        <v>43</v>
      </c>
      <c r="E184" t="s">
        <v>38</v>
      </c>
      <c r="F18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4">
        <f>Таблица2[[#This Row],[team-1-win]]+Таблица2[[#This Row],[team-2-win]]</f>
        <v>1</v>
      </c>
    </row>
    <row r="185" spans="1:7" x14ac:dyDescent="0.25">
      <c r="A185" t="s">
        <v>48</v>
      </c>
      <c r="B185" t="s">
        <v>45</v>
      </c>
      <c r="C18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85" t="s">
        <v>63</v>
      </c>
      <c r="E185" t="s">
        <v>38</v>
      </c>
      <c r="F18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5">
        <f>Таблица2[[#This Row],[team-1-win]]+Таблица2[[#This Row],[team-2-win]]</f>
        <v>1</v>
      </c>
    </row>
    <row r="186" spans="1:7" x14ac:dyDescent="0.25">
      <c r="A186" t="s">
        <v>48</v>
      </c>
      <c r="B186" t="s">
        <v>63</v>
      </c>
      <c r="C18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6" t="s">
        <v>33</v>
      </c>
      <c r="E186" t="s">
        <v>43</v>
      </c>
      <c r="F18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6">
        <f>Таблица2[[#This Row],[team-1-win]]+Таблица2[[#This Row],[team-2-win]]</f>
        <v>1</v>
      </c>
    </row>
    <row r="187" spans="1:7" x14ac:dyDescent="0.25">
      <c r="A187" t="s">
        <v>48</v>
      </c>
      <c r="B187" t="s">
        <v>63</v>
      </c>
      <c r="C18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87" t="s">
        <v>33</v>
      </c>
      <c r="E187" t="s">
        <v>45</v>
      </c>
      <c r="F18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7">
        <f>Таблица2[[#This Row],[team-1-win]]+Таблица2[[#This Row],[team-2-win]]</f>
        <v>1</v>
      </c>
    </row>
    <row r="188" spans="1:7" x14ac:dyDescent="0.25">
      <c r="A188" t="s">
        <v>48</v>
      </c>
      <c r="B188" t="s">
        <v>63</v>
      </c>
      <c r="C18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88" t="s">
        <v>33</v>
      </c>
      <c r="E188" t="s">
        <v>38</v>
      </c>
      <c r="F18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8">
        <f>Таблица2[[#This Row],[team-1-win]]+Таблица2[[#This Row],[team-2-win]]</f>
        <v>1</v>
      </c>
    </row>
    <row r="189" spans="1:7" x14ac:dyDescent="0.25">
      <c r="A189" t="s">
        <v>48</v>
      </c>
      <c r="B189" t="s">
        <v>63</v>
      </c>
      <c r="C18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89" t="s">
        <v>43</v>
      </c>
      <c r="E189" t="s">
        <v>45</v>
      </c>
      <c r="F18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9">
        <f>Таблица2[[#This Row],[team-1-win]]+Таблица2[[#This Row],[team-2-win]]</f>
        <v>1</v>
      </c>
    </row>
    <row r="190" spans="1:7" x14ac:dyDescent="0.25">
      <c r="A190" t="s">
        <v>48</v>
      </c>
      <c r="B190" t="s">
        <v>63</v>
      </c>
      <c r="C19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90" t="s">
        <v>43</v>
      </c>
      <c r="E190" t="s">
        <v>38</v>
      </c>
      <c r="F19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0">
        <f>Таблица2[[#This Row],[team-1-win]]+Таблица2[[#This Row],[team-2-win]]</f>
        <v>1</v>
      </c>
    </row>
    <row r="191" spans="1:7" x14ac:dyDescent="0.25">
      <c r="A191" t="s">
        <v>48</v>
      </c>
      <c r="B191" t="s">
        <v>63</v>
      </c>
      <c r="C19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1" t="s">
        <v>45</v>
      </c>
      <c r="E191" t="s">
        <v>38</v>
      </c>
      <c r="F19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91">
        <f>Таблица2[[#This Row],[team-1-win]]+Таблица2[[#This Row],[team-2-win]]</f>
        <v>1</v>
      </c>
    </row>
    <row r="192" spans="1:7" x14ac:dyDescent="0.25">
      <c r="A192" t="s">
        <v>48</v>
      </c>
      <c r="B192" t="s">
        <v>38</v>
      </c>
      <c r="C19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2" t="s">
        <v>33</v>
      </c>
      <c r="E192" t="s">
        <v>43</v>
      </c>
      <c r="F19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92">
        <f>Таблица2[[#This Row],[team-1-win]]+Таблица2[[#This Row],[team-2-win]]</f>
        <v>1</v>
      </c>
    </row>
    <row r="193" spans="1:7" x14ac:dyDescent="0.25">
      <c r="A193" t="s">
        <v>48</v>
      </c>
      <c r="B193" t="s">
        <v>38</v>
      </c>
      <c r="C19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93" t="s">
        <v>33</v>
      </c>
      <c r="E193" t="s">
        <v>45</v>
      </c>
      <c r="F19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3">
        <f>Таблица2[[#This Row],[team-1-win]]+Таблица2[[#This Row],[team-2-win]]</f>
        <v>1</v>
      </c>
    </row>
    <row r="194" spans="1:7" x14ac:dyDescent="0.25">
      <c r="A194" t="s">
        <v>48</v>
      </c>
      <c r="B194" t="s">
        <v>38</v>
      </c>
      <c r="C19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4" t="s">
        <v>33</v>
      </c>
      <c r="E194" t="s">
        <v>63</v>
      </c>
      <c r="F19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94">
        <f>Таблица2[[#This Row],[team-1-win]]+Таблица2[[#This Row],[team-2-win]]</f>
        <v>1</v>
      </c>
    </row>
    <row r="195" spans="1:7" x14ac:dyDescent="0.25">
      <c r="A195" t="s">
        <v>48</v>
      </c>
      <c r="B195" t="s">
        <v>38</v>
      </c>
      <c r="C19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5" t="s">
        <v>43</v>
      </c>
      <c r="E195" t="s">
        <v>45</v>
      </c>
      <c r="F19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95">
        <f>Таблица2[[#This Row],[team-1-win]]+Таблица2[[#This Row],[team-2-win]]</f>
        <v>1</v>
      </c>
    </row>
    <row r="196" spans="1:7" x14ac:dyDescent="0.25">
      <c r="A196" t="s">
        <v>48</v>
      </c>
      <c r="B196" t="s">
        <v>38</v>
      </c>
      <c r="C19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96" t="s">
        <v>43</v>
      </c>
      <c r="E196" t="s">
        <v>63</v>
      </c>
      <c r="F19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6">
        <f>Таблица2[[#This Row],[team-1-win]]+Таблица2[[#This Row],[team-2-win]]</f>
        <v>1</v>
      </c>
    </row>
    <row r="197" spans="1:7" x14ac:dyDescent="0.25">
      <c r="A197" t="s">
        <v>48</v>
      </c>
      <c r="B197" t="s">
        <v>38</v>
      </c>
      <c r="C19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7" t="s">
        <v>45</v>
      </c>
      <c r="E197" t="s">
        <v>63</v>
      </c>
      <c r="F19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97">
        <f>Таблица2[[#This Row],[team-1-win]]+Таблица2[[#This Row],[team-2-win]]</f>
        <v>1</v>
      </c>
    </row>
    <row r="198" spans="1:7" x14ac:dyDescent="0.25">
      <c r="A198" t="s">
        <v>33</v>
      </c>
      <c r="B198" t="s">
        <v>43</v>
      </c>
      <c r="C19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98" t="s">
        <v>45</v>
      </c>
      <c r="E198" t="s">
        <v>63</v>
      </c>
      <c r="F19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8">
        <f>Таблица2[[#This Row],[team-1-win]]+Таблица2[[#This Row],[team-2-win]]</f>
        <v>1</v>
      </c>
    </row>
    <row r="199" spans="1:7" x14ac:dyDescent="0.25">
      <c r="A199" t="s">
        <v>33</v>
      </c>
      <c r="B199" t="s">
        <v>43</v>
      </c>
      <c r="C19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99" t="s">
        <v>45</v>
      </c>
      <c r="E199" t="s">
        <v>38</v>
      </c>
      <c r="F19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9">
        <f>Таблица2[[#This Row],[team-1-win]]+Таблица2[[#This Row],[team-2-win]]</f>
        <v>1</v>
      </c>
    </row>
    <row r="200" spans="1:7" x14ac:dyDescent="0.25">
      <c r="A200" t="s">
        <v>33</v>
      </c>
      <c r="B200" t="s">
        <v>43</v>
      </c>
      <c r="C20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0" t="s">
        <v>63</v>
      </c>
      <c r="E200" t="s">
        <v>38</v>
      </c>
      <c r="F20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0">
        <f>Таблица2[[#This Row],[team-1-win]]+Таблица2[[#This Row],[team-2-win]]</f>
        <v>1</v>
      </c>
    </row>
    <row r="201" spans="1:7" x14ac:dyDescent="0.25">
      <c r="A201" t="s">
        <v>33</v>
      </c>
      <c r="B201" t="s">
        <v>45</v>
      </c>
      <c r="C20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1" t="s">
        <v>43</v>
      </c>
      <c r="E201" t="s">
        <v>63</v>
      </c>
      <c r="F20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1">
        <f>Таблица2[[#This Row],[team-1-win]]+Таблица2[[#This Row],[team-2-win]]</f>
        <v>1</v>
      </c>
    </row>
    <row r="202" spans="1:7" x14ac:dyDescent="0.25">
      <c r="A202" t="s">
        <v>33</v>
      </c>
      <c r="B202" t="s">
        <v>45</v>
      </c>
      <c r="C20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2" t="s">
        <v>43</v>
      </c>
      <c r="E202" t="s">
        <v>38</v>
      </c>
      <c r="F20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2">
        <f>Таблица2[[#This Row],[team-1-win]]+Таблица2[[#This Row],[team-2-win]]</f>
        <v>1</v>
      </c>
    </row>
    <row r="203" spans="1:7" x14ac:dyDescent="0.25">
      <c r="A203" t="s">
        <v>33</v>
      </c>
      <c r="B203" t="s">
        <v>45</v>
      </c>
      <c r="C20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3" t="s">
        <v>63</v>
      </c>
      <c r="E203" t="s">
        <v>38</v>
      </c>
      <c r="F20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3">
        <f>Таблица2[[#This Row],[team-1-win]]+Таблица2[[#This Row],[team-2-win]]</f>
        <v>1</v>
      </c>
    </row>
    <row r="204" spans="1:7" x14ac:dyDescent="0.25">
      <c r="A204" t="s">
        <v>33</v>
      </c>
      <c r="B204" t="s">
        <v>63</v>
      </c>
      <c r="C20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4" t="s">
        <v>43</v>
      </c>
      <c r="E204" t="s">
        <v>45</v>
      </c>
      <c r="F20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4">
        <f>Таблица2[[#This Row],[team-1-win]]+Таблица2[[#This Row],[team-2-win]]</f>
        <v>1</v>
      </c>
    </row>
    <row r="205" spans="1:7" x14ac:dyDescent="0.25">
      <c r="A205" t="s">
        <v>33</v>
      </c>
      <c r="B205" t="s">
        <v>63</v>
      </c>
      <c r="C20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5" t="s">
        <v>43</v>
      </c>
      <c r="E205" t="s">
        <v>38</v>
      </c>
      <c r="F20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5">
        <f>Таблица2[[#This Row],[team-1-win]]+Таблица2[[#This Row],[team-2-win]]</f>
        <v>1</v>
      </c>
    </row>
    <row r="206" spans="1:7" x14ac:dyDescent="0.25">
      <c r="A206" t="s">
        <v>33</v>
      </c>
      <c r="B206" t="s">
        <v>63</v>
      </c>
      <c r="C20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6" t="s">
        <v>45</v>
      </c>
      <c r="E206" t="s">
        <v>38</v>
      </c>
      <c r="F20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6">
        <f>Таблица2[[#This Row],[team-1-win]]+Таблица2[[#This Row],[team-2-win]]</f>
        <v>1</v>
      </c>
    </row>
    <row r="207" spans="1:7" x14ac:dyDescent="0.25">
      <c r="A207" t="s">
        <v>33</v>
      </c>
      <c r="B207" t="s">
        <v>38</v>
      </c>
      <c r="C20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7" t="s">
        <v>43</v>
      </c>
      <c r="E207" t="s">
        <v>45</v>
      </c>
      <c r="F20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7">
        <f>Таблица2[[#This Row],[team-1-win]]+Таблица2[[#This Row],[team-2-win]]</f>
        <v>1</v>
      </c>
    </row>
    <row r="208" spans="1:7" x14ac:dyDescent="0.25">
      <c r="A208" t="s">
        <v>33</v>
      </c>
      <c r="B208" t="s">
        <v>38</v>
      </c>
      <c r="C20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8" t="s">
        <v>43</v>
      </c>
      <c r="E208" t="s">
        <v>63</v>
      </c>
      <c r="F20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8">
        <f>Таблица2[[#This Row],[team-1-win]]+Таблица2[[#This Row],[team-2-win]]</f>
        <v>1</v>
      </c>
    </row>
    <row r="209" spans="1:7" x14ac:dyDescent="0.25">
      <c r="A209" t="s">
        <v>33</v>
      </c>
      <c r="B209" t="s">
        <v>38</v>
      </c>
      <c r="C20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09" t="s">
        <v>45</v>
      </c>
      <c r="E209" t="s">
        <v>63</v>
      </c>
      <c r="F20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9">
        <f>Таблица2[[#This Row],[team-1-win]]+Таблица2[[#This Row],[team-2-win]]</f>
        <v>1</v>
      </c>
    </row>
    <row r="210" spans="1:7" x14ac:dyDescent="0.25">
      <c r="A210" t="s">
        <v>43</v>
      </c>
      <c r="B210" t="s">
        <v>45</v>
      </c>
      <c r="C21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10" t="s">
        <v>63</v>
      </c>
      <c r="E210" t="s">
        <v>38</v>
      </c>
      <c r="F21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10">
        <f>Таблица2[[#This Row],[team-1-win]]+Таблица2[[#This Row],[team-2-win]]</f>
        <v>1</v>
      </c>
    </row>
    <row r="211" spans="1:7" x14ac:dyDescent="0.25">
      <c r="A211" t="s">
        <v>43</v>
      </c>
      <c r="B211" t="s">
        <v>63</v>
      </c>
      <c r="C21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11" t="s">
        <v>45</v>
      </c>
      <c r="E211" t="s">
        <v>38</v>
      </c>
      <c r="F21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11">
        <f>Таблица2[[#This Row],[team-1-win]]+Таблица2[[#This Row],[team-2-win]]</f>
        <v>1</v>
      </c>
    </row>
    <row r="212" spans="1:7" x14ac:dyDescent="0.25">
      <c r="A212" t="s">
        <v>43</v>
      </c>
      <c r="B212" t="s">
        <v>38</v>
      </c>
      <c r="C21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12" t="s">
        <v>45</v>
      </c>
      <c r="E212" t="s">
        <v>63</v>
      </c>
      <c r="F21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12">
        <f>Таблица2[[#This Row],[team-1-win]]+Таблица2[[#This Row],[team-2-win]]</f>
        <v>1</v>
      </c>
    </row>
  </sheetData>
  <mergeCells count="2">
    <mergeCell ref="A1:G1"/>
    <mergeCell ref="I1:M1"/>
  </mergeCells>
  <phoneticPr fontId="3" type="noConversion"/>
  <conditionalFormatting sqref="M3:M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02A4-1B7E-462F-A7A0-BC39936C76A9}">
  <dimension ref="A1:BA87"/>
  <sheetViews>
    <sheetView workbookViewId="0">
      <selection activeCell="B15" sqref="B15"/>
    </sheetView>
  </sheetViews>
  <sheetFormatPr defaultRowHeight="15" x14ac:dyDescent="0.25"/>
  <cols>
    <col min="1" max="1" width="36.85546875" bestFit="1" customWidth="1"/>
    <col min="2" max="2" width="10.5703125" bestFit="1" customWidth="1"/>
    <col min="3" max="3" width="14" bestFit="1" customWidth="1"/>
    <col min="4" max="4" width="13.7109375" bestFit="1" customWidth="1"/>
    <col min="5" max="5" width="13.28515625" bestFit="1" customWidth="1"/>
    <col min="6" max="9" width="18" bestFit="1" customWidth="1"/>
    <col min="10" max="10" width="10.5703125" bestFit="1" customWidth="1"/>
    <col min="11" max="11" width="14" bestFit="1" customWidth="1"/>
    <col min="12" max="12" width="13.7109375" bestFit="1" customWidth="1"/>
    <col min="13" max="13" width="13.28515625" bestFit="1" customWidth="1"/>
    <col min="14" max="14" width="18" bestFit="1" customWidth="1"/>
    <col min="15" max="15" width="18.28515625" bestFit="1" customWidth="1"/>
    <col min="16" max="17" width="18" bestFit="1" customWidth="1"/>
    <col min="18" max="18" width="10.5703125" bestFit="1" customWidth="1"/>
    <col min="19" max="19" width="14" bestFit="1" customWidth="1"/>
    <col min="20" max="20" width="13.7109375" bestFit="1" customWidth="1"/>
    <col min="21" max="21" width="13.28515625" bestFit="1" customWidth="1"/>
    <col min="22" max="22" width="18.42578125" bestFit="1" customWidth="1"/>
    <col min="23" max="23" width="18.7109375" bestFit="1" customWidth="1"/>
    <col min="24" max="24" width="18" bestFit="1" customWidth="1"/>
    <col min="25" max="25" width="18.28515625" bestFit="1" customWidth="1"/>
    <col min="26" max="26" width="8.7109375" bestFit="1" customWidth="1"/>
    <col min="27" max="27" width="12.140625" bestFit="1" customWidth="1"/>
    <col min="28" max="28" width="11.85546875" bestFit="1" customWidth="1"/>
    <col min="29" max="29" width="11.42578125" bestFit="1" customWidth="1"/>
    <col min="30" max="30" width="16.140625" bestFit="1" customWidth="1"/>
    <col min="31" max="31" width="18.85546875" bestFit="1" customWidth="1"/>
    <col min="32" max="33" width="16.140625" bestFit="1" customWidth="1"/>
    <col min="34" max="34" width="8.7109375" bestFit="1" customWidth="1"/>
    <col min="35" max="35" width="12.140625" bestFit="1" customWidth="1"/>
    <col min="36" max="36" width="11.85546875" bestFit="1" customWidth="1"/>
    <col min="37" max="37" width="11.42578125" bestFit="1" customWidth="1"/>
    <col min="38" max="39" width="16.140625" bestFit="1" customWidth="1"/>
    <col min="40" max="40" width="19.42578125" bestFit="1" customWidth="1"/>
    <col min="41" max="41" width="16.140625" bestFit="1" customWidth="1"/>
    <col min="42" max="42" width="11.42578125" bestFit="1" customWidth="1"/>
    <col min="43" max="43" width="12.140625" bestFit="1" customWidth="1"/>
    <col min="44" max="44" width="11.85546875" bestFit="1" customWidth="1"/>
    <col min="45" max="45" width="11.42578125" bestFit="1" customWidth="1"/>
    <col min="46" max="46" width="16.140625" bestFit="1" customWidth="1"/>
    <col min="47" max="47" width="19.140625" bestFit="1" customWidth="1"/>
    <col min="48" max="48" width="16.140625" bestFit="1" customWidth="1"/>
    <col min="49" max="49" width="19.85546875" bestFit="1" customWidth="1"/>
    <col min="50" max="50" width="9.85546875" bestFit="1" customWidth="1"/>
    <col min="51" max="51" width="7.85546875" bestFit="1" customWidth="1"/>
    <col min="52" max="52" width="12.7109375" bestFit="1" customWidth="1"/>
    <col min="53" max="53" width="9" bestFit="1" customWidth="1"/>
  </cols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184</v>
      </c>
      <c r="S1" t="s">
        <v>185</v>
      </c>
      <c r="T1" t="s">
        <v>186</v>
      </c>
      <c r="U1" t="s">
        <v>187</v>
      </c>
      <c r="V1" t="s">
        <v>188</v>
      </c>
      <c r="W1" t="s">
        <v>189</v>
      </c>
      <c r="X1" t="s">
        <v>190</v>
      </c>
      <c r="Y1" t="s">
        <v>191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140</v>
      </c>
      <c r="AN1" t="s">
        <v>30</v>
      </c>
      <c r="AO1" t="s">
        <v>31</v>
      </c>
      <c r="AP1" t="s">
        <v>192</v>
      </c>
      <c r="AQ1" t="s">
        <v>193</v>
      </c>
      <c r="AR1" t="s">
        <v>194</v>
      </c>
      <c r="AS1" t="s">
        <v>195</v>
      </c>
      <c r="AT1" t="s">
        <v>196</v>
      </c>
      <c r="AU1" t="s">
        <v>197</v>
      </c>
      <c r="AV1" t="s">
        <v>198</v>
      </c>
      <c r="AW1" t="s">
        <v>199</v>
      </c>
      <c r="AX1" t="s">
        <v>64</v>
      </c>
      <c r="AY1" t="s">
        <v>32</v>
      </c>
      <c r="AZ1" t="s">
        <v>348</v>
      </c>
      <c r="BA1" t="s">
        <v>349</v>
      </c>
    </row>
    <row r="2" spans="1:53" x14ac:dyDescent="0.25">
      <c r="A2" t="s">
        <v>263</v>
      </c>
      <c r="B2" t="s">
        <v>53</v>
      </c>
      <c r="C2">
        <v>3</v>
      </c>
      <c r="D2">
        <v>2</v>
      </c>
      <c r="E2">
        <v>1</v>
      </c>
      <c r="F2" t="s">
        <v>54</v>
      </c>
      <c r="G2" t="s">
        <v>55</v>
      </c>
      <c r="H2" t="s">
        <v>108</v>
      </c>
      <c r="I2" t="s">
        <v>109</v>
      </c>
      <c r="J2" t="s">
        <v>56</v>
      </c>
      <c r="K2">
        <v>1</v>
      </c>
      <c r="M2">
        <v>2</v>
      </c>
      <c r="N2" t="s">
        <v>68</v>
      </c>
      <c r="R2" t="s">
        <v>48</v>
      </c>
      <c r="S2">
        <v>1</v>
      </c>
      <c r="U2">
        <v>1</v>
      </c>
      <c r="V2" t="s">
        <v>49</v>
      </c>
      <c r="W2" t="s">
        <v>85</v>
      </c>
      <c r="Z2" t="s">
        <v>33</v>
      </c>
      <c r="AA2">
        <v>1</v>
      </c>
      <c r="AC2">
        <v>1</v>
      </c>
      <c r="AD2" t="s">
        <v>65</v>
      </c>
      <c r="AE2" t="s">
        <v>35</v>
      </c>
      <c r="AF2" t="s">
        <v>36</v>
      </c>
      <c r="AH2" t="s">
        <v>43</v>
      </c>
      <c r="AI2">
        <v>1</v>
      </c>
      <c r="AK2">
        <v>3</v>
      </c>
      <c r="AL2" t="s">
        <v>73</v>
      </c>
      <c r="AM2" t="s">
        <v>157</v>
      </c>
      <c r="AN2" t="s">
        <v>111</v>
      </c>
      <c r="AO2" t="s">
        <v>112</v>
      </c>
      <c r="AP2" t="s">
        <v>45</v>
      </c>
      <c r="AQ2">
        <v>1</v>
      </c>
      <c r="AS2">
        <v>1</v>
      </c>
      <c r="AT2" t="s">
        <v>89</v>
      </c>
      <c r="AU2" t="s">
        <v>76</v>
      </c>
      <c r="AX2">
        <v>17</v>
      </c>
      <c r="AY2">
        <v>74</v>
      </c>
      <c r="AZ2">
        <v>30</v>
      </c>
      <c r="BA2">
        <v>2</v>
      </c>
    </row>
    <row r="3" spans="1:53" x14ac:dyDescent="0.25">
      <c r="A3" t="s">
        <v>264</v>
      </c>
      <c r="B3" t="s">
        <v>53</v>
      </c>
      <c r="C3">
        <v>3</v>
      </c>
      <c r="D3">
        <v>1</v>
      </c>
      <c r="E3">
        <v>3</v>
      </c>
      <c r="F3" t="s">
        <v>54</v>
      </c>
      <c r="G3" t="s">
        <v>55</v>
      </c>
      <c r="J3" t="s">
        <v>56</v>
      </c>
      <c r="K3">
        <v>1</v>
      </c>
      <c r="M3">
        <v>1</v>
      </c>
      <c r="N3" t="s">
        <v>68</v>
      </c>
      <c r="R3" t="s">
        <v>48</v>
      </c>
      <c r="S3">
        <v>1</v>
      </c>
      <c r="U3">
        <v>1</v>
      </c>
      <c r="V3" t="s">
        <v>49</v>
      </c>
      <c r="W3" t="s">
        <v>71</v>
      </c>
      <c r="Z3" t="s">
        <v>33</v>
      </c>
      <c r="AA3">
        <v>1</v>
      </c>
      <c r="AC3">
        <v>1</v>
      </c>
      <c r="AD3" t="s">
        <v>65</v>
      </c>
      <c r="AE3" t="s">
        <v>35</v>
      </c>
      <c r="AH3" t="s">
        <v>43</v>
      </c>
      <c r="AI3">
        <v>1</v>
      </c>
      <c r="AK3">
        <v>2</v>
      </c>
      <c r="AL3" t="s">
        <v>73</v>
      </c>
      <c r="AM3" t="s">
        <v>74</v>
      </c>
      <c r="AP3" t="s">
        <v>63</v>
      </c>
      <c r="AQ3">
        <v>1</v>
      </c>
      <c r="AS3">
        <v>1</v>
      </c>
      <c r="AT3" t="s">
        <v>72</v>
      </c>
      <c r="AU3" t="s">
        <v>167</v>
      </c>
      <c r="AV3" t="s">
        <v>119</v>
      </c>
      <c r="AW3" t="s">
        <v>170</v>
      </c>
      <c r="AX3">
        <v>12</v>
      </c>
      <c r="AY3">
        <v>60</v>
      </c>
      <c r="AZ3">
        <v>30</v>
      </c>
      <c r="BA3">
        <v>2</v>
      </c>
    </row>
    <row r="4" spans="1:53" x14ac:dyDescent="0.25">
      <c r="A4" t="s">
        <v>265</v>
      </c>
      <c r="B4" t="s">
        <v>53</v>
      </c>
      <c r="C4">
        <v>1</v>
      </c>
      <c r="D4">
        <v>1</v>
      </c>
      <c r="E4">
        <v>2</v>
      </c>
      <c r="F4" t="s">
        <v>54</v>
      </c>
      <c r="G4" t="s">
        <v>55</v>
      </c>
      <c r="J4" t="s">
        <v>56</v>
      </c>
      <c r="K4">
        <v>1</v>
      </c>
      <c r="M4">
        <v>1</v>
      </c>
      <c r="N4" t="s">
        <v>141</v>
      </c>
      <c r="O4" t="s">
        <v>69</v>
      </c>
      <c r="R4" t="s">
        <v>48</v>
      </c>
      <c r="S4">
        <v>1</v>
      </c>
      <c r="U4">
        <v>1</v>
      </c>
      <c r="V4" t="s">
        <v>49</v>
      </c>
      <c r="W4" t="s">
        <v>71</v>
      </c>
      <c r="Z4" t="s">
        <v>33</v>
      </c>
      <c r="AA4">
        <v>1</v>
      </c>
      <c r="AC4">
        <v>1</v>
      </c>
      <c r="AD4" t="s">
        <v>65</v>
      </c>
      <c r="AE4" t="s">
        <v>35</v>
      </c>
      <c r="AF4" t="s">
        <v>36</v>
      </c>
      <c r="AH4" t="s">
        <v>43</v>
      </c>
      <c r="AI4">
        <v>1</v>
      </c>
      <c r="AK4">
        <v>1</v>
      </c>
      <c r="AL4" t="s">
        <v>73</v>
      </c>
      <c r="AP4" t="s">
        <v>38</v>
      </c>
      <c r="AQ4">
        <v>1</v>
      </c>
      <c r="AR4">
        <v>1</v>
      </c>
      <c r="AS4">
        <v>1</v>
      </c>
      <c r="AT4" t="s">
        <v>67</v>
      </c>
      <c r="AU4" t="s">
        <v>70</v>
      </c>
      <c r="AV4" t="s">
        <v>175</v>
      </c>
      <c r="AX4">
        <v>8</v>
      </c>
      <c r="AY4">
        <v>56</v>
      </c>
      <c r="AZ4">
        <v>30</v>
      </c>
      <c r="BA4">
        <v>2</v>
      </c>
    </row>
    <row r="5" spans="1:53" x14ac:dyDescent="0.25">
      <c r="A5" t="s">
        <v>266</v>
      </c>
      <c r="B5" t="s">
        <v>53</v>
      </c>
      <c r="C5">
        <v>2</v>
      </c>
      <c r="D5">
        <v>1</v>
      </c>
      <c r="E5">
        <v>1</v>
      </c>
      <c r="F5" t="s">
        <v>54</v>
      </c>
      <c r="G5" t="s">
        <v>55</v>
      </c>
      <c r="J5" t="s">
        <v>56</v>
      </c>
      <c r="K5">
        <v>1</v>
      </c>
      <c r="M5">
        <v>1</v>
      </c>
      <c r="N5" t="s">
        <v>68</v>
      </c>
      <c r="O5" t="s">
        <v>69</v>
      </c>
      <c r="P5" t="s">
        <v>144</v>
      </c>
      <c r="R5" t="s">
        <v>48</v>
      </c>
      <c r="S5">
        <v>1</v>
      </c>
      <c r="U5">
        <v>1</v>
      </c>
      <c r="V5" t="s">
        <v>49</v>
      </c>
      <c r="W5" t="s">
        <v>71</v>
      </c>
      <c r="X5" t="s">
        <v>148</v>
      </c>
      <c r="Z5" t="s">
        <v>33</v>
      </c>
      <c r="AA5">
        <v>1</v>
      </c>
      <c r="AC5">
        <v>1</v>
      </c>
      <c r="AD5" t="s">
        <v>65</v>
      </c>
      <c r="AE5" t="s">
        <v>35</v>
      </c>
      <c r="AF5" t="s">
        <v>36</v>
      </c>
      <c r="AH5" t="s">
        <v>45</v>
      </c>
      <c r="AI5">
        <v>1</v>
      </c>
      <c r="AK5">
        <v>1</v>
      </c>
      <c r="AL5" t="s">
        <v>89</v>
      </c>
      <c r="AM5" t="s">
        <v>76</v>
      </c>
      <c r="AP5" t="s">
        <v>63</v>
      </c>
      <c r="AQ5">
        <v>1</v>
      </c>
      <c r="AS5">
        <v>2</v>
      </c>
      <c r="AT5" t="s">
        <v>118</v>
      </c>
      <c r="AU5" t="s">
        <v>103</v>
      </c>
      <c r="AV5" t="s">
        <v>168</v>
      </c>
      <c r="AX5">
        <v>12</v>
      </c>
      <c r="AY5">
        <v>76</v>
      </c>
      <c r="AZ5">
        <v>30</v>
      </c>
      <c r="BA5">
        <v>2</v>
      </c>
    </row>
    <row r="6" spans="1:53" x14ac:dyDescent="0.25">
      <c r="A6" t="s">
        <v>267</v>
      </c>
      <c r="B6" t="s">
        <v>53</v>
      </c>
      <c r="C6">
        <v>2</v>
      </c>
      <c r="D6">
        <v>1</v>
      </c>
      <c r="E6">
        <v>1</v>
      </c>
      <c r="F6" t="s">
        <v>54</v>
      </c>
      <c r="G6" t="s">
        <v>84</v>
      </c>
      <c r="H6" t="s">
        <v>135</v>
      </c>
      <c r="I6" t="s">
        <v>137</v>
      </c>
      <c r="J6" t="s">
        <v>56</v>
      </c>
      <c r="K6">
        <v>1</v>
      </c>
      <c r="M6">
        <v>1</v>
      </c>
      <c r="N6" t="s">
        <v>68</v>
      </c>
      <c r="R6" t="s">
        <v>48</v>
      </c>
      <c r="S6">
        <v>1</v>
      </c>
      <c r="U6">
        <v>1</v>
      </c>
      <c r="V6" t="s">
        <v>49</v>
      </c>
      <c r="Z6" t="s">
        <v>33</v>
      </c>
      <c r="AA6">
        <v>1</v>
      </c>
      <c r="AC6">
        <v>1</v>
      </c>
      <c r="AD6" t="s">
        <v>65</v>
      </c>
      <c r="AE6" t="s">
        <v>151</v>
      </c>
      <c r="AH6" t="s">
        <v>45</v>
      </c>
      <c r="AI6">
        <v>1</v>
      </c>
      <c r="AK6">
        <v>1</v>
      </c>
      <c r="AL6" t="s">
        <v>89</v>
      </c>
      <c r="AM6" t="s">
        <v>76</v>
      </c>
      <c r="AP6" t="s">
        <v>38</v>
      </c>
      <c r="AQ6">
        <v>1</v>
      </c>
      <c r="AR6">
        <v>1</v>
      </c>
      <c r="AS6">
        <v>2</v>
      </c>
      <c r="AT6" t="s">
        <v>67</v>
      </c>
      <c r="AU6" t="s">
        <v>105</v>
      </c>
      <c r="AV6" t="s">
        <v>175</v>
      </c>
      <c r="AX6">
        <v>9</v>
      </c>
      <c r="AY6">
        <v>57</v>
      </c>
      <c r="AZ6">
        <v>30</v>
      </c>
      <c r="BA6">
        <v>2</v>
      </c>
    </row>
    <row r="7" spans="1:53" x14ac:dyDescent="0.25">
      <c r="A7" t="s">
        <v>268</v>
      </c>
      <c r="B7" t="s">
        <v>53</v>
      </c>
      <c r="C7">
        <v>2</v>
      </c>
      <c r="D7">
        <v>1</v>
      </c>
      <c r="E7">
        <v>1</v>
      </c>
      <c r="F7" t="s">
        <v>54</v>
      </c>
      <c r="G7" t="s">
        <v>55</v>
      </c>
      <c r="J7" t="s">
        <v>56</v>
      </c>
      <c r="K7">
        <v>1</v>
      </c>
      <c r="M7">
        <v>1</v>
      </c>
      <c r="N7" t="s">
        <v>68</v>
      </c>
      <c r="R7" t="s">
        <v>48</v>
      </c>
      <c r="S7">
        <v>1</v>
      </c>
      <c r="U7">
        <v>1</v>
      </c>
      <c r="V7" t="s">
        <v>93</v>
      </c>
      <c r="W7" t="s">
        <v>71</v>
      </c>
      <c r="X7" t="s">
        <v>148</v>
      </c>
      <c r="Y7" t="s">
        <v>149</v>
      </c>
      <c r="Z7" t="s">
        <v>33</v>
      </c>
      <c r="AA7">
        <v>1</v>
      </c>
      <c r="AC7">
        <v>3</v>
      </c>
      <c r="AD7" t="s">
        <v>65</v>
      </c>
      <c r="AE7" t="s">
        <v>35</v>
      </c>
      <c r="AF7" t="s">
        <v>36</v>
      </c>
      <c r="AH7" t="s">
        <v>63</v>
      </c>
      <c r="AI7">
        <v>1</v>
      </c>
      <c r="AK7">
        <v>1</v>
      </c>
      <c r="AL7" t="s">
        <v>72</v>
      </c>
      <c r="AP7" t="s">
        <v>38</v>
      </c>
      <c r="AQ7">
        <v>1</v>
      </c>
      <c r="AR7">
        <v>1</v>
      </c>
      <c r="AS7">
        <v>1</v>
      </c>
      <c r="AT7" t="s">
        <v>67</v>
      </c>
      <c r="AU7" t="s">
        <v>70</v>
      </c>
      <c r="AX7">
        <v>10</v>
      </c>
      <c r="AY7">
        <v>58</v>
      </c>
      <c r="AZ7">
        <v>30</v>
      </c>
      <c r="BA7">
        <v>2</v>
      </c>
    </row>
    <row r="8" spans="1:53" x14ac:dyDescent="0.25">
      <c r="A8" t="s">
        <v>269</v>
      </c>
      <c r="B8" t="s">
        <v>53</v>
      </c>
      <c r="C8">
        <v>2</v>
      </c>
      <c r="D8">
        <v>1</v>
      </c>
      <c r="E8">
        <v>1</v>
      </c>
      <c r="F8" t="s">
        <v>54</v>
      </c>
      <c r="J8" t="s">
        <v>56</v>
      </c>
      <c r="K8">
        <v>1</v>
      </c>
      <c r="M8">
        <v>1</v>
      </c>
      <c r="N8" t="s">
        <v>68</v>
      </c>
      <c r="O8" t="s">
        <v>142</v>
      </c>
      <c r="R8" t="s">
        <v>48</v>
      </c>
      <c r="S8">
        <v>1</v>
      </c>
      <c r="U8">
        <v>1</v>
      </c>
      <c r="V8" t="s">
        <v>93</v>
      </c>
      <c r="W8" t="s">
        <v>71</v>
      </c>
      <c r="X8" t="s">
        <v>148</v>
      </c>
      <c r="Z8" t="s">
        <v>43</v>
      </c>
      <c r="AA8">
        <v>1</v>
      </c>
      <c r="AC8">
        <v>1</v>
      </c>
      <c r="AD8" t="s">
        <v>73</v>
      </c>
      <c r="AE8" t="s">
        <v>110</v>
      </c>
      <c r="AH8" t="s">
        <v>45</v>
      </c>
      <c r="AI8">
        <v>1</v>
      </c>
      <c r="AK8">
        <v>1</v>
      </c>
      <c r="AL8" t="s">
        <v>47</v>
      </c>
      <c r="AM8" t="s">
        <v>162</v>
      </c>
      <c r="AN8" t="s">
        <v>100</v>
      </c>
      <c r="AO8" t="s">
        <v>164</v>
      </c>
      <c r="AP8" t="s">
        <v>63</v>
      </c>
      <c r="AQ8">
        <v>1</v>
      </c>
      <c r="AS8">
        <v>1</v>
      </c>
      <c r="AT8" t="s">
        <v>72</v>
      </c>
      <c r="AX8">
        <v>8</v>
      </c>
      <c r="AY8">
        <v>47</v>
      </c>
      <c r="AZ8">
        <v>30</v>
      </c>
      <c r="BA8">
        <v>2</v>
      </c>
    </row>
    <row r="9" spans="1:53" x14ac:dyDescent="0.25">
      <c r="A9" t="s">
        <v>312</v>
      </c>
      <c r="B9" t="s">
        <v>43</v>
      </c>
      <c r="C9">
        <v>1</v>
      </c>
      <c r="E9">
        <v>2</v>
      </c>
      <c r="F9" t="s">
        <v>73</v>
      </c>
      <c r="G9" t="s">
        <v>74</v>
      </c>
      <c r="H9" t="s">
        <v>75</v>
      </c>
      <c r="I9" t="s">
        <v>112</v>
      </c>
      <c r="J9" t="s">
        <v>45</v>
      </c>
      <c r="K9">
        <v>1</v>
      </c>
      <c r="M9">
        <v>1</v>
      </c>
      <c r="N9" t="s">
        <v>47</v>
      </c>
      <c r="O9" t="s">
        <v>76</v>
      </c>
      <c r="P9" t="s">
        <v>115</v>
      </c>
      <c r="R9" t="s">
        <v>38</v>
      </c>
      <c r="S9">
        <v>1</v>
      </c>
      <c r="T9">
        <v>3</v>
      </c>
      <c r="U9">
        <v>1</v>
      </c>
      <c r="V9" t="s">
        <v>173</v>
      </c>
      <c r="W9" t="s">
        <v>40</v>
      </c>
      <c r="X9" t="s">
        <v>174</v>
      </c>
      <c r="Z9" t="s">
        <v>53</v>
      </c>
      <c r="AA9">
        <v>1</v>
      </c>
      <c r="AB9">
        <v>1</v>
      </c>
      <c r="AC9">
        <v>1</v>
      </c>
      <c r="AD9" t="s">
        <v>54</v>
      </c>
      <c r="AE9" t="s">
        <v>55</v>
      </c>
      <c r="AH9" t="s">
        <v>56</v>
      </c>
      <c r="AI9">
        <v>1</v>
      </c>
      <c r="AK9">
        <v>3</v>
      </c>
      <c r="AL9" t="s">
        <v>68</v>
      </c>
      <c r="AM9" t="s">
        <v>69</v>
      </c>
      <c r="AP9" t="s">
        <v>48</v>
      </c>
      <c r="AQ9">
        <v>1</v>
      </c>
      <c r="AS9">
        <v>1</v>
      </c>
      <c r="AT9" t="s">
        <v>49</v>
      </c>
      <c r="AX9">
        <v>14</v>
      </c>
      <c r="AY9">
        <v>59</v>
      </c>
      <c r="AZ9">
        <v>30</v>
      </c>
      <c r="BA9">
        <v>2</v>
      </c>
    </row>
    <row r="10" spans="1:53" x14ac:dyDescent="0.25">
      <c r="A10" t="s">
        <v>313</v>
      </c>
      <c r="B10" t="s">
        <v>43</v>
      </c>
      <c r="C10">
        <v>1</v>
      </c>
      <c r="E10">
        <v>2</v>
      </c>
      <c r="F10" t="s">
        <v>73</v>
      </c>
      <c r="G10" t="s">
        <v>74</v>
      </c>
      <c r="J10" t="s">
        <v>63</v>
      </c>
      <c r="K10">
        <v>1</v>
      </c>
      <c r="M10">
        <v>1</v>
      </c>
      <c r="N10" t="s">
        <v>118</v>
      </c>
      <c r="R10" t="s">
        <v>38</v>
      </c>
      <c r="S10">
        <v>3</v>
      </c>
      <c r="T10">
        <v>1</v>
      </c>
      <c r="U10">
        <v>2</v>
      </c>
      <c r="V10" t="s">
        <v>67</v>
      </c>
      <c r="W10" t="s">
        <v>70</v>
      </c>
      <c r="Z10" t="s">
        <v>53</v>
      </c>
      <c r="AA10">
        <v>2</v>
      </c>
      <c r="AB10">
        <v>1</v>
      </c>
      <c r="AC10">
        <v>1</v>
      </c>
      <c r="AD10" t="s">
        <v>54</v>
      </c>
      <c r="AE10" t="s">
        <v>134</v>
      </c>
      <c r="AH10" t="s">
        <v>56</v>
      </c>
      <c r="AI10">
        <v>1</v>
      </c>
      <c r="AK10">
        <v>1</v>
      </c>
      <c r="AL10" t="s">
        <v>68</v>
      </c>
      <c r="AP10" t="s">
        <v>48</v>
      </c>
      <c r="AQ10">
        <v>1</v>
      </c>
      <c r="AS10">
        <v>2</v>
      </c>
      <c r="AT10" t="s">
        <v>49</v>
      </c>
      <c r="AU10" t="s">
        <v>71</v>
      </c>
      <c r="AX10">
        <v>10</v>
      </c>
      <c r="AY10">
        <v>73</v>
      </c>
      <c r="AZ10">
        <v>30</v>
      </c>
      <c r="BA10">
        <v>2</v>
      </c>
    </row>
    <row r="11" spans="1:53" x14ac:dyDescent="0.25">
      <c r="A11" t="s">
        <v>314</v>
      </c>
      <c r="B11" t="s">
        <v>45</v>
      </c>
      <c r="C11">
        <v>1</v>
      </c>
      <c r="E11">
        <v>1</v>
      </c>
      <c r="F11" t="s">
        <v>47</v>
      </c>
      <c r="G11" t="s">
        <v>162</v>
      </c>
      <c r="H11" t="s">
        <v>100</v>
      </c>
      <c r="I11" t="s">
        <v>164</v>
      </c>
      <c r="J11" t="s">
        <v>63</v>
      </c>
      <c r="K11">
        <v>1</v>
      </c>
      <c r="M11">
        <v>2</v>
      </c>
      <c r="N11" t="s">
        <v>72</v>
      </c>
      <c r="R11" t="s">
        <v>38</v>
      </c>
      <c r="S11">
        <v>3</v>
      </c>
      <c r="T11">
        <v>1</v>
      </c>
      <c r="U11">
        <v>2</v>
      </c>
      <c r="V11" t="s">
        <v>67</v>
      </c>
      <c r="W11" t="s">
        <v>40</v>
      </c>
      <c r="X11" t="s">
        <v>41</v>
      </c>
      <c r="Y11" t="s">
        <v>177</v>
      </c>
      <c r="Z11" t="s">
        <v>53</v>
      </c>
      <c r="AA11">
        <v>3</v>
      </c>
      <c r="AB11">
        <v>1</v>
      </c>
      <c r="AC11">
        <v>2</v>
      </c>
      <c r="AD11" t="s">
        <v>54</v>
      </c>
      <c r="AE11" t="s">
        <v>84</v>
      </c>
      <c r="AF11" t="s">
        <v>122</v>
      </c>
      <c r="AH11" t="s">
        <v>56</v>
      </c>
      <c r="AI11">
        <v>1</v>
      </c>
      <c r="AK11">
        <v>3</v>
      </c>
      <c r="AL11" t="s">
        <v>68</v>
      </c>
      <c r="AP11" t="s">
        <v>48</v>
      </c>
      <c r="AQ11">
        <v>1</v>
      </c>
      <c r="AS11">
        <v>1</v>
      </c>
      <c r="AT11" t="s">
        <v>93</v>
      </c>
      <c r="AU11" t="s">
        <v>71</v>
      </c>
      <c r="AX11">
        <v>18</v>
      </c>
      <c r="AY11">
        <v>94</v>
      </c>
      <c r="AZ11">
        <v>30</v>
      </c>
      <c r="BA11">
        <v>2</v>
      </c>
    </row>
    <row r="12" spans="1:53" x14ac:dyDescent="0.25">
      <c r="A12" t="s">
        <v>315</v>
      </c>
      <c r="B12" t="s">
        <v>53</v>
      </c>
      <c r="C12">
        <v>2</v>
      </c>
      <c r="D12">
        <v>1</v>
      </c>
      <c r="E12">
        <v>1</v>
      </c>
      <c r="F12" t="s">
        <v>54</v>
      </c>
      <c r="G12" t="s">
        <v>84</v>
      </c>
      <c r="J12" t="s">
        <v>56</v>
      </c>
      <c r="K12">
        <v>1</v>
      </c>
      <c r="M12">
        <v>1</v>
      </c>
      <c r="N12" t="s">
        <v>68</v>
      </c>
      <c r="O12" t="s">
        <v>69</v>
      </c>
      <c r="R12" t="s">
        <v>33</v>
      </c>
      <c r="S12">
        <v>1</v>
      </c>
      <c r="U12">
        <v>1</v>
      </c>
      <c r="V12" t="s">
        <v>65</v>
      </c>
      <c r="W12" t="s">
        <v>35</v>
      </c>
      <c r="X12" t="s">
        <v>153</v>
      </c>
      <c r="Y12" t="s">
        <v>37</v>
      </c>
      <c r="Z12" t="s">
        <v>48</v>
      </c>
      <c r="AA12">
        <v>1</v>
      </c>
      <c r="AC12">
        <v>1</v>
      </c>
      <c r="AD12" t="s">
        <v>49</v>
      </c>
      <c r="AE12" t="s">
        <v>50</v>
      </c>
      <c r="AF12" t="s">
        <v>148</v>
      </c>
      <c r="AG12" t="s">
        <v>52</v>
      </c>
      <c r="AH12" t="s">
        <v>43</v>
      </c>
      <c r="AI12">
        <v>1</v>
      </c>
      <c r="AK12">
        <v>1</v>
      </c>
      <c r="AL12" t="s">
        <v>73</v>
      </c>
      <c r="AM12" t="s">
        <v>110</v>
      </c>
      <c r="AP12" t="s">
        <v>45</v>
      </c>
      <c r="AQ12">
        <v>1</v>
      </c>
      <c r="AS12">
        <v>2</v>
      </c>
      <c r="AT12" t="s">
        <v>47</v>
      </c>
      <c r="AU12" t="s">
        <v>162</v>
      </c>
      <c r="AV12" t="s">
        <v>100</v>
      </c>
      <c r="AW12" t="s">
        <v>101</v>
      </c>
      <c r="AX12">
        <v>14</v>
      </c>
      <c r="AY12">
        <v>69</v>
      </c>
      <c r="AZ12">
        <v>30</v>
      </c>
      <c r="BA12">
        <v>2</v>
      </c>
    </row>
    <row r="13" spans="1:53" x14ac:dyDescent="0.25">
      <c r="A13" t="s">
        <v>316</v>
      </c>
      <c r="B13" t="s">
        <v>48</v>
      </c>
      <c r="C13">
        <v>1</v>
      </c>
      <c r="E13">
        <v>1</v>
      </c>
      <c r="F13" t="s">
        <v>49</v>
      </c>
      <c r="G13" t="s">
        <v>50</v>
      </c>
      <c r="H13" t="s">
        <v>51</v>
      </c>
      <c r="I13" t="s">
        <v>52</v>
      </c>
      <c r="J13" t="s">
        <v>43</v>
      </c>
      <c r="K13">
        <v>1</v>
      </c>
      <c r="M13">
        <v>1</v>
      </c>
      <c r="N13" t="s">
        <v>73</v>
      </c>
      <c r="O13" t="s">
        <v>110</v>
      </c>
      <c r="R13" t="s">
        <v>63</v>
      </c>
      <c r="S13">
        <v>1</v>
      </c>
      <c r="U13">
        <v>1</v>
      </c>
      <c r="V13" t="s">
        <v>72</v>
      </c>
      <c r="Z13" t="s">
        <v>53</v>
      </c>
      <c r="AA13">
        <v>1</v>
      </c>
      <c r="AB13">
        <v>2</v>
      </c>
      <c r="AC13">
        <v>2</v>
      </c>
      <c r="AD13" t="s">
        <v>54</v>
      </c>
      <c r="AH13" t="s">
        <v>56</v>
      </c>
      <c r="AI13">
        <v>1</v>
      </c>
      <c r="AK13">
        <v>2</v>
      </c>
      <c r="AL13" t="s">
        <v>68</v>
      </c>
      <c r="AM13" t="s">
        <v>142</v>
      </c>
      <c r="AN13" t="s">
        <v>91</v>
      </c>
      <c r="AP13" t="s">
        <v>33</v>
      </c>
      <c r="AQ13">
        <v>1</v>
      </c>
      <c r="AS13">
        <v>1</v>
      </c>
      <c r="AT13" t="s">
        <v>65</v>
      </c>
      <c r="AU13" t="s">
        <v>66</v>
      </c>
      <c r="AX13">
        <v>10</v>
      </c>
      <c r="AY13">
        <v>54</v>
      </c>
      <c r="AZ13">
        <v>30</v>
      </c>
      <c r="BA13">
        <v>2</v>
      </c>
    </row>
    <row r="14" spans="1:53" x14ac:dyDescent="0.25">
      <c r="A14" t="s">
        <v>317</v>
      </c>
      <c r="B14" t="s">
        <v>53</v>
      </c>
      <c r="C14">
        <v>3</v>
      </c>
      <c r="D14">
        <v>1</v>
      </c>
      <c r="E14">
        <v>2</v>
      </c>
      <c r="F14" t="s">
        <v>54</v>
      </c>
      <c r="G14" t="s">
        <v>84</v>
      </c>
      <c r="H14" t="s">
        <v>135</v>
      </c>
      <c r="I14" t="s">
        <v>109</v>
      </c>
      <c r="J14" t="s">
        <v>56</v>
      </c>
      <c r="K14">
        <v>1</v>
      </c>
      <c r="M14">
        <v>1</v>
      </c>
      <c r="N14" t="s">
        <v>68</v>
      </c>
      <c r="O14" t="s">
        <v>69</v>
      </c>
      <c r="R14" t="s">
        <v>33</v>
      </c>
      <c r="S14">
        <v>1</v>
      </c>
      <c r="U14">
        <v>1</v>
      </c>
      <c r="V14" t="s">
        <v>65</v>
      </c>
      <c r="W14" t="s">
        <v>35</v>
      </c>
      <c r="Z14" t="s">
        <v>48</v>
      </c>
      <c r="AA14">
        <v>1</v>
      </c>
      <c r="AC14">
        <v>1</v>
      </c>
      <c r="AD14" t="s">
        <v>49</v>
      </c>
      <c r="AH14" t="s">
        <v>43</v>
      </c>
      <c r="AI14">
        <v>1</v>
      </c>
      <c r="AK14">
        <v>1</v>
      </c>
      <c r="AL14" t="s">
        <v>73</v>
      </c>
      <c r="AM14" t="s">
        <v>157</v>
      </c>
      <c r="AP14" t="s">
        <v>38</v>
      </c>
      <c r="AQ14">
        <v>3</v>
      </c>
      <c r="AR14">
        <v>1</v>
      </c>
      <c r="AS14">
        <v>2</v>
      </c>
      <c r="AT14" t="s">
        <v>67</v>
      </c>
      <c r="AU14" t="s">
        <v>105</v>
      </c>
      <c r="AV14" t="s">
        <v>41</v>
      </c>
      <c r="AX14">
        <v>14</v>
      </c>
      <c r="AY14">
        <v>68</v>
      </c>
      <c r="AZ14">
        <v>30</v>
      </c>
      <c r="BA14">
        <v>2</v>
      </c>
    </row>
    <row r="15" spans="1:53" x14ac:dyDescent="0.25">
      <c r="A15" t="s">
        <v>318</v>
      </c>
      <c r="B15" t="s">
        <v>53</v>
      </c>
      <c r="C15">
        <v>2</v>
      </c>
      <c r="D15">
        <v>1</v>
      </c>
      <c r="E15">
        <v>1</v>
      </c>
      <c r="F15" t="s">
        <v>54</v>
      </c>
      <c r="G15" t="s">
        <v>55</v>
      </c>
      <c r="J15" t="s">
        <v>56</v>
      </c>
      <c r="K15">
        <v>1</v>
      </c>
      <c r="M15">
        <v>2</v>
      </c>
      <c r="N15" t="s">
        <v>68</v>
      </c>
      <c r="O15" t="s">
        <v>69</v>
      </c>
      <c r="R15" t="s">
        <v>33</v>
      </c>
      <c r="S15">
        <v>1</v>
      </c>
      <c r="U15">
        <v>2</v>
      </c>
      <c r="V15" t="s">
        <v>46</v>
      </c>
      <c r="W15" t="s">
        <v>66</v>
      </c>
      <c r="X15" t="s">
        <v>36</v>
      </c>
      <c r="Z15" t="s">
        <v>48</v>
      </c>
      <c r="AA15">
        <v>1</v>
      </c>
      <c r="AC15">
        <v>2</v>
      </c>
      <c r="AD15" t="s">
        <v>147</v>
      </c>
      <c r="AE15" t="s">
        <v>85</v>
      </c>
      <c r="AH15" t="s">
        <v>45</v>
      </c>
      <c r="AI15">
        <v>1</v>
      </c>
      <c r="AK15">
        <v>1</v>
      </c>
      <c r="AL15" t="s">
        <v>47</v>
      </c>
      <c r="AP15" t="s">
        <v>63</v>
      </c>
      <c r="AQ15">
        <v>1</v>
      </c>
      <c r="AS15">
        <v>1</v>
      </c>
      <c r="AT15" t="s">
        <v>72</v>
      </c>
      <c r="AX15">
        <v>9</v>
      </c>
      <c r="AY15">
        <v>51</v>
      </c>
      <c r="AZ15">
        <v>30</v>
      </c>
      <c r="BA15">
        <v>2</v>
      </c>
    </row>
    <row r="16" spans="1:53" x14ac:dyDescent="0.25">
      <c r="A16" t="s">
        <v>319</v>
      </c>
      <c r="B16" t="s">
        <v>48</v>
      </c>
      <c r="C16">
        <v>1</v>
      </c>
      <c r="E16">
        <v>1</v>
      </c>
      <c r="F16" t="s">
        <v>147</v>
      </c>
      <c r="G16" t="s">
        <v>85</v>
      </c>
      <c r="J16" t="s">
        <v>45</v>
      </c>
      <c r="K16">
        <v>1</v>
      </c>
      <c r="M16">
        <v>1</v>
      </c>
      <c r="N16" t="s">
        <v>47</v>
      </c>
      <c r="O16" t="s">
        <v>99</v>
      </c>
      <c r="R16" t="s">
        <v>38</v>
      </c>
      <c r="S16">
        <v>3</v>
      </c>
      <c r="T16">
        <v>3</v>
      </c>
      <c r="U16">
        <v>3</v>
      </c>
      <c r="V16" t="s">
        <v>67</v>
      </c>
      <c r="W16" t="s">
        <v>70</v>
      </c>
      <c r="X16" t="s">
        <v>175</v>
      </c>
      <c r="Y16" t="s">
        <v>177</v>
      </c>
      <c r="Z16" t="s">
        <v>53</v>
      </c>
      <c r="AA16">
        <v>2</v>
      </c>
      <c r="AB16">
        <v>1</v>
      </c>
      <c r="AC16">
        <v>2</v>
      </c>
      <c r="AD16" t="s">
        <v>54</v>
      </c>
      <c r="AE16" t="s">
        <v>84</v>
      </c>
      <c r="AH16" t="s">
        <v>56</v>
      </c>
      <c r="AI16">
        <v>1</v>
      </c>
      <c r="AK16">
        <v>2</v>
      </c>
      <c r="AL16" t="s">
        <v>141</v>
      </c>
      <c r="AM16" t="s">
        <v>69</v>
      </c>
      <c r="AN16" t="s">
        <v>91</v>
      </c>
      <c r="AP16" t="s">
        <v>33</v>
      </c>
      <c r="AQ16">
        <v>1</v>
      </c>
      <c r="AS16">
        <v>1</v>
      </c>
      <c r="AT16" t="s">
        <v>65</v>
      </c>
      <c r="AU16" t="s">
        <v>151</v>
      </c>
      <c r="AV16" t="s">
        <v>36</v>
      </c>
      <c r="AW16" t="s">
        <v>37</v>
      </c>
      <c r="AX16">
        <v>20</v>
      </c>
      <c r="AY16">
        <v>117</v>
      </c>
      <c r="AZ16">
        <v>30</v>
      </c>
      <c r="BA16">
        <v>2</v>
      </c>
    </row>
    <row r="17" spans="1:53" x14ac:dyDescent="0.25">
      <c r="A17" t="s">
        <v>320</v>
      </c>
      <c r="B17" t="s">
        <v>53</v>
      </c>
      <c r="C17">
        <v>3</v>
      </c>
      <c r="D17">
        <v>1</v>
      </c>
      <c r="E17">
        <v>2</v>
      </c>
      <c r="F17" t="s">
        <v>54</v>
      </c>
      <c r="G17" t="s">
        <v>55</v>
      </c>
      <c r="J17" t="s">
        <v>56</v>
      </c>
      <c r="K17">
        <v>1</v>
      </c>
      <c r="M17">
        <v>1</v>
      </c>
      <c r="N17" t="s">
        <v>68</v>
      </c>
      <c r="R17" t="s">
        <v>33</v>
      </c>
      <c r="S17">
        <v>1</v>
      </c>
      <c r="U17">
        <v>1</v>
      </c>
      <c r="V17" t="s">
        <v>65</v>
      </c>
      <c r="W17" t="s">
        <v>151</v>
      </c>
      <c r="Z17" t="s">
        <v>48</v>
      </c>
      <c r="AA17">
        <v>1</v>
      </c>
      <c r="AC17">
        <v>1</v>
      </c>
      <c r="AD17" t="s">
        <v>93</v>
      </c>
      <c r="AE17" t="s">
        <v>85</v>
      </c>
      <c r="AF17" t="s">
        <v>148</v>
      </c>
      <c r="AG17" t="s">
        <v>52</v>
      </c>
      <c r="AH17" t="s">
        <v>63</v>
      </c>
      <c r="AI17">
        <v>1</v>
      </c>
      <c r="AK17">
        <v>2</v>
      </c>
      <c r="AL17" t="s">
        <v>72</v>
      </c>
      <c r="AM17" t="s">
        <v>103</v>
      </c>
      <c r="AP17" t="s">
        <v>38</v>
      </c>
      <c r="AQ17">
        <v>1</v>
      </c>
      <c r="AR17">
        <v>1</v>
      </c>
      <c r="AS17">
        <v>1</v>
      </c>
      <c r="AT17" t="s">
        <v>67</v>
      </c>
      <c r="AX17">
        <v>10</v>
      </c>
      <c r="AY17">
        <v>56</v>
      </c>
      <c r="AZ17">
        <v>30</v>
      </c>
      <c r="BA17">
        <v>2</v>
      </c>
    </row>
    <row r="18" spans="1:53" x14ac:dyDescent="0.25">
      <c r="A18" t="s">
        <v>321</v>
      </c>
      <c r="B18" t="s">
        <v>43</v>
      </c>
      <c r="C18">
        <v>1</v>
      </c>
      <c r="E18">
        <v>2</v>
      </c>
      <c r="F18" t="s">
        <v>73</v>
      </c>
      <c r="G18" t="s">
        <v>74</v>
      </c>
      <c r="H18" t="s">
        <v>158</v>
      </c>
      <c r="I18" t="s">
        <v>112</v>
      </c>
      <c r="J18" t="s">
        <v>45</v>
      </c>
      <c r="K18">
        <v>1</v>
      </c>
      <c r="M18">
        <v>1</v>
      </c>
      <c r="N18" t="s">
        <v>89</v>
      </c>
      <c r="R18" t="s">
        <v>63</v>
      </c>
      <c r="S18">
        <v>1</v>
      </c>
      <c r="U18">
        <v>2</v>
      </c>
      <c r="V18" t="s">
        <v>72</v>
      </c>
      <c r="Z18" t="s">
        <v>53</v>
      </c>
      <c r="AA18">
        <v>2</v>
      </c>
      <c r="AB18">
        <v>1</v>
      </c>
      <c r="AC18">
        <v>1</v>
      </c>
      <c r="AD18" t="s">
        <v>54</v>
      </c>
      <c r="AE18" t="s">
        <v>84</v>
      </c>
      <c r="AF18" t="s">
        <v>135</v>
      </c>
      <c r="AH18" t="s">
        <v>56</v>
      </c>
      <c r="AI18">
        <v>1</v>
      </c>
      <c r="AK18">
        <v>1</v>
      </c>
      <c r="AL18" t="s">
        <v>68</v>
      </c>
      <c r="AM18" t="s">
        <v>69</v>
      </c>
      <c r="AP18" t="s">
        <v>33</v>
      </c>
      <c r="AQ18">
        <v>1</v>
      </c>
      <c r="AS18">
        <v>1</v>
      </c>
      <c r="AT18" t="s">
        <v>65</v>
      </c>
      <c r="AU18" t="s">
        <v>151</v>
      </c>
      <c r="AX18">
        <v>10</v>
      </c>
      <c r="AY18">
        <v>52</v>
      </c>
      <c r="AZ18">
        <v>30</v>
      </c>
      <c r="BA18">
        <v>2</v>
      </c>
    </row>
    <row r="19" spans="1:53" x14ac:dyDescent="0.25">
      <c r="A19" t="s">
        <v>322</v>
      </c>
      <c r="B19" t="s">
        <v>43</v>
      </c>
      <c r="C19">
        <v>1</v>
      </c>
      <c r="E19">
        <v>2</v>
      </c>
      <c r="F19" t="s">
        <v>73</v>
      </c>
      <c r="G19" t="s">
        <v>74</v>
      </c>
      <c r="H19" t="s">
        <v>158</v>
      </c>
      <c r="I19" t="s">
        <v>112</v>
      </c>
      <c r="J19" t="s">
        <v>45</v>
      </c>
      <c r="K19">
        <v>1</v>
      </c>
      <c r="M19">
        <v>2</v>
      </c>
      <c r="N19" t="s">
        <v>47</v>
      </c>
      <c r="R19" t="s">
        <v>38</v>
      </c>
      <c r="S19">
        <v>2</v>
      </c>
      <c r="T19">
        <v>1</v>
      </c>
      <c r="U19">
        <v>1</v>
      </c>
      <c r="V19" t="s">
        <v>67</v>
      </c>
      <c r="Z19" t="s">
        <v>53</v>
      </c>
      <c r="AA19">
        <v>1</v>
      </c>
      <c r="AB19">
        <v>1</v>
      </c>
      <c r="AC19">
        <v>1</v>
      </c>
      <c r="AD19" t="s">
        <v>54</v>
      </c>
      <c r="AH19" t="s">
        <v>56</v>
      </c>
      <c r="AI19">
        <v>1</v>
      </c>
      <c r="AK19">
        <v>2</v>
      </c>
      <c r="AL19" t="s">
        <v>68</v>
      </c>
      <c r="AM19" t="s">
        <v>69</v>
      </c>
      <c r="AN19" t="s">
        <v>91</v>
      </c>
      <c r="AO19" t="s">
        <v>146</v>
      </c>
      <c r="AP19" t="s">
        <v>33</v>
      </c>
      <c r="AQ19">
        <v>1</v>
      </c>
      <c r="AS19">
        <v>1</v>
      </c>
      <c r="AT19" t="s">
        <v>65</v>
      </c>
      <c r="AU19" t="s">
        <v>35</v>
      </c>
      <c r="AV19" t="s">
        <v>36</v>
      </c>
      <c r="AX19">
        <v>12</v>
      </c>
      <c r="AY19">
        <v>63</v>
      </c>
      <c r="AZ19">
        <v>30</v>
      </c>
      <c r="BA19">
        <v>2</v>
      </c>
    </row>
    <row r="20" spans="1:53" x14ac:dyDescent="0.25">
      <c r="A20" t="s">
        <v>323</v>
      </c>
      <c r="B20" t="s">
        <v>53</v>
      </c>
      <c r="C20">
        <v>2</v>
      </c>
      <c r="D20">
        <v>1</v>
      </c>
      <c r="E20">
        <v>1</v>
      </c>
      <c r="F20" t="s">
        <v>54</v>
      </c>
      <c r="G20" t="s">
        <v>84</v>
      </c>
      <c r="H20" t="s">
        <v>135</v>
      </c>
      <c r="I20" t="s">
        <v>109</v>
      </c>
      <c r="J20" t="s">
        <v>56</v>
      </c>
      <c r="K20">
        <v>1</v>
      </c>
      <c r="M20">
        <v>1</v>
      </c>
      <c r="N20" t="s">
        <v>57</v>
      </c>
      <c r="O20" t="s">
        <v>142</v>
      </c>
      <c r="R20" t="s">
        <v>33</v>
      </c>
      <c r="S20">
        <v>1</v>
      </c>
      <c r="U20">
        <v>2</v>
      </c>
      <c r="V20" t="s">
        <v>65</v>
      </c>
      <c r="W20" t="s">
        <v>35</v>
      </c>
      <c r="Z20" t="s">
        <v>43</v>
      </c>
      <c r="AA20">
        <v>1</v>
      </c>
      <c r="AC20">
        <v>2</v>
      </c>
      <c r="AD20" t="s">
        <v>73</v>
      </c>
      <c r="AE20" t="s">
        <v>74</v>
      </c>
      <c r="AF20" t="s">
        <v>111</v>
      </c>
      <c r="AG20" t="s">
        <v>112</v>
      </c>
      <c r="AH20" t="s">
        <v>63</v>
      </c>
      <c r="AI20">
        <v>1</v>
      </c>
      <c r="AK20">
        <v>2</v>
      </c>
      <c r="AL20" t="s">
        <v>72</v>
      </c>
      <c r="AM20" t="s">
        <v>167</v>
      </c>
      <c r="AN20" t="s">
        <v>169</v>
      </c>
      <c r="AO20" t="s">
        <v>170</v>
      </c>
      <c r="AP20" t="s">
        <v>38</v>
      </c>
      <c r="AQ20">
        <v>1</v>
      </c>
      <c r="AR20">
        <v>1</v>
      </c>
      <c r="AS20">
        <v>1</v>
      </c>
      <c r="AT20" t="s">
        <v>67</v>
      </c>
      <c r="AX20">
        <v>15</v>
      </c>
      <c r="AY20">
        <v>104</v>
      </c>
      <c r="AZ20">
        <v>30</v>
      </c>
      <c r="BA20">
        <v>2</v>
      </c>
    </row>
    <row r="21" spans="1:53" x14ac:dyDescent="0.25">
      <c r="A21" t="s">
        <v>324</v>
      </c>
      <c r="B21" t="s">
        <v>45</v>
      </c>
      <c r="C21">
        <v>1</v>
      </c>
      <c r="E21">
        <v>1</v>
      </c>
      <c r="F21" t="s">
        <v>47</v>
      </c>
      <c r="G21" t="s">
        <v>76</v>
      </c>
      <c r="H21" t="s">
        <v>100</v>
      </c>
      <c r="I21" t="s">
        <v>164</v>
      </c>
      <c r="J21" t="s">
        <v>63</v>
      </c>
      <c r="K21">
        <v>1</v>
      </c>
      <c r="M21">
        <v>1</v>
      </c>
      <c r="N21" t="s">
        <v>72</v>
      </c>
      <c r="O21" t="s">
        <v>167</v>
      </c>
      <c r="R21" t="s">
        <v>38</v>
      </c>
      <c r="S21">
        <v>2</v>
      </c>
      <c r="T21">
        <v>1</v>
      </c>
      <c r="U21">
        <v>2</v>
      </c>
      <c r="V21" t="s">
        <v>67</v>
      </c>
      <c r="W21" t="s">
        <v>70</v>
      </c>
      <c r="X21" t="s">
        <v>175</v>
      </c>
      <c r="Y21" t="s">
        <v>177</v>
      </c>
      <c r="Z21" t="s">
        <v>53</v>
      </c>
      <c r="AA21">
        <v>2</v>
      </c>
      <c r="AB21">
        <v>1</v>
      </c>
      <c r="AC21">
        <v>3</v>
      </c>
      <c r="AD21" t="s">
        <v>54</v>
      </c>
      <c r="AE21" t="s">
        <v>84</v>
      </c>
      <c r="AF21" t="s">
        <v>108</v>
      </c>
      <c r="AH21" t="s">
        <v>56</v>
      </c>
      <c r="AI21">
        <v>1</v>
      </c>
      <c r="AK21">
        <v>1</v>
      </c>
      <c r="AL21" t="s">
        <v>68</v>
      </c>
      <c r="AM21" t="s">
        <v>143</v>
      </c>
      <c r="AN21" t="s">
        <v>144</v>
      </c>
      <c r="AP21" t="s">
        <v>33</v>
      </c>
      <c r="AQ21">
        <v>1</v>
      </c>
      <c r="AS21">
        <v>1</v>
      </c>
      <c r="AT21" t="s">
        <v>65</v>
      </c>
      <c r="AX21">
        <v>16</v>
      </c>
      <c r="AY21">
        <v>86</v>
      </c>
      <c r="AZ21">
        <v>30</v>
      </c>
      <c r="BA21">
        <v>2</v>
      </c>
    </row>
    <row r="22" spans="1:53" x14ac:dyDescent="0.25">
      <c r="A22" t="s">
        <v>325</v>
      </c>
      <c r="B22" t="s">
        <v>48</v>
      </c>
      <c r="C22">
        <v>1</v>
      </c>
      <c r="E22">
        <v>1</v>
      </c>
      <c r="F22" t="s">
        <v>49</v>
      </c>
      <c r="G22" t="s">
        <v>71</v>
      </c>
      <c r="H22" t="s">
        <v>148</v>
      </c>
      <c r="J22" t="s">
        <v>33</v>
      </c>
      <c r="K22">
        <v>1</v>
      </c>
      <c r="M22">
        <v>1</v>
      </c>
      <c r="N22" t="s">
        <v>65</v>
      </c>
      <c r="O22" t="s">
        <v>35</v>
      </c>
      <c r="R22" t="s">
        <v>45</v>
      </c>
      <c r="S22">
        <v>1</v>
      </c>
      <c r="U22">
        <v>1</v>
      </c>
      <c r="V22" t="s">
        <v>47</v>
      </c>
      <c r="W22" t="s">
        <v>162</v>
      </c>
      <c r="X22" t="s">
        <v>100</v>
      </c>
      <c r="Z22" t="s">
        <v>53</v>
      </c>
      <c r="AA22">
        <v>1</v>
      </c>
      <c r="AB22">
        <v>1</v>
      </c>
      <c r="AC22">
        <v>1</v>
      </c>
      <c r="AD22" t="s">
        <v>54</v>
      </c>
      <c r="AE22" t="s">
        <v>134</v>
      </c>
      <c r="AH22" t="s">
        <v>56</v>
      </c>
      <c r="AI22">
        <v>1</v>
      </c>
      <c r="AK22">
        <v>1</v>
      </c>
      <c r="AL22" t="s">
        <v>68</v>
      </c>
      <c r="AM22" t="s">
        <v>69</v>
      </c>
      <c r="AN22" t="s">
        <v>144</v>
      </c>
      <c r="AO22" t="s">
        <v>146</v>
      </c>
      <c r="AP22" t="s">
        <v>43</v>
      </c>
      <c r="AQ22">
        <v>1</v>
      </c>
      <c r="AS22">
        <v>1</v>
      </c>
      <c r="AT22" t="s">
        <v>73</v>
      </c>
      <c r="AU22" t="s">
        <v>74</v>
      </c>
      <c r="AX22">
        <v>10</v>
      </c>
      <c r="AY22">
        <v>59</v>
      </c>
      <c r="AZ22">
        <v>30</v>
      </c>
      <c r="BA22">
        <v>2</v>
      </c>
    </row>
    <row r="23" spans="1:53" x14ac:dyDescent="0.25">
      <c r="A23" t="s">
        <v>326</v>
      </c>
      <c r="B23" t="s">
        <v>53</v>
      </c>
      <c r="C23">
        <v>2</v>
      </c>
      <c r="D23">
        <v>1</v>
      </c>
      <c r="E23">
        <v>1</v>
      </c>
      <c r="F23" t="s">
        <v>54</v>
      </c>
      <c r="J23" t="s">
        <v>56</v>
      </c>
      <c r="K23">
        <v>1</v>
      </c>
      <c r="M23">
        <v>1</v>
      </c>
      <c r="N23" t="s">
        <v>68</v>
      </c>
      <c r="R23" t="s">
        <v>43</v>
      </c>
      <c r="S23">
        <v>1</v>
      </c>
      <c r="U23">
        <v>1</v>
      </c>
      <c r="V23" t="s">
        <v>73</v>
      </c>
      <c r="W23" t="s">
        <v>110</v>
      </c>
      <c r="Z23" t="s">
        <v>48</v>
      </c>
      <c r="AA23">
        <v>1</v>
      </c>
      <c r="AC23">
        <v>1</v>
      </c>
      <c r="AD23" t="s">
        <v>147</v>
      </c>
      <c r="AE23" t="s">
        <v>71</v>
      </c>
      <c r="AH23" t="s">
        <v>33</v>
      </c>
      <c r="AI23">
        <v>1</v>
      </c>
      <c r="AK23">
        <v>1</v>
      </c>
      <c r="AL23" t="s">
        <v>65</v>
      </c>
      <c r="AM23" t="s">
        <v>66</v>
      </c>
      <c r="AP23" t="s">
        <v>63</v>
      </c>
      <c r="AQ23">
        <v>1</v>
      </c>
      <c r="AS23">
        <v>1</v>
      </c>
      <c r="AT23" t="s">
        <v>72</v>
      </c>
      <c r="AX23">
        <v>4</v>
      </c>
      <c r="AY23">
        <v>43</v>
      </c>
      <c r="AZ23">
        <v>30</v>
      </c>
      <c r="BA23">
        <v>2</v>
      </c>
    </row>
    <row r="24" spans="1:53" x14ac:dyDescent="0.25">
      <c r="A24" t="s">
        <v>327</v>
      </c>
      <c r="B24" t="s">
        <v>53</v>
      </c>
      <c r="C24">
        <v>3</v>
      </c>
      <c r="D24">
        <v>1</v>
      </c>
      <c r="E24">
        <v>1</v>
      </c>
      <c r="F24" t="s">
        <v>54</v>
      </c>
      <c r="J24" t="s">
        <v>56</v>
      </c>
      <c r="K24">
        <v>1</v>
      </c>
      <c r="M24">
        <v>2</v>
      </c>
      <c r="N24" t="s">
        <v>141</v>
      </c>
      <c r="R24" t="s">
        <v>43</v>
      </c>
      <c r="S24">
        <v>1</v>
      </c>
      <c r="U24">
        <v>1</v>
      </c>
      <c r="V24" t="s">
        <v>73</v>
      </c>
      <c r="W24" t="s">
        <v>157</v>
      </c>
      <c r="X24" t="s">
        <v>158</v>
      </c>
      <c r="Z24" t="s">
        <v>48</v>
      </c>
      <c r="AA24">
        <v>1</v>
      </c>
      <c r="AC24">
        <v>2</v>
      </c>
      <c r="AD24" t="s">
        <v>49</v>
      </c>
      <c r="AE24" t="s">
        <v>85</v>
      </c>
      <c r="AH24" t="s">
        <v>33</v>
      </c>
      <c r="AI24">
        <v>1</v>
      </c>
      <c r="AK24">
        <v>1</v>
      </c>
      <c r="AL24" t="s">
        <v>65</v>
      </c>
      <c r="AM24" t="s">
        <v>35</v>
      </c>
      <c r="AN24" t="s">
        <v>36</v>
      </c>
      <c r="AP24" t="s">
        <v>38</v>
      </c>
      <c r="AQ24">
        <v>2</v>
      </c>
      <c r="AR24">
        <v>1</v>
      </c>
      <c r="AS24">
        <v>1</v>
      </c>
      <c r="AT24" t="s">
        <v>67</v>
      </c>
      <c r="AX24">
        <v>10</v>
      </c>
      <c r="AY24">
        <v>49</v>
      </c>
      <c r="AZ24">
        <v>30</v>
      </c>
      <c r="BA24">
        <v>2</v>
      </c>
    </row>
    <row r="25" spans="1:53" x14ac:dyDescent="0.25">
      <c r="A25" t="s">
        <v>328</v>
      </c>
      <c r="B25" t="s">
        <v>53</v>
      </c>
      <c r="C25">
        <v>2</v>
      </c>
      <c r="D25">
        <v>1</v>
      </c>
      <c r="E25">
        <v>1</v>
      </c>
      <c r="F25" t="s">
        <v>54</v>
      </c>
      <c r="G25" t="s">
        <v>55</v>
      </c>
      <c r="J25" t="s">
        <v>56</v>
      </c>
      <c r="K25">
        <v>1</v>
      </c>
      <c r="M25">
        <v>1</v>
      </c>
      <c r="N25" t="s">
        <v>68</v>
      </c>
      <c r="O25" t="s">
        <v>69</v>
      </c>
      <c r="R25" t="s">
        <v>43</v>
      </c>
      <c r="S25">
        <v>1</v>
      </c>
      <c r="U25">
        <v>1</v>
      </c>
      <c r="V25" t="s">
        <v>73</v>
      </c>
      <c r="W25" t="s">
        <v>74</v>
      </c>
      <c r="Z25" t="s">
        <v>48</v>
      </c>
      <c r="AA25">
        <v>1</v>
      </c>
      <c r="AC25">
        <v>2</v>
      </c>
      <c r="AD25" t="s">
        <v>147</v>
      </c>
      <c r="AE25" t="s">
        <v>71</v>
      </c>
      <c r="AF25" t="s">
        <v>51</v>
      </c>
      <c r="AH25" t="s">
        <v>45</v>
      </c>
      <c r="AI25">
        <v>1</v>
      </c>
      <c r="AK25">
        <v>1</v>
      </c>
      <c r="AL25" t="s">
        <v>47</v>
      </c>
      <c r="AM25" t="s">
        <v>162</v>
      </c>
      <c r="AP25" t="s">
        <v>63</v>
      </c>
      <c r="AQ25">
        <v>1</v>
      </c>
      <c r="AS25">
        <v>1</v>
      </c>
      <c r="AT25" t="s">
        <v>72</v>
      </c>
      <c r="AX25">
        <v>8</v>
      </c>
      <c r="AY25">
        <v>48</v>
      </c>
      <c r="AZ25">
        <v>30</v>
      </c>
      <c r="BA25">
        <v>2</v>
      </c>
    </row>
    <row r="26" spans="1:53" x14ac:dyDescent="0.25">
      <c r="A26" t="s">
        <v>329</v>
      </c>
      <c r="B26" t="s">
        <v>53</v>
      </c>
      <c r="C26">
        <v>2</v>
      </c>
      <c r="D26">
        <v>1</v>
      </c>
      <c r="E26">
        <v>1</v>
      </c>
      <c r="F26" t="s">
        <v>54</v>
      </c>
      <c r="G26" t="s">
        <v>84</v>
      </c>
      <c r="H26" t="s">
        <v>135</v>
      </c>
      <c r="J26" t="s">
        <v>56</v>
      </c>
      <c r="K26">
        <v>1</v>
      </c>
      <c r="M26">
        <v>1</v>
      </c>
      <c r="N26" t="s">
        <v>68</v>
      </c>
      <c r="O26" t="s">
        <v>69</v>
      </c>
      <c r="P26" t="s">
        <v>144</v>
      </c>
      <c r="Q26" t="s">
        <v>146</v>
      </c>
      <c r="R26" t="s">
        <v>43</v>
      </c>
      <c r="S26">
        <v>1</v>
      </c>
      <c r="U26">
        <v>1</v>
      </c>
      <c r="V26" t="s">
        <v>73</v>
      </c>
      <c r="Z26" t="s">
        <v>48</v>
      </c>
      <c r="AA26">
        <v>1</v>
      </c>
      <c r="AC26">
        <v>3</v>
      </c>
      <c r="AD26" t="s">
        <v>93</v>
      </c>
      <c r="AE26" t="s">
        <v>71</v>
      </c>
      <c r="AF26" t="s">
        <v>51</v>
      </c>
      <c r="AH26" t="s">
        <v>45</v>
      </c>
      <c r="AI26">
        <v>1</v>
      </c>
      <c r="AK26">
        <v>1</v>
      </c>
      <c r="AL26" t="s">
        <v>47</v>
      </c>
      <c r="AM26" t="s">
        <v>99</v>
      </c>
      <c r="AP26" t="s">
        <v>38</v>
      </c>
      <c r="AQ26">
        <v>1</v>
      </c>
      <c r="AR26">
        <v>1</v>
      </c>
      <c r="AS26">
        <v>1</v>
      </c>
      <c r="AT26" t="s">
        <v>67</v>
      </c>
      <c r="AU26" t="s">
        <v>70</v>
      </c>
      <c r="AX26">
        <v>12</v>
      </c>
      <c r="AY26">
        <v>65</v>
      </c>
      <c r="AZ26">
        <v>30</v>
      </c>
      <c r="BA26">
        <v>2</v>
      </c>
    </row>
    <row r="27" spans="1:53" x14ac:dyDescent="0.25">
      <c r="A27" t="s">
        <v>330</v>
      </c>
      <c r="B27" t="s">
        <v>48</v>
      </c>
      <c r="C27">
        <v>1</v>
      </c>
      <c r="E27">
        <v>1</v>
      </c>
      <c r="F27" t="s">
        <v>49</v>
      </c>
      <c r="G27" t="s">
        <v>71</v>
      </c>
      <c r="H27" t="s">
        <v>51</v>
      </c>
      <c r="J27" t="s">
        <v>63</v>
      </c>
      <c r="K27">
        <v>1</v>
      </c>
      <c r="M27">
        <v>1</v>
      </c>
      <c r="N27" t="s">
        <v>72</v>
      </c>
      <c r="O27" t="s">
        <v>167</v>
      </c>
      <c r="P27" t="s">
        <v>168</v>
      </c>
      <c r="R27" t="s">
        <v>38</v>
      </c>
      <c r="S27">
        <v>1</v>
      </c>
      <c r="T27">
        <v>3</v>
      </c>
      <c r="U27">
        <v>1</v>
      </c>
      <c r="V27" t="s">
        <v>173</v>
      </c>
      <c r="W27" t="s">
        <v>40</v>
      </c>
      <c r="Z27" t="s">
        <v>53</v>
      </c>
      <c r="AA27">
        <v>1</v>
      </c>
      <c r="AB27">
        <v>1</v>
      </c>
      <c r="AC27">
        <v>2</v>
      </c>
      <c r="AD27" t="s">
        <v>54</v>
      </c>
      <c r="AE27" t="s">
        <v>134</v>
      </c>
      <c r="AH27" t="s">
        <v>56</v>
      </c>
      <c r="AI27">
        <v>1</v>
      </c>
      <c r="AK27">
        <v>2</v>
      </c>
      <c r="AL27" t="s">
        <v>68</v>
      </c>
      <c r="AP27" t="s">
        <v>43</v>
      </c>
      <c r="AQ27">
        <v>1</v>
      </c>
      <c r="AS27">
        <v>1</v>
      </c>
      <c r="AT27" t="s">
        <v>73</v>
      </c>
      <c r="AU27" t="s">
        <v>74</v>
      </c>
      <c r="AX27">
        <v>11</v>
      </c>
      <c r="AY27">
        <v>64</v>
      </c>
      <c r="AZ27">
        <v>30</v>
      </c>
      <c r="BA27">
        <v>2</v>
      </c>
    </row>
    <row r="28" spans="1:53" x14ac:dyDescent="0.25">
      <c r="A28" t="s">
        <v>331</v>
      </c>
      <c r="B28" t="s">
        <v>53</v>
      </c>
      <c r="C28">
        <v>2</v>
      </c>
      <c r="D28">
        <v>1</v>
      </c>
      <c r="E28">
        <v>1</v>
      </c>
      <c r="F28" t="s">
        <v>54</v>
      </c>
      <c r="J28" t="s">
        <v>56</v>
      </c>
      <c r="K28">
        <v>1</v>
      </c>
      <c r="M28">
        <v>1</v>
      </c>
      <c r="N28" t="s">
        <v>68</v>
      </c>
      <c r="O28" t="s">
        <v>69</v>
      </c>
      <c r="P28" t="s">
        <v>91</v>
      </c>
      <c r="Q28" t="s">
        <v>92</v>
      </c>
      <c r="R28" t="s">
        <v>43</v>
      </c>
      <c r="S28">
        <v>1</v>
      </c>
      <c r="U28">
        <v>1</v>
      </c>
      <c r="V28" t="s">
        <v>73</v>
      </c>
      <c r="W28" t="s">
        <v>110</v>
      </c>
      <c r="Z28" t="s">
        <v>33</v>
      </c>
      <c r="AA28">
        <v>1</v>
      </c>
      <c r="AC28">
        <v>1</v>
      </c>
      <c r="AD28" t="s">
        <v>65</v>
      </c>
      <c r="AH28" t="s">
        <v>45</v>
      </c>
      <c r="AI28">
        <v>1</v>
      </c>
      <c r="AK28">
        <v>2</v>
      </c>
      <c r="AL28" t="s">
        <v>47</v>
      </c>
      <c r="AM28" t="s">
        <v>76</v>
      </c>
      <c r="AN28" t="s">
        <v>115</v>
      </c>
      <c r="AP28" t="s">
        <v>63</v>
      </c>
      <c r="AQ28">
        <v>1</v>
      </c>
      <c r="AS28">
        <v>1</v>
      </c>
      <c r="AT28" t="s">
        <v>72</v>
      </c>
      <c r="AX28">
        <v>8</v>
      </c>
      <c r="AY28">
        <v>48</v>
      </c>
      <c r="AZ28">
        <v>30</v>
      </c>
      <c r="BA28">
        <v>2</v>
      </c>
    </row>
    <row r="29" spans="1:53" x14ac:dyDescent="0.25">
      <c r="A29" t="s">
        <v>332</v>
      </c>
      <c r="B29" t="s">
        <v>53</v>
      </c>
      <c r="C29">
        <v>1</v>
      </c>
      <c r="D29">
        <v>1</v>
      </c>
      <c r="E29">
        <v>1</v>
      </c>
      <c r="F29" t="s">
        <v>54</v>
      </c>
      <c r="G29" t="s">
        <v>84</v>
      </c>
      <c r="H29" t="s">
        <v>122</v>
      </c>
      <c r="J29" t="s">
        <v>56</v>
      </c>
      <c r="K29">
        <v>1</v>
      </c>
      <c r="M29">
        <v>1</v>
      </c>
      <c r="N29" t="s">
        <v>68</v>
      </c>
      <c r="R29" t="s">
        <v>43</v>
      </c>
      <c r="S29">
        <v>1</v>
      </c>
      <c r="U29">
        <v>1</v>
      </c>
      <c r="V29" t="s">
        <v>73</v>
      </c>
      <c r="Z29" t="s">
        <v>33</v>
      </c>
      <c r="AA29">
        <v>1</v>
      </c>
      <c r="AC29">
        <v>1</v>
      </c>
      <c r="AD29" t="s">
        <v>65</v>
      </c>
      <c r="AH29" t="s">
        <v>45</v>
      </c>
      <c r="AI29">
        <v>1</v>
      </c>
      <c r="AK29">
        <v>3</v>
      </c>
      <c r="AL29" t="s">
        <v>47</v>
      </c>
      <c r="AM29" t="s">
        <v>76</v>
      </c>
      <c r="AN29" t="s">
        <v>100</v>
      </c>
      <c r="AO29" t="s">
        <v>164</v>
      </c>
      <c r="AP29" t="s">
        <v>38</v>
      </c>
      <c r="AQ29">
        <v>1</v>
      </c>
      <c r="AR29">
        <v>1</v>
      </c>
      <c r="AS29">
        <v>1</v>
      </c>
      <c r="AT29" t="s">
        <v>173</v>
      </c>
      <c r="AU29" t="s">
        <v>40</v>
      </c>
      <c r="AX29">
        <v>8</v>
      </c>
      <c r="AY29">
        <v>63</v>
      </c>
      <c r="AZ29">
        <v>30</v>
      </c>
      <c r="BA29">
        <v>2</v>
      </c>
    </row>
    <row r="30" spans="1:53" x14ac:dyDescent="0.25">
      <c r="A30" t="s">
        <v>333</v>
      </c>
      <c r="B30" t="s">
        <v>53</v>
      </c>
      <c r="C30">
        <v>2</v>
      </c>
      <c r="D30">
        <v>1</v>
      </c>
      <c r="E30">
        <v>1</v>
      </c>
      <c r="F30" t="s">
        <v>54</v>
      </c>
      <c r="J30" t="s">
        <v>56</v>
      </c>
      <c r="K30">
        <v>1</v>
      </c>
      <c r="M30">
        <v>1</v>
      </c>
      <c r="N30" t="s">
        <v>68</v>
      </c>
      <c r="R30" t="s">
        <v>43</v>
      </c>
      <c r="S30">
        <v>1</v>
      </c>
      <c r="U30">
        <v>1</v>
      </c>
      <c r="V30" t="s">
        <v>73</v>
      </c>
      <c r="W30" t="s">
        <v>74</v>
      </c>
      <c r="X30" t="s">
        <v>75</v>
      </c>
      <c r="Z30" t="s">
        <v>33</v>
      </c>
      <c r="AA30">
        <v>1</v>
      </c>
      <c r="AC30">
        <v>2</v>
      </c>
      <c r="AD30" t="s">
        <v>65</v>
      </c>
      <c r="AH30" t="s">
        <v>63</v>
      </c>
      <c r="AI30">
        <v>1</v>
      </c>
      <c r="AK30">
        <v>1</v>
      </c>
      <c r="AL30" t="s">
        <v>118</v>
      </c>
      <c r="AM30" t="s">
        <v>167</v>
      </c>
      <c r="AP30" t="s">
        <v>38</v>
      </c>
      <c r="AQ30">
        <v>2</v>
      </c>
      <c r="AR30">
        <v>1</v>
      </c>
      <c r="AS30">
        <v>1</v>
      </c>
      <c r="AT30" t="s">
        <v>173</v>
      </c>
      <c r="AX30">
        <v>6</v>
      </c>
      <c r="AY30">
        <v>50</v>
      </c>
      <c r="AZ30">
        <v>30</v>
      </c>
      <c r="BA30">
        <v>2</v>
      </c>
    </row>
    <row r="31" spans="1:53" x14ac:dyDescent="0.25">
      <c r="A31" t="s">
        <v>334</v>
      </c>
      <c r="B31" t="s">
        <v>45</v>
      </c>
      <c r="C31">
        <v>1</v>
      </c>
      <c r="E31">
        <v>1</v>
      </c>
      <c r="F31" t="s">
        <v>47</v>
      </c>
      <c r="G31" t="s">
        <v>76</v>
      </c>
      <c r="J31" t="s">
        <v>63</v>
      </c>
      <c r="K31">
        <v>1</v>
      </c>
      <c r="M31">
        <v>2</v>
      </c>
      <c r="N31" t="s">
        <v>118</v>
      </c>
      <c r="O31" t="s">
        <v>103</v>
      </c>
      <c r="P31" t="s">
        <v>119</v>
      </c>
      <c r="R31" t="s">
        <v>38</v>
      </c>
      <c r="S31">
        <v>3</v>
      </c>
      <c r="T31">
        <v>1</v>
      </c>
      <c r="U31">
        <v>1</v>
      </c>
      <c r="V31" t="s">
        <v>67</v>
      </c>
      <c r="W31" t="s">
        <v>40</v>
      </c>
      <c r="Z31" t="s">
        <v>53</v>
      </c>
      <c r="AA31">
        <v>2</v>
      </c>
      <c r="AB31">
        <v>1</v>
      </c>
      <c r="AC31">
        <v>1</v>
      </c>
      <c r="AD31" t="s">
        <v>54</v>
      </c>
      <c r="AE31" t="s">
        <v>55</v>
      </c>
      <c r="AH31" t="s">
        <v>56</v>
      </c>
      <c r="AI31">
        <v>1</v>
      </c>
      <c r="AK31">
        <v>2</v>
      </c>
      <c r="AL31" t="s">
        <v>57</v>
      </c>
      <c r="AM31" t="s">
        <v>69</v>
      </c>
      <c r="AN31" t="s">
        <v>144</v>
      </c>
      <c r="AO31" t="s">
        <v>146</v>
      </c>
      <c r="AP31" t="s">
        <v>43</v>
      </c>
      <c r="AQ31">
        <v>1</v>
      </c>
      <c r="AS31">
        <v>1</v>
      </c>
      <c r="AT31" t="s">
        <v>73</v>
      </c>
      <c r="AX31">
        <v>13</v>
      </c>
      <c r="AY31">
        <v>55</v>
      </c>
      <c r="AZ31">
        <v>30</v>
      </c>
      <c r="BA31">
        <v>2</v>
      </c>
    </row>
    <row r="32" spans="1:53" x14ac:dyDescent="0.25">
      <c r="A32" t="s">
        <v>335</v>
      </c>
      <c r="B32" t="s">
        <v>48</v>
      </c>
      <c r="C32">
        <v>1</v>
      </c>
      <c r="E32">
        <v>1</v>
      </c>
      <c r="F32" t="s">
        <v>49</v>
      </c>
      <c r="J32" t="s">
        <v>33</v>
      </c>
      <c r="K32">
        <v>1</v>
      </c>
      <c r="M32">
        <v>1</v>
      </c>
      <c r="N32" t="s">
        <v>65</v>
      </c>
      <c r="O32" t="s">
        <v>35</v>
      </c>
      <c r="P32" t="s">
        <v>36</v>
      </c>
      <c r="R32" t="s">
        <v>43</v>
      </c>
      <c r="S32">
        <v>1</v>
      </c>
      <c r="U32">
        <v>1</v>
      </c>
      <c r="V32" t="s">
        <v>73</v>
      </c>
      <c r="W32" t="s">
        <v>74</v>
      </c>
      <c r="Z32" t="s">
        <v>53</v>
      </c>
      <c r="AA32">
        <v>1</v>
      </c>
      <c r="AB32">
        <v>1</v>
      </c>
      <c r="AC32">
        <v>3</v>
      </c>
      <c r="AD32" t="s">
        <v>54</v>
      </c>
      <c r="AH32" t="s">
        <v>56</v>
      </c>
      <c r="AI32">
        <v>1</v>
      </c>
      <c r="AK32">
        <v>1</v>
      </c>
      <c r="AL32" t="s">
        <v>68</v>
      </c>
      <c r="AP32" t="s">
        <v>45</v>
      </c>
      <c r="AQ32">
        <v>1</v>
      </c>
      <c r="AS32">
        <v>2</v>
      </c>
      <c r="AT32" t="s">
        <v>47</v>
      </c>
      <c r="AU32" t="s">
        <v>76</v>
      </c>
      <c r="AV32" t="s">
        <v>163</v>
      </c>
      <c r="AX32">
        <v>8</v>
      </c>
      <c r="AY32">
        <v>49</v>
      </c>
      <c r="AZ32">
        <v>30</v>
      </c>
      <c r="BA32">
        <v>2</v>
      </c>
    </row>
    <row r="33" spans="1:53" x14ac:dyDescent="0.25">
      <c r="A33" t="s">
        <v>362</v>
      </c>
      <c r="B33" t="s">
        <v>53</v>
      </c>
      <c r="C33">
        <v>3</v>
      </c>
      <c r="D33">
        <v>1</v>
      </c>
      <c r="E33">
        <v>1</v>
      </c>
      <c r="F33" t="s">
        <v>54</v>
      </c>
      <c r="G33" t="s">
        <v>84</v>
      </c>
      <c r="H33" t="s">
        <v>135</v>
      </c>
      <c r="J33" t="s">
        <v>56</v>
      </c>
      <c r="K33">
        <v>1</v>
      </c>
      <c r="M33">
        <v>1</v>
      </c>
      <c r="N33" t="s">
        <v>68</v>
      </c>
      <c r="R33" t="s">
        <v>45</v>
      </c>
      <c r="S33">
        <v>1</v>
      </c>
      <c r="U33">
        <v>2</v>
      </c>
      <c r="V33" t="s">
        <v>47</v>
      </c>
      <c r="W33" t="s">
        <v>162</v>
      </c>
      <c r="X33" t="s">
        <v>100</v>
      </c>
      <c r="Z33" t="s">
        <v>48</v>
      </c>
      <c r="AA33">
        <v>1</v>
      </c>
      <c r="AC33">
        <v>2</v>
      </c>
      <c r="AD33" t="s">
        <v>147</v>
      </c>
      <c r="AE33" t="s">
        <v>85</v>
      </c>
      <c r="AF33" t="s">
        <v>148</v>
      </c>
      <c r="AG33" t="s">
        <v>52</v>
      </c>
      <c r="AH33" t="s">
        <v>33</v>
      </c>
      <c r="AI33">
        <v>1</v>
      </c>
      <c r="AK33">
        <v>1</v>
      </c>
      <c r="AL33" t="s">
        <v>46</v>
      </c>
      <c r="AP33" t="s">
        <v>63</v>
      </c>
      <c r="AQ33">
        <v>1</v>
      </c>
      <c r="AS33">
        <v>1</v>
      </c>
      <c r="AT33" t="s">
        <v>72</v>
      </c>
      <c r="AU33" t="s">
        <v>103</v>
      </c>
      <c r="AX33">
        <v>12</v>
      </c>
      <c r="AY33">
        <v>67</v>
      </c>
      <c r="AZ33">
        <v>30</v>
      </c>
      <c r="BA33">
        <v>2</v>
      </c>
    </row>
    <row r="34" spans="1:53" x14ac:dyDescent="0.25">
      <c r="A34" t="s">
        <v>363</v>
      </c>
      <c r="B34" t="s">
        <v>48</v>
      </c>
      <c r="C34">
        <v>1</v>
      </c>
      <c r="E34">
        <v>3</v>
      </c>
      <c r="F34" t="s">
        <v>49</v>
      </c>
      <c r="G34" t="s">
        <v>71</v>
      </c>
      <c r="H34" t="s">
        <v>51</v>
      </c>
      <c r="I34" t="s">
        <v>52</v>
      </c>
      <c r="J34" t="s">
        <v>33</v>
      </c>
      <c r="K34">
        <v>1</v>
      </c>
      <c r="M34">
        <v>1</v>
      </c>
      <c r="N34" t="s">
        <v>65</v>
      </c>
      <c r="O34" t="s">
        <v>35</v>
      </c>
      <c r="R34" t="s">
        <v>38</v>
      </c>
      <c r="S34">
        <v>1</v>
      </c>
      <c r="T34">
        <v>1</v>
      </c>
      <c r="U34">
        <v>2</v>
      </c>
      <c r="V34" t="s">
        <v>173</v>
      </c>
      <c r="W34" t="s">
        <v>40</v>
      </c>
      <c r="Z34" t="s">
        <v>53</v>
      </c>
      <c r="AA34">
        <v>2</v>
      </c>
      <c r="AB34">
        <v>1</v>
      </c>
      <c r="AC34">
        <v>1</v>
      </c>
      <c r="AD34" t="s">
        <v>54</v>
      </c>
      <c r="AH34" t="s">
        <v>56</v>
      </c>
      <c r="AI34">
        <v>1</v>
      </c>
      <c r="AK34">
        <v>1</v>
      </c>
      <c r="AL34" t="s">
        <v>68</v>
      </c>
      <c r="AM34" t="s">
        <v>69</v>
      </c>
      <c r="AN34" t="s">
        <v>144</v>
      </c>
      <c r="AP34" t="s">
        <v>45</v>
      </c>
      <c r="AQ34">
        <v>1</v>
      </c>
      <c r="AS34">
        <v>2</v>
      </c>
      <c r="AT34" t="s">
        <v>47</v>
      </c>
      <c r="AX34">
        <v>12</v>
      </c>
      <c r="AY34">
        <v>61</v>
      </c>
      <c r="AZ34">
        <v>30</v>
      </c>
      <c r="BA34">
        <v>2</v>
      </c>
    </row>
    <row r="35" spans="1:53" x14ac:dyDescent="0.25">
      <c r="A35" t="s">
        <v>364</v>
      </c>
      <c r="B35" t="s">
        <v>53</v>
      </c>
      <c r="C35">
        <v>2</v>
      </c>
      <c r="D35">
        <v>1</v>
      </c>
      <c r="E35">
        <v>1</v>
      </c>
      <c r="F35" t="s">
        <v>54</v>
      </c>
      <c r="J35" t="s">
        <v>56</v>
      </c>
      <c r="K35">
        <v>1</v>
      </c>
      <c r="M35">
        <v>2</v>
      </c>
      <c r="N35" t="s">
        <v>68</v>
      </c>
      <c r="O35" t="s">
        <v>143</v>
      </c>
      <c r="P35" t="s">
        <v>144</v>
      </c>
      <c r="R35" t="s">
        <v>45</v>
      </c>
      <c r="S35">
        <v>1</v>
      </c>
      <c r="U35">
        <v>1</v>
      </c>
      <c r="V35" t="s">
        <v>89</v>
      </c>
      <c r="W35" t="s">
        <v>76</v>
      </c>
      <c r="X35" t="s">
        <v>100</v>
      </c>
      <c r="Y35" t="s">
        <v>164</v>
      </c>
      <c r="Z35" t="s">
        <v>48</v>
      </c>
      <c r="AA35">
        <v>1</v>
      </c>
      <c r="AC35">
        <v>1</v>
      </c>
      <c r="AD35" t="s">
        <v>49</v>
      </c>
      <c r="AE35" t="s">
        <v>85</v>
      </c>
      <c r="AF35" t="s">
        <v>148</v>
      </c>
      <c r="AG35" t="s">
        <v>52</v>
      </c>
      <c r="AH35" t="s">
        <v>43</v>
      </c>
      <c r="AI35">
        <v>1</v>
      </c>
      <c r="AK35">
        <v>1</v>
      </c>
      <c r="AL35" t="s">
        <v>73</v>
      </c>
      <c r="AM35" t="s">
        <v>74</v>
      </c>
      <c r="AN35" t="s">
        <v>158</v>
      </c>
      <c r="AO35" t="s">
        <v>112</v>
      </c>
      <c r="AP35" t="s">
        <v>63</v>
      </c>
      <c r="AQ35">
        <v>1</v>
      </c>
      <c r="AS35">
        <v>1</v>
      </c>
      <c r="AT35" t="s">
        <v>72</v>
      </c>
      <c r="AX35">
        <v>13</v>
      </c>
      <c r="AY35">
        <v>67</v>
      </c>
      <c r="AZ35">
        <v>30</v>
      </c>
      <c r="BA35">
        <v>2</v>
      </c>
    </row>
    <row r="36" spans="1:53" x14ac:dyDescent="0.25">
      <c r="A36" t="s">
        <v>365</v>
      </c>
      <c r="B36" t="s">
        <v>53</v>
      </c>
      <c r="C36">
        <v>2</v>
      </c>
      <c r="D36">
        <v>1</v>
      </c>
      <c r="E36">
        <v>1</v>
      </c>
      <c r="F36" t="s">
        <v>54</v>
      </c>
      <c r="J36" t="s">
        <v>56</v>
      </c>
      <c r="K36">
        <v>1</v>
      </c>
      <c r="M36">
        <v>1</v>
      </c>
      <c r="N36" t="s">
        <v>68</v>
      </c>
      <c r="O36" t="s">
        <v>143</v>
      </c>
      <c r="P36" t="s">
        <v>91</v>
      </c>
      <c r="R36" t="s">
        <v>45</v>
      </c>
      <c r="S36">
        <v>1</v>
      </c>
      <c r="U36">
        <v>2</v>
      </c>
      <c r="V36" t="s">
        <v>47</v>
      </c>
      <c r="Z36" t="s">
        <v>48</v>
      </c>
      <c r="AA36">
        <v>1</v>
      </c>
      <c r="AC36">
        <v>2</v>
      </c>
      <c r="AD36" t="s">
        <v>49</v>
      </c>
      <c r="AE36" t="s">
        <v>50</v>
      </c>
      <c r="AH36" t="s">
        <v>43</v>
      </c>
      <c r="AI36">
        <v>1</v>
      </c>
      <c r="AK36">
        <v>2</v>
      </c>
      <c r="AL36" t="s">
        <v>73</v>
      </c>
      <c r="AM36" t="s">
        <v>110</v>
      </c>
      <c r="AN36" t="s">
        <v>111</v>
      </c>
      <c r="AP36" t="s">
        <v>38</v>
      </c>
      <c r="AQ36">
        <v>2</v>
      </c>
      <c r="AR36">
        <v>1</v>
      </c>
      <c r="AS36">
        <v>3</v>
      </c>
      <c r="AT36" t="s">
        <v>67</v>
      </c>
      <c r="AU36" t="s">
        <v>40</v>
      </c>
      <c r="AX36">
        <v>13</v>
      </c>
      <c r="AY36">
        <v>65</v>
      </c>
      <c r="AZ36">
        <v>30</v>
      </c>
      <c r="BA36">
        <v>2</v>
      </c>
    </row>
    <row r="37" spans="1:53" x14ac:dyDescent="0.25">
      <c r="A37" s="4" t="s">
        <v>366</v>
      </c>
      <c r="B37" t="s">
        <v>48</v>
      </c>
      <c r="C37">
        <v>1</v>
      </c>
      <c r="E37">
        <v>1</v>
      </c>
      <c r="F37" t="s">
        <v>49</v>
      </c>
      <c r="G37" t="s">
        <v>85</v>
      </c>
      <c r="H37" t="s">
        <v>51</v>
      </c>
      <c r="J37" t="s">
        <v>63</v>
      </c>
      <c r="K37">
        <v>1</v>
      </c>
      <c r="M37">
        <v>2</v>
      </c>
      <c r="N37" t="s">
        <v>72</v>
      </c>
      <c r="O37" t="s">
        <v>103</v>
      </c>
      <c r="R37" t="s">
        <v>38</v>
      </c>
      <c r="S37">
        <v>3</v>
      </c>
      <c r="T37">
        <v>1</v>
      </c>
      <c r="U37">
        <v>2</v>
      </c>
      <c r="V37" t="s">
        <v>67</v>
      </c>
      <c r="W37" t="s">
        <v>70</v>
      </c>
      <c r="Z37" t="s">
        <v>53</v>
      </c>
      <c r="AA37">
        <v>2</v>
      </c>
      <c r="AB37">
        <v>1</v>
      </c>
      <c r="AC37">
        <v>2</v>
      </c>
      <c r="AD37" t="s">
        <v>54</v>
      </c>
      <c r="AH37" t="s">
        <v>56</v>
      </c>
      <c r="AI37">
        <v>1</v>
      </c>
      <c r="AK37">
        <v>1</v>
      </c>
      <c r="AL37" t="s">
        <v>68</v>
      </c>
      <c r="AM37" t="s">
        <v>69</v>
      </c>
      <c r="AN37" t="s">
        <v>87</v>
      </c>
      <c r="AP37" t="s">
        <v>45</v>
      </c>
      <c r="AQ37">
        <v>1</v>
      </c>
      <c r="AS37">
        <v>1</v>
      </c>
      <c r="AT37" t="s">
        <v>89</v>
      </c>
      <c r="AX37">
        <v>12</v>
      </c>
      <c r="AY37">
        <v>62</v>
      </c>
      <c r="AZ37">
        <v>30</v>
      </c>
      <c r="BA37">
        <v>2</v>
      </c>
    </row>
    <row r="38" spans="1:53" x14ac:dyDescent="0.25">
      <c r="A38" t="s">
        <v>367</v>
      </c>
      <c r="B38" t="s">
        <v>53</v>
      </c>
      <c r="C38">
        <v>2</v>
      </c>
      <c r="D38">
        <v>1</v>
      </c>
      <c r="E38">
        <v>1</v>
      </c>
      <c r="F38" t="s">
        <v>54</v>
      </c>
      <c r="G38" t="s">
        <v>84</v>
      </c>
      <c r="J38" t="s">
        <v>56</v>
      </c>
      <c r="K38">
        <v>1</v>
      </c>
      <c r="M38">
        <v>1</v>
      </c>
      <c r="N38" t="s">
        <v>68</v>
      </c>
      <c r="O38" t="s">
        <v>69</v>
      </c>
      <c r="R38" t="s">
        <v>45</v>
      </c>
      <c r="S38">
        <v>1</v>
      </c>
      <c r="U38">
        <v>1</v>
      </c>
      <c r="V38" t="s">
        <v>47</v>
      </c>
      <c r="W38" t="s">
        <v>99</v>
      </c>
      <c r="Z38" t="s">
        <v>33</v>
      </c>
      <c r="AA38">
        <v>1</v>
      </c>
      <c r="AC38">
        <v>1</v>
      </c>
      <c r="AD38" t="s">
        <v>65</v>
      </c>
      <c r="AE38" t="s">
        <v>151</v>
      </c>
      <c r="AF38" t="s">
        <v>36</v>
      </c>
      <c r="AH38" t="s">
        <v>43</v>
      </c>
      <c r="AI38">
        <v>1</v>
      </c>
      <c r="AK38">
        <v>1</v>
      </c>
      <c r="AL38" t="s">
        <v>73</v>
      </c>
      <c r="AM38" t="s">
        <v>74</v>
      </c>
      <c r="AN38" t="s">
        <v>111</v>
      </c>
      <c r="AO38" t="s">
        <v>112</v>
      </c>
      <c r="AP38" t="s">
        <v>63</v>
      </c>
      <c r="AQ38">
        <v>1</v>
      </c>
      <c r="AS38">
        <v>1</v>
      </c>
      <c r="AT38" t="s">
        <v>72</v>
      </c>
      <c r="AU38" t="s">
        <v>95</v>
      </c>
      <c r="AX38">
        <v>10</v>
      </c>
      <c r="AY38">
        <v>47</v>
      </c>
      <c r="AZ38">
        <v>30</v>
      </c>
      <c r="BA38">
        <v>2</v>
      </c>
    </row>
    <row r="39" spans="1:53" x14ac:dyDescent="0.25">
      <c r="A39" t="s">
        <v>384</v>
      </c>
      <c r="B39" t="s">
        <v>53</v>
      </c>
      <c r="C39">
        <v>2</v>
      </c>
      <c r="D39">
        <v>1</v>
      </c>
      <c r="E39">
        <v>1</v>
      </c>
      <c r="F39" t="s">
        <v>54</v>
      </c>
      <c r="G39" t="s">
        <v>84</v>
      </c>
      <c r="J39" t="s">
        <v>56</v>
      </c>
      <c r="K39">
        <v>1</v>
      </c>
      <c r="M39">
        <v>1</v>
      </c>
      <c r="N39" t="s">
        <v>141</v>
      </c>
      <c r="R39" t="s">
        <v>45</v>
      </c>
      <c r="S39">
        <v>1</v>
      </c>
      <c r="U39">
        <v>1</v>
      </c>
      <c r="V39" t="s">
        <v>47</v>
      </c>
      <c r="Z39" t="s">
        <v>33</v>
      </c>
      <c r="AA39">
        <v>1</v>
      </c>
      <c r="AC39">
        <v>1</v>
      </c>
      <c r="AD39" t="s">
        <v>65</v>
      </c>
      <c r="AE39" t="s">
        <v>35</v>
      </c>
      <c r="AH39" t="s">
        <v>43</v>
      </c>
      <c r="AI39">
        <v>1</v>
      </c>
      <c r="AK39">
        <v>1</v>
      </c>
      <c r="AL39" t="s">
        <v>73</v>
      </c>
      <c r="AP39" t="s">
        <v>38</v>
      </c>
      <c r="AQ39">
        <v>1</v>
      </c>
      <c r="AR39">
        <v>1</v>
      </c>
      <c r="AS39">
        <v>1</v>
      </c>
      <c r="AT39" t="s">
        <v>173</v>
      </c>
      <c r="AU39" t="s">
        <v>40</v>
      </c>
      <c r="AV39" t="s">
        <v>41</v>
      </c>
      <c r="AW39" t="s">
        <v>176</v>
      </c>
      <c r="AX39">
        <v>6</v>
      </c>
      <c r="AY39">
        <v>42</v>
      </c>
      <c r="AZ39">
        <v>30</v>
      </c>
      <c r="BA39">
        <v>2</v>
      </c>
    </row>
    <row r="40" spans="1:53" x14ac:dyDescent="0.25">
      <c r="A40" t="s">
        <v>385</v>
      </c>
      <c r="B40" t="s">
        <v>53</v>
      </c>
      <c r="C40">
        <v>2</v>
      </c>
      <c r="D40">
        <v>1</v>
      </c>
      <c r="E40">
        <v>1</v>
      </c>
      <c r="F40" t="s">
        <v>54</v>
      </c>
      <c r="G40" t="s">
        <v>55</v>
      </c>
      <c r="J40" t="s">
        <v>56</v>
      </c>
      <c r="K40">
        <v>1</v>
      </c>
      <c r="M40">
        <v>1</v>
      </c>
      <c r="N40" t="s">
        <v>68</v>
      </c>
      <c r="O40" t="s">
        <v>69</v>
      </c>
      <c r="R40" t="s">
        <v>45</v>
      </c>
      <c r="S40">
        <v>1</v>
      </c>
      <c r="U40">
        <v>1</v>
      </c>
      <c r="V40" t="s">
        <v>47</v>
      </c>
      <c r="Z40" t="s">
        <v>33</v>
      </c>
      <c r="AA40">
        <v>1</v>
      </c>
      <c r="AC40">
        <v>1</v>
      </c>
      <c r="AD40" t="s">
        <v>65</v>
      </c>
      <c r="AE40" t="s">
        <v>66</v>
      </c>
      <c r="AF40" t="s">
        <v>36</v>
      </c>
      <c r="AH40" t="s">
        <v>63</v>
      </c>
      <c r="AI40">
        <v>1</v>
      </c>
      <c r="AK40">
        <v>1</v>
      </c>
      <c r="AL40" t="s">
        <v>72</v>
      </c>
      <c r="AP40" t="s">
        <v>38</v>
      </c>
      <c r="AQ40">
        <v>1</v>
      </c>
      <c r="AR40">
        <v>1</v>
      </c>
      <c r="AS40">
        <v>1</v>
      </c>
      <c r="AT40" t="s">
        <v>67</v>
      </c>
      <c r="AU40" t="s">
        <v>40</v>
      </c>
      <c r="AX40">
        <v>6</v>
      </c>
      <c r="AY40">
        <v>54</v>
      </c>
      <c r="AZ40">
        <v>30</v>
      </c>
      <c r="BA40">
        <v>2</v>
      </c>
    </row>
    <row r="41" spans="1:53" x14ac:dyDescent="0.25">
      <c r="A41" t="s">
        <v>386</v>
      </c>
      <c r="B41" t="s">
        <v>53</v>
      </c>
      <c r="C41">
        <v>2</v>
      </c>
      <c r="D41">
        <v>1</v>
      </c>
      <c r="E41">
        <v>1</v>
      </c>
      <c r="F41" t="s">
        <v>54</v>
      </c>
      <c r="G41" t="s">
        <v>84</v>
      </c>
      <c r="J41" t="s">
        <v>56</v>
      </c>
      <c r="K41">
        <v>1</v>
      </c>
      <c r="M41">
        <v>1</v>
      </c>
      <c r="N41" t="s">
        <v>68</v>
      </c>
      <c r="O41" t="s">
        <v>69</v>
      </c>
      <c r="R41" t="s">
        <v>45</v>
      </c>
      <c r="S41">
        <v>1</v>
      </c>
      <c r="U41">
        <v>2</v>
      </c>
      <c r="V41" t="s">
        <v>89</v>
      </c>
      <c r="Z41" t="s">
        <v>43</v>
      </c>
      <c r="AA41">
        <v>1</v>
      </c>
      <c r="AC41">
        <v>1</v>
      </c>
      <c r="AD41" t="s">
        <v>73</v>
      </c>
      <c r="AE41" t="s">
        <v>74</v>
      </c>
      <c r="AF41" t="s">
        <v>75</v>
      </c>
      <c r="AG41" t="s">
        <v>112</v>
      </c>
      <c r="AH41" t="s">
        <v>63</v>
      </c>
      <c r="AI41">
        <v>1</v>
      </c>
      <c r="AK41">
        <v>1</v>
      </c>
      <c r="AL41" t="s">
        <v>72</v>
      </c>
      <c r="AP41" t="s">
        <v>38</v>
      </c>
      <c r="AQ41">
        <v>1</v>
      </c>
      <c r="AR41">
        <v>1</v>
      </c>
      <c r="AS41">
        <v>1</v>
      </c>
      <c r="AT41" t="s">
        <v>67</v>
      </c>
      <c r="AU41" t="s">
        <v>70</v>
      </c>
      <c r="AV41" t="s">
        <v>41</v>
      </c>
      <c r="AX41">
        <v>9</v>
      </c>
      <c r="AY41">
        <v>45</v>
      </c>
      <c r="AZ41">
        <v>30</v>
      </c>
      <c r="BA41">
        <v>2</v>
      </c>
    </row>
    <row r="42" spans="1:53" x14ac:dyDescent="0.25">
      <c r="A42" t="s">
        <v>387</v>
      </c>
      <c r="B42" t="s">
        <v>53</v>
      </c>
      <c r="C42">
        <v>3</v>
      </c>
      <c r="D42">
        <v>1</v>
      </c>
      <c r="E42">
        <v>1</v>
      </c>
      <c r="F42" t="s">
        <v>54</v>
      </c>
      <c r="G42" t="s">
        <v>84</v>
      </c>
      <c r="H42" t="s">
        <v>108</v>
      </c>
      <c r="I42" t="s">
        <v>109</v>
      </c>
      <c r="J42" t="s">
        <v>56</v>
      </c>
      <c r="K42">
        <v>1</v>
      </c>
      <c r="M42">
        <v>1</v>
      </c>
      <c r="N42" t="s">
        <v>68</v>
      </c>
      <c r="O42" t="s">
        <v>142</v>
      </c>
      <c r="R42" t="s">
        <v>63</v>
      </c>
      <c r="S42">
        <v>1</v>
      </c>
      <c r="U42">
        <v>1</v>
      </c>
      <c r="V42" t="s">
        <v>72</v>
      </c>
      <c r="Z42" t="s">
        <v>48</v>
      </c>
      <c r="AA42">
        <v>1</v>
      </c>
      <c r="AC42">
        <v>2</v>
      </c>
      <c r="AD42" t="s">
        <v>49</v>
      </c>
      <c r="AE42" t="s">
        <v>71</v>
      </c>
      <c r="AF42" t="s">
        <v>148</v>
      </c>
      <c r="AG42" t="s">
        <v>52</v>
      </c>
      <c r="AH42" t="s">
        <v>33</v>
      </c>
      <c r="AI42">
        <v>1</v>
      </c>
      <c r="AK42">
        <v>1</v>
      </c>
      <c r="AL42" t="s">
        <v>65</v>
      </c>
      <c r="AM42" t="s">
        <v>35</v>
      </c>
      <c r="AP42" t="s">
        <v>43</v>
      </c>
      <c r="AQ42">
        <v>1</v>
      </c>
      <c r="AS42">
        <v>2</v>
      </c>
      <c r="AT42" t="s">
        <v>73</v>
      </c>
      <c r="AU42" t="s">
        <v>74</v>
      </c>
      <c r="AV42" t="s">
        <v>75</v>
      </c>
      <c r="AX42">
        <v>14</v>
      </c>
      <c r="AY42">
        <v>60</v>
      </c>
      <c r="AZ42">
        <v>30</v>
      </c>
      <c r="BA42">
        <v>2</v>
      </c>
    </row>
    <row r="43" spans="1:53" x14ac:dyDescent="0.25">
      <c r="A43" t="s">
        <v>388</v>
      </c>
      <c r="B43" t="s">
        <v>53</v>
      </c>
      <c r="C43">
        <v>1</v>
      </c>
      <c r="D43">
        <v>1</v>
      </c>
      <c r="E43">
        <v>3</v>
      </c>
      <c r="F43" t="s">
        <v>54</v>
      </c>
      <c r="G43" t="s">
        <v>84</v>
      </c>
      <c r="H43" t="s">
        <v>122</v>
      </c>
      <c r="I43" t="s">
        <v>109</v>
      </c>
      <c r="J43" t="s">
        <v>56</v>
      </c>
      <c r="K43">
        <v>1</v>
      </c>
      <c r="M43">
        <v>2</v>
      </c>
      <c r="N43" t="s">
        <v>68</v>
      </c>
      <c r="O43" t="s">
        <v>69</v>
      </c>
      <c r="P43" t="s">
        <v>144</v>
      </c>
      <c r="R43" t="s">
        <v>63</v>
      </c>
      <c r="S43">
        <v>1</v>
      </c>
      <c r="U43">
        <v>1</v>
      </c>
      <c r="V43" t="s">
        <v>72</v>
      </c>
      <c r="Z43" t="s">
        <v>48</v>
      </c>
      <c r="AA43">
        <v>1</v>
      </c>
      <c r="AC43">
        <v>3</v>
      </c>
      <c r="AD43" t="s">
        <v>93</v>
      </c>
      <c r="AE43" t="s">
        <v>85</v>
      </c>
      <c r="AF43" t="s">
        <v>148</v>
      </c>
      <c r="AG43" t="s">
        <v>52</v>
      </c>
      <c r="AH43" t="s">
        <v>33</v>
      </c>
      <c r="AI43">
        <v>1</v>
      </c>
      <c r="AK43">
        <v>1</v>
      </c>
      <c r="AL43" t="s">
        <v>65</v>
      </c>
      <c r="AM43" t="s">
        <v>35</v>
      </c>
      <c r="AP43" t="s">
        <v>45</v>
      </c>
      <c r="AQ43">
        <v>1</v>
      </c>
      <c r="AS43">
        <v>2</v>
      </c>
      <c r="AT43" t="s">
        <v>47</v>
      </c>
      <c r="AU43" t="s">
        <v>99</v>
      </c>
      <c r="AV43" t="s">
        <v>115</v>
      </c>
      <c r="AX43">
        <v>17</v>
      </c>
      <c r="AY43">
        <v>81</v>
      </c>
      <c r="AZ43">
        <v>30</v>
      </c>
      <c r="BA43">
        <v>2</v>
      </c>
    </row>
    <row r="44" spans="1:53" x14ac:dyDescent="0.25">
      <c r="A44" s="4" t="s">
        <v>389</v>
      </c>
      <c r="B44" t="s">
        <v>53</v>
      </c>
      <c r="C44">
        <v>2</v>
      </c>
      <c r="D44">
        <v>1</v>
      </c>
      <c r="E44">
        <v>1</v>
      </c>
      <c r="F44" t="s">
        <v>54</v>
      </c>
      <c r="J44" t="s">
        <v>56</v>
      </c>
      <c r="K44">
        <v>1</v>
      </c>
      <c r="M44">
        <v>1</v>
      </c>
      <c r="N44" t="s">
        <v>68</v>
      </c>
      <c r="O44" t="s">
        <v>69</v>
      </c>
      <c r="R44" t="s">
        <v>63</v>
      </c>
      <c r="S44">
        <v>1</v>
      </c>
      <c r="U44">
        <v>2</v>
      </c>
      <c r="V44" t="s">
        <v>72</v>
      </c>
      <c r="Z44" t="s">
        <v>48</v>
      </c>
      <c r="AA44">
        <v>1</v>
      </c>
      <c r="AC44">
        <v>1</v>
      </c>
      <c r="AD44" t="s">
        <v>49</v>
      </c>
      <c r="AE44" t="s">
        <v>85</v>
      </c>
      <c r="AH44" t="s">
        <v>33</v>
      </c>
      <c r="AI44">
        <v>1</v>
      </c>
      <c r="AK44">
        <v>2</v>
      </c>
      <c r="AL44" t="s">
        <v>65</v>
      </c>
      <c r="AP44" t="s">
        <v>38</v>
      </c>
      <c r="AQ44">
        <v>1</v>
      </c>
      <c r="AR44">
        <v>2</v>
      </c>
      <c r="AS44">
        <v>1</v>
      </c>
      <c r="AT44" t="s">
        <v>173</v>
      </c>
      <c r="AU44" t="s">
        <v>40</v>
      </c>
      <c r="AV44" t="s">
        <v>175</v>
      </c>
      <c r="AX44">
        <v>8</v>
      </c>
      <c r="AY44">
        <v>45</v>
      </c>
      <c r="AZ44">
        <v>30</v>
      </c>
      <c r="BA44">
        <v>2</v>
      </c>
    </row>
    <row r="45" spans="1:53" x14ac:dyDescent="0.25">
      <c r="A45" t="s">
        <v>390</v>
      </c>
      <c r="B45" t="s">
        <v>53</v>
      </c>
      <c r="C45">
        <v>2</v>
      </c>
      <c r="D45">
        <v>1</v>
      </c>
      <c r="E45">
        <v>1</v>
      </c>
      <c r="F45" t="s">
        <v>54</v>
      </c>
      <c r="J45" t="s">
        <v>56</v>
      </c>
      <c r="K45">
        <v>1</v>
      </c>
      <c r="M45">
        <v>1</v>
      </c>
      <c r="N45" t="s">
        <v>68</v>
      </c>
      <c r="R45" t="s">
        <v>63</v>
      </c>
      <c r="S45">
        <v>1</v>
      </c>
      <c r="U45">
        <v>1</v>
      </c>
      <c r="V45" t="s">
        <v>72</v>
      </c>
      <c r="Z45" t="s">
        <v>48</v>
      </c>
      <c r="AA45">
        <v>1</v>
      </c>
      <c r="AC45">
        <v>1</v>
      </c>
      <c r="AD45" t="s">
        <v>49</v>
      </c>
      <c r="AE45" t="s">
        <v>85</v>
      </c>
      <c r="AH45" t="s">
        <v>43</v>
      </c>
      <c r="AI45">
        <v>1</v>
      </c>
      <c r="AK45">
        <v>1</v>
      </c>
      <c r="AL45" t="s">
        <v>73</v>
      </c>
      <c r="AM45" t="s">
        <v>74</v>
      </c>
      <c r="AP45" t="s">
        <v>45</v>
      </c>
      <c r="AQ45">
        <v>1</v>
      </c>
      <c r="AS45">
        <v>1</v>
      </c>
      <c r="AT45" t="s">
        <v>89</v>
      </c>
      <c r="AU45" t="s">
        <v>76</v>
      </c>
      <c r="AV45" t="s">
        <v>100</v>
      </c>
      <c r="AX45">
        <v>5</v>
      </c>
      <c r="AY45">
        <v>45</v>
      </c>
      <c r="AZ45">
        <v>30</v>
      </c>
      <c r="BA45">
        <v>2</v>
      </c>
    </row>
    <row r="46" spans="1:53" x14ac:dyDescent="0.25">
      <c r="A46" t="s">
        <v>391</v>
      </c>
      <c r="B46" t="s">
        <v>48</v>
      </c>
      <c r="C46">
        <v>1</v>
      </c>
      <c r="E46">
        <v>1</v>
      </c>
      <c r="F46" t="s">
        <v>49</v>
      </c>
      <c r="G46" t="s">
        <v>71</v>
      </c>
      <c r="H46" t="s">
        <v>148</v>
      </c>
      <c r="I46" t="s">
        <v>52</v>
      </c>
      <c r="J46" t="s">
        <v>43</v>
      </c>
      <c r="K46">
        <v>1</v>
      </c>
      <c r="M46">
        <v>1</v>
      </c>
      <c r="N46" t="s">
        <v>73</v>
      </c>
      <c r="O46" t="s">
        <v>74</v>
      </c>
      <c r="R46" t="s">
        <v>38</v>
      </c>
      <c r="S46">
        <v>2</v>
      </c>
      <c r="T46">
        <v>1</v>
      </c>
      <c r="U46">
        <v>1</v>
      </c>
      <c r="V46" t="s">
        <v>67</v>
      </c>
      <c r="W46" t="s">
        <v>105</v>
      </c>
      <c r="X46" t="s">
        <v>175</v>
      </c>
      <c r="Z46" t="s">
        <v>53</v>
      </c>
      <c r="AA46">
        <v>3</v>
      </c>
      <c r="AB46">
        <v>1</v>
      </c>
      <c r="AC46">
        <v>1</v>
      </c>
      <c r="AD46" t="s">
        <v>54</v>
      </c>
      <c r="AE46" t="s">
        <v>84</v>
      </c>
      <c r="AH46" t="s">
        <v>56</v>
      </c>
      <c r="AI46">
        <v>1</v>
      </c>
      <c r="AK46">
        <v>1</v>
      </c>
      <c r="AL46" t="s">
        <v>68</v>
      </c>
      <c r="AP46" t="s">
        <v>63</v>
      </c>
      <c r="AQ46">
        <v>1</v>
      </c>
      <c r="AS46">
        <v>1</v>
      </c>
      <c r="AT46" t="s">
        <v>72</v>
      </c>
      <c r="AU46" t="s">
        <v>95</v>
      </c>
      <c r="AX46">
        <v>11</v>
      </c>
      <c r="AY46">
        <v>47</v>
      </c>
      <c r="AZ46">
        <v>30</v>
      </c>
      <c r="BA46">
        <v>2</v>
      </c>
    </row>
    <row r="47" spans="1:53" x14ac:dyDescent="0.25">
      <c r="A47" t="s">
        <v>392</v>
      </c>
      <c r="B47" t="s">
        <v>48</v>
      </c>
      <c r="C47">
        <v>1</v>
      </c>
      <c r="E47">
        <v>1</v>
      </c>
      <c r="F47" t="s">
        <v>93</v>
      </c>
      <c r="G47" t="s">
        <v>71</v>
      </c>
      <c r="H47" t="s">
        <v>51</v>
      </c>
      <c r="I47" t="s">
        <v>52</v>
      </c>
      <c r="J47" t="s">
        <v>45</v>
      </c>
      <c r="K47">
        <v>1</v>
      </c>
      <c r="M47">
        <v>3</v>
      </c>
      <c r="N47" t="s">
        <v>47</v>
      </c>
      <c r="O47" t="s">
        <v>76</v>
      </c>
      <c r="P47" t="s">
        <v>163</v>
      </c>
      <c r="Q47" t="s">
        <v>101</v>
      </c>
      <c r="R47" t="s">
        <v>38</v>
      </c>
      <c r="S47">
        <v>2</v>
      </c>
      <c r="T47">
        <v>1</v>
      </c>
      <c r="U47">
        <v>1</v>
      </c>
      <c r="V47" t="s">
        <v>173</v>
      </c>
      <c r="W47" t="s">
        <v>40</v>
      </c>
      <c r="Z47" t="s">
        <v>53</v>
      </c>
      <c r="AA47">
        <v>2</v>
      </c>
      <c r="AB47">
        <v>2</v>
      </c>
      <c r="AC47">
        <v>1</v>
      </c>
      <c r="AD47" t="s">
        <v>54</v>
      </c>
      <c r="AE47" t="s">
        <v>84</v>
      </c>
      <c r="AF47" t="s">
        <v>108</v>
      </c>
      <c r="AH47" t="s">
        <v>56</v>
      </c>
      <c r="AI47">
        <v>1</v>
      </c>
      <c r="AK47">
        <v>1</v>
      </c>
      <c r="AL47" t="s">
        <v>141</v>
      </c>
      <c r="AP47" t="s">
        <v>63</v>
      </c>
      <c r="AQ47">
        <v>1</v>
      </c>
      <c r="AS47">
        <v>1</v>
      </c>
      <c r="AT47" t="s">
        <v>72</v>
      </c>
      <c r="AX47">
        <v>14</v>
      </c>
      <c r="AY47">
        <v>78</v>
      </c>
      <c r="AZ47">
        <v>30</v>
      </c>
      <c r="BA47">
        <v>2</v>
      </c>
    </row>
    <row r="48" spans="1:53" x14ac:dyDescent="0.25">
      <c r="A48" t="s">
        <v>393</v>
      </c>
      <c r="B48" t="s">
        <v>53</v>
      </c>
      <c r="C48">
        <v>2</v>
      </c>
      <c r="D48">
        <v>1</v>
      </c>
      <c r="E48">
        <v>2</v>
      </c>
      <c r="F48" t="s">
        <v>54</v>
      </c>
      <c r="G48" t="s">
        <v>84</v>
      </c>
      <c r="J48" t="s">
        <v>56</v>
      </c>
      <c r="K48">
        <v>1</v>
      </c>
      <c r="M48">
        <v>1</v>
      </c>
      <c r="N48" t="s">
        <v>68</v>
      </c>
      <c r="O48" t="s">
        <v>142</v>
      </c>
      <c r="R48" t="s">
        <v>63</v>
      </c>
      <c r="S48">
        <v>1</v>
      </c>
      <c r="U48">
        <v>1</v>
      </c>
      <c r="V48" t="s">
        <v>72</v>
      </c>
      <c r="W48" t="s">
        <v>95</v>
      </c>
      <c r="Z48" t="s">
        <v>33</v>
      </c>
      <c r="AA48">
        <v>1</v>
      </c>
      <c r="AC48">
        <v>1</v>
      </c>
      <c r="AD48" t="s">
        <v>65</v>
      </c>
      <c r="AE48" t="s">
        <v>35</v>
      </c>
      <c r="AH48" t="s">
        <v>43</v>
      </c>
      <c r="AI48">
        <v>1</v>
      </c>
      <c r="AK48">
        <v>1</v>
      </c>
      <c r="AL48" t="s">
        <v>73</v>
      </c>
      <c r="AM48" t="s">
        <v>74</v>
      </c>
      <c r="AN48" t="s">
        <v>158</v>
      </c>
      <c r="AO48" t="s">
        <v>112</v>
      </c>
      <c r="AP48" t="s">
        <v>45</v>
      </c>
      <c r="AQ48">
        <v>1</v>
      </c>
      <c r="AS48">
        <v>1</v>
      </c>
      <c r="AT48" t="s">
        <v>89</v>
      </c>
      <c r="AX48">
        <v>9</v>
      </c>
      <c r="AY48">
        <v>49</v>
      </c>
      <c r="AZ48">
        <v>30</v>
      </c>
      <c r="BA48">
        <v>2</v>
      </c>
    </row>
    <row r="49" spans="1:53" x14ac:dyDescent="0.25">
      <c r="A49" t="s">
        <v>394</v>
      </c>
      <c r="B49" t="s">
        <v>53</v>
      </c>
      <c r="C49">
        <v>2</v>
      </c>
      <c r="D49">
        <v>1</v>
      </c>
      <c r="E49">
        <v>1</v>
      </c>
      <c r="F49" t="s">
        <v>54</v>
      </c>
      <c r="G49" t="s">
        <v>84</v>
      </c>
      <c r="J49" t="s">
        <v>56</v>
      </c>
      <c r="K49">
        <v>1</v>
      </c>
      <c r="M49">
        <v>1</v>
      </c>
      <c r="N49" t="s">
        <v>68</v>
      </c>
      <c r="O49" t="s">
        <v>69</v>
      </c>
      <c r="P49" t="s">
        <v>91</v>
      </c>
      <c r="R49" t="s">
        <v>63</v>
      </c>
      <c r="S49">
        <v>1</v>
      </c>
      <c r="U49">
        <v>1</v>
      </c>
      <c r="V49" t="s">
        <v>72</v>
      </c>
      <c r="Z49" t="s">
        <v>33</v>
      </c>
      <c r="AA49">
        <v>1</v>
      </c>
      <c r="AC49">
        <v>1</v>
      </c>
      <c r="AD49" t="s">
        <v>65</v>
      </c>
      <c r="AE49" t="s">
        <v>35</v>
      </c>
      <c r="AF49" t="s">
        <v>36</v>
      </c>
      <c r="AH49" t="s">
        <v>43</v>
      </c>
      <c r="AI49">
        <v>1</v>
      </c>
      <c r="AK49">
        <v>3</v>
      </c>
      <c r="AL49" t="s">
        <v>73</v>
      </c>
      <c r="AM49" t="s">
        <v>157</v>
      </c>
      <c r="AN49" t="s">
        <v>111</v>
      </c>
      <c r="AO49" t="s">
        <v>159</v>
      </c>
      <c r="AP49" t="s">
        <v>38</v>
      </c>
      <c r="AQ49">
        <v>1</v>
      </c>
      <c r="AR49">
        <v>2</v>
      </c>
      <c r="AS49">
        <v>1</v>
      </c>
      <c r="AT49" t="s">
        <v>173</v>
      </c>
      <c r="AU49" t="s">
        <v>40</v>
      </c>
      <c r="AV49" t="s">
        <v>175</v>
      </c>
      <c r="AX49">
        <v>14</v>
      </c>
      <c r="AY49">
        <v>67</v>
      </c>
      <c r="AZ49">
        <v>30</v>
      </c>
      <c r="BA49">
        <v>2</v>
      </c>
    </row>
    <row r="50" spans="1:53" x14ac:dyDescent="0.25">
      <c r="A50" t="s">
        <v>454</v>
      </c>
      <c r="B50" t="s">
        <v>53</v>
      </c>
      <c r="C50">
        <v>2</v>
      </c>
      <c r="D50">
        <v>1</v>
      </c>
      <c r="E50">
        <v>1</v>
      </c>
      <c r="F50" t="s">
        <v>54</v>
      </c>
      <c r="J50" t="s">
        <v>56</v>
      </c>
      <c r="K50">
        <v>1</v>
      </c>
      <c r="M50">
        <v>1</v>
      </c>
      <c r="N50" t="s">
        <v>68</v>
      </c>
      <c r="O50" t="s">
        <v>69</v>
      </c>
      <c r="R50" t="s">
        <v>63</v>
      </c>
      <c r="S50">
        <v>1</v>
      </c>
      <c r="U50">
        <v>1</v>
      </c>
      <c r="V50" t="s">
        <v>72</v>
      </c>
      <c r="W50" t="s">
        <v>95</v>
      </c>
      <c r="Z50" t="s">
        <v>33</v>
      </c>
      <c r="AA50">
        <v>1</v>
      </c>
      <c r="AC50">
        <v>1</v>
      </c>
      <c r="AD50" t="s">
        <v>65</v>
      </c>
      <c r="AE50" t="s">
        <v>35</v>
      </c>
      <c r="AF50" t="s">
        <v>36</v>
      </c>
      <c r="AG50" t="s">
        <v>154</v>
      </c>
      <c r="AH50" t="s">
        <v>45</v>
      </c>
      <c r="AI50">
        <v>1</v>
      </c>
      <c r="AK50">
        <v>1</v>
      </c>
      <c r="AL50" t="s">
        <v>47</v>
      </c>
      <c r="AP50" t="s">
        <v>38</v>
      </c>
      <c r="AQ50">
        <v>1</v>
      </c>
      <c r="AR50">
        <v>1</v>
      </c>
      <c r="AS50">
        <v>1</v>
      </c>
      <c r="AT50" t="s">
        <v>67</v>
      </c>
      <c r="AU50" t="s">
        <v>40</v>
      </c>
      <c r="AX50">
        <v>7</v>
      </c>
      <c r="AY50">
        <v>43</v>
      </c>
      <c r="AZ50">
        <v>30</v>
      </c>
      <c r="BA50">
        <v>2</v>
      </c>
    </row>
    <row r="51" spans="1:53" x14ac:dyDescent="0.25">
      <c r="A51" t="s">
        <v>455</v>
      </c>
      <c r="B51" t="s">
        <v>43</v>
      </c>
      <c r="C51">
        <v>1</v>
      </c>
      <c r="E51">
        <v>1</v>
      </c>
      <c r="F51" t="s">
        <v>73</v>
      </c>
      <c r="J51" t="s">
        <v>45</v>
      </c>
      <c r="K51">
        <v>1</v>
      </c>
      <c r="M51">
        <v>1</v>
      </c>
      <c r="N51" t="s">
        <v>47</v>
      </c>
      <c r="O51" t="s">
        <v>162</v>
      </c>
      <c r="P51" t="s">
        <v>100</v>
      </c>
      <c r="R51" t="s">
        <v>38</v>
      </c>
      <c r="S51">
        <v>3</v>
      </c>
      <c r="T51">
        <v>1</v>
      </c>
      <c r="U51">
        <v>2</v>
      </c>
      <c r="V51" t="s">
        <v>173</v>
      </c>
      <c r="W51" t="s">
        <v>40</v>
      </c>
      <c r="X51" t="s">
        <v>175</v>
      </c>
      <c r="Y51" t="s">
        <v>42</v>
      </c>
      <c r="Z51" t="s">
        <v>53</v>
      </c>
      <c r="AA51">
        <v>3</v>
      </c>
      <c r="AB51">
        <v>1</v>
      </c>
      <c r="AC51">
        <v>1</v>
      </c>
      <c r="AD51" t="s">
        <v>54</v>
      </c>
      <c r="AE51" t="s">
        <v>84</v>
      </c>
      <c r="AH51" t="s">
        <v>56</v>
      </c>
      <c r="AI51">
        <v>1</v>
      </c>
      <c r="AK51">
        <v>2</v>
      </c>
      <c r="AL51" t="s">
        <v>68</v>
      </c>
      <c r="AM51" t="s">
        <v>142</v>
      </c>
      <c r="AN51" t="s">
        <v>91</v>
      </c>
      <c r="AP51" t="s">
        <v>63</v>
      </c>
      <c r="AQ51">
        <v>1</v>
      </c>
      <c r="AS51">
        <v>1</v>
      </c>
      <c r="AT51" t="s">
        <v>72</v>
      </c>
      <c r="AU51" t="s">
        <v>95</v>
      </c>
      <c r="AX51">
        <v>15</v>
      </c>
      <c r="AY51">
        <v>65</v>
      </c>
      <c r="AZ51">
        <v>30</v>
      </c>
      <c r="BA51">
        <v>2</v>
      </c>
    </row>
    <row r="52" spans="1:53" x14ac:dyDescent="0.25">
      <c r="A52" t="s">
        <v>456</v>
      </c>
      <c r="B52" t="s">
        <v>53</v>
      </c>
      <c r="C52">
        <v>2</v>
      </c>
      <c r="D52">
        <v>1</v>
      </c>
      <c r="E52">
        <v>1</v>
      </c>
      <c r="F52" t="s">
        <v>54</v>
      </c>
      <c r="J52" t="s">
        <v>56</v>
      </c>
      <c r="K52">
        <v>1</v>
      </c>
      <c r="M52">
        <v>1</v>
      </c>
      <c r="N52" t="s">
        <v>68</v>
      </c>
      <c r="R52" t="s">
        <v>38</v>
      </c>
      <c r="S52">
        <v>2</v>
      </c>
      <c r="T52">
        <v>1</v>
      </c>
      <c r="U52">
        <v>1</v>
      </c>
      <c r="V52" t="s">
        <v>67</v>
      </c>
      <c r="Z52" t="s">
        <v>48</v>
      </c>
      <c r="AA52">
        <v>1</v>
      </c>
      <c r="AC52">
        <v>1</v>
      </c>
      <c r="AD52" t="s">
        <v>49</v>
      </c>
      <c r="AE52" t="s">
        <v>85</v>
      </c>
      <c r="AF52" t="s">
        <v>148</v>
      </c>
      <c r="AH52" t="s">
        <v>33</v>
      </c>
      <c r="AI52">
        <v>1</v>
      </c>
      <c r="AK52">
        <v>2</v>
      </c>
      <c r="AL52" t="s">
        <v>65</v>
      </c>
      <c r="AP52" t="s">
        <v>43</v>
      </c>
      <c r="AQ52">
        <v>1</v>
      </c>
      <c r="AS52">
        <v>1</v>
      </c>
      <c r="AT52" t="s">
        <v>73</v>
      </c>
      <c r="AU52" t="s">
        <v>110</v>
      </c>
      <c r="AX52">
        <v>6</v>
      </c>
      <c r="AY52">
        <v>45</v>
      </c>
      <c r="AZ52">
        <v>30</v>
      </c>
      <c r="BA52">
        <v>2</v>
      </c>
    </row>
    <row r="53" spans="1:53" x14ac:dyDescent="0.25">
      <c r="A53" t="s">
        <v>457</v>
      </c>
      <c r="B53" t="s">
        <v>53</v>
      </c>
      <c r="C53">
        <v>1</v>
      </c>
      <c r="D53">
        <v>1</v>
      </c>
      <c r="E53">
        <v>1</v>
      </c>
      <c r="F53" t="s">
        <v>54</v>
      </c>
      <c r="G53" t="s">
        <v>55</v>
      </c>
      <c r="J53" t="s">
        <v>56</v>
      </c>
      <c r="K53">
        <v>1</v>
      </c>
      <c r="M53">
        <v>2</v>
      </c>
      <c r="N53" t="s">
        <v>68</v>
      </c>
      <c r="R53" t="s">
        <v>38</v>
      </c>
      <c r="S53">
        <v>1</v>
      </c>
      <c r="T53">
        <v>1</v>
      </c>
      <c r="U53">
        <v>1</v>
      </c>
      <c r="V53" t="s">
        <v>67</v>
      </c>
      <c r="W53" t="s">
        <v>70</v>
      </c>
      <c r="Z53" t="s">
        <v>48</v>
      </c>
      <c r="AA53">
        <v>1</v>
      </c>
      <c r="AC53">
        <v>1</v>
      </c>
      <c r="AD53" t="s">
        <v>147</v>
      </c>
      <c r="AE53" t="s">
        <v>50</v>
      </c>
      <c r="AF53" t="s">
        <v>148</v>
      </c>
      <c r="AG53" t="s">
        <v>52</v>
      </c>
      <c r="AH53" t="s">
        <v>33</v>
      </c>
      <c r="AI53">
        <v>1</v>
      </c>
      <c r="AK53">
        <v>1</v>
      </c>
      <c r="AL53" t="s">
        <v>65</v>
      </c>
      <c r="AP53" t="s">
        <v>45</v>
      </c>
      <c r="AQ53">
        <v>1</v>
      </c>
      <c r="AS53">
        <v>1</v>
      </c>
      <c r="AT53" t="s">
        <v>47</v>
      </c>
      <c r="AX53">
        <v>6</v>
      </c>
      <c r="AY53">
        <v>45</v>
      </c>
      <c r="AZ53">
        <v>30</v>
      </c>
      <c r="BA53">
        <v>2</v>
      </c>
    </row>
    <row r="54" spans="1:53" x14ac:dyDescent="0.25">
      <c r="A54" t="s">
        <v>458</v>
      </c>
      <c r="B54" t="s">
        <v>53</v>
      </c>
      <c r="C54">
        <v>2</v>
      </c>
      <c r="D54">
        <v>1</v>
      </c>
      <c r="E54">
        <v>1</v>
      </c>
      <c r="F54" t="s">
        <v>54</v>
      </c>
      <c r="J54" t="s">
        <v>56</v>
      </c>
      <c r="K54">
        <v>1</v>
      </c>
      <c r="M54">
        <v>1</v>
      </c>
      <c r="N54" t="s">
        <v>57</v>
      </c>
      <c r="R54" t="s">
        <v>38</v>
      </c>
      <c r="S54">
        <v>2</v>
      </c>
      <c r="T54">
        <v>1</v>
      </c>
      <c r="U54">
        <v>1</v>
      </c>
      <c r="V54" t="s">
        <v>67</v>
      </c>
      <c r="Z54" t="s">
        <v>48</v>
      </c>
      <c r="AA54">
        <v>1</v>
      </c>
      <c r="AC54">
        <v>1</v>
      </c>
      <c r="AD54" t="s">
        <v>147</v>
      </c>
      <c r="AE54" t="s">
        <v>71</v>
      </c>
      <c r="AH54" t="s">
        <v>33</v>
      </c>
      <c r="AI54">
        <v>1</v>
      </c>
      <c r="AK54">
        <v>2</v>
      </c>
      <c r="AL54" t="s">
        <v>65</v>
      </c>
      <c r="AM54" t="s">
        <v>35</v>
      </c>
      <c r="AP54" t="s">
        <v>63</v>
      </c>
      <c r="AQ54">
        <v>1</v>
      </c>
      <c r="AS54">
        <v>1</v>
      </c>
      <c r="AT54" t="s">
        <v>72</v>
      </c>
      <c r="AU54" t="s">
        <v>103</v>
      </c>
      <c r="AX54">
        <v>6</v>
      </c>
      <c r="AY54">
        <v>51</v>
      </c>
      <c r="AZ54">
        <v>30</v>
      </c>
      <c r="BA54">
        <v>2</v>
      </c>
    </row>
    <row r="55" spans="1:53" x14ac:dyDescent="0.25">
      <c r="A55" t="s">
        <v>459</v>
      </c>
      <c r="B55" t="s">
        <v>53</v>
      </c>
      <c r="C55">
        <v>2</v>
      </c>
      <c r="D55">
        <v>1</v>
      </c>
      <c r="E55">
        <v>1</v>
      </c>
      <c r="F55" t="s">
        <v>54</v>
      </c>
      <c r="G55" t="s">
        <v>84</v>
      </c>
      <c r="J55" t="s">
        <v>56</v>
      </c>
      <c r="K55">
        <v>1</v>
      </c>
      <c r="M55">
        <v>2</v>
      </c>
      <c r="N55" t="s">
        <v>68</v>
      </c>
      <c r="O55" t="s">
        <v>69</v>
      </c>
      <c r="R55" t="s">
        <v>38</v>
      </c>
      <c r="S55">
        <v>1</v>
      </c>
      <c r="T55">
        <v>1</v>
      </c>
      <c r="U55">
        <v>1</v>
      </c>
      <c r="V55" t="s">
        <v>173</v>
      </c>
      <c r="W55" t="s">
        <v>40</v>
      </c>
      <c r="Z55" t="s">
        <v>48</v>
      </c>
      <c r="AA55">
        <v>1</v>
      </c>
      <c r="AC55">
        <v>1</v>
      </c>
      <c r="AD55" t="s">
        <v>147</v>
      </c>
      <c r="AE55" t="s">
        <v>50</v>
      </c>
      <c r="AF55" t="s">
        <v>51</v>
      </c>
      <c r="AH55" t="s">
        <v>43</v>
      </c>
      <c r="AI55">
        <v>1</v>
      </c>
      <c r="AK55">
        <v>1</v>
      </c>
      <c r="AL55" t="s">
        <v>73</v>
      </c>
      <c r="AP55" t="s">
        <v>45</v>
      </c>
      <c r="AQ55">
        <v>1</v>
      </c>
      <c r="AS55">
        <v>1</v>
      </c>
      <c r="AT55" t="s">
        <v>47</v>
      </c>
      <c r="AU55" t="s">
        <v>162</v>
      </c>
      <c r="AX55">
        <v>8</v>
      </c>
      <c r="AY55">
        <v>47</v>
      </c>
      <c r="AZ55">
        <v>30</v>
      </c>
      <c r="BA55">
        <v>2</v>
      </c>
    </row>
    <row r="56" spans="1:53" x14ac:dyDescent="0.25">
      <c r="A56" t="s">
        <v>460</v>
      </c>
      <c r="B56" t="s">
        <v>53</v>
      </c>
      <c r="C56">
        <v>3</v>
      </c>
      <c r="D56">
        <v>3</v>
      </c>
      <c r="E56">
        <v>1</v>
      </c>
      <c r="F56" t="s">
        <v>54</v>
      </c>
      <c r="G56" t="s">
        <v>55</v>
      </c>
      <c r="H56" t="s">
        <v>108</v>
      </c>
      <c r="I56" t="s">
        <v>137</v>
      </c>
      <c r="J56" t="s">
        <v>56</v>
      </c>
      <c r="K56">
        <v>1</v>
      </c>
      <c r="M56">
        <v>1</v>
      </c>
      <c r="N56" t="s">
        <v>141</v>
      </c>
      <c r="R56" t="s">
        <v>38</v>
      </c>
      <c r="S56">
        <v>1</v>
      </c>
      <c r="T56">
        <v>1</v>
      </c>
      <c r="U56">
        <v>1</v>
      </c>
      <c r="V56" t="s">
        <v>67</v>
      </c>
      <c r="W56" t="s">
        <v>70</v>
      </c>
      <c r="X56" t="s">
        <v>41</v>
      </c>
      <c r="Y56" t="s">
        <v>42</v>
      </c>
      <c r="Z56" t="s">
        <v>48</v>
      </c>
      <c r="AA56">
        <v>2</v>
      </c>
      <c r="AC56">
        <v>3</v>
      </c>
      <c r="AD56" t="s">
        <v>93</v>
      </c>
      <c r="AE56" t="s">
        <v>50</v>
      </c>
      <c r="AF56" t="s">
        <v>94</v>
      </c>
      <c r="AG56" t="s">
        <v>52</v>
      </c>
      <c r="AH56" t="s">
        <v>43</v>
      </c>
      <c r="AI56">
        <v>1</v>
      </c>
      <c r="AK56">
        <v>1</v>
      </c>
      <c r="AL56" t="s">
        <v>73</v>
      </c>
      <c r="AM56" t="s">
        <v>74</v>
      </c>
      <c r="AN56" t="s">
        <v>75</v>
      </c>
      <c r="AO56" t="s">
        <v>159</v>
      </c>
      <c r="AP56" t="s">
        <v>63</v>
      </c>
      <c r="AQ56">
        <v>1</v>
      </c>
      <c r="AS56">
        <v>1</v>
      </c>
      <c r="AT56" t="s">
        <v>72</v>
      </c>
      <c r="AX56">
        <v>20</v>
      </c>
      <c r="AY56">
        <v>102</v>
      </c>
      <c r="AZ56">
        <v>30</v>
      </c>
      <c r="BA56">
        <v>2</v>
      </c>
    </row>
    <row r="57" spans="1:53" x14ac:dyDescent="0.25">
      <c r="A57" t="s">
        <v>461</v>
      </c>
      <c r="B57" t="s">
        <v>53</v>
      </c>
      <c r="C57">
        <v>2</v>
      </c>
      <c r="D57">
        <v>1</v>
      </c>
      <c r="E57">
        <v>1</v>
      </c>
      <c r="F57" t="s">
        <v>54</v>
      </c>
      <c r="G57" t="s">
        <v>55</v>
      </c>
      <c r="J57" t="s">
        <v>56</v>
      </c>
      <c r="K57">
        <v>1</v>
      </c>
      <c r="M57">
        <v>1</v>
      </c>
      <c r="N57" t="s">
        <v>68</v>
      </c>
      <c r="R57" t="s">
        <v>38</v>
      </c>
      <c r="S57">
        <v>1</v>
      </c>
      <c r="T57">
        <v>2</v>
      </c>
      <c r="U57">
        <v>1</v>
      </c>
      <c r="V57" t="s">
        <v>173</v>
      </c>
      <c r="Z57" t="s">
        <v>48</v>
      </c>
      <c r="AA57">
        <v>1</v>
      </c>
      <c r="AC57">
        <v>1</v>
      </c>
      <c r="AD57" t="s">
        <v>147</v>
      </c>
      <c r="AE57" t="s">
        <v>85</v>
      </c>
      <c r="AH57" t="s">
        <v>45</v>
      </c>
      <c r="AI57">
        <v>1</v>
      </c>
      <c r="AK57">
        <v>3</v>
      </c>
      <c r="AL57" t="s">
        <v>89</v>
      </c>
      <c r="AP57" t="s">
        <v>63</v>
      </c>
      <c r="AQ57">
        <v>1</v>
      </c>
      <c r="AS57">
        <v>1</v>
      </c>
      <c r="AT57" t="s">
        <v>72</v>
      </c>
      <c r="AU57" t="s">
        <v>103</v>
      </c>
      <c r="AV57" t="s">
        <v>168</v>
      </c>
      <c r="AX57">
        <v>8</v>
      </c>
      <c r="AY57">
        <v>78</v>
      </c>
      <c r="AZ57">
        <v>30</v>
      </c>
      <c r="BA57">
        <v>2</v>
      </c>
    </row>
    <row r="58" spans="1:53" x14ac:dyDescent="0.25">
      <c r="A58" t="s">
        <v>462</v>
      </c>
      <c r="B58" t="s">
        <v>53</v>
      </c>
      <c r="C58">
        <v>2</v>
      </c>
      <c r="D58">
        <v>1</v>
      </c>
      <c r="E58">
        <v>1</v>
      </c>
      <c r="F58" t="s">
        <v>54</v>
      </c>
      <c r="G58" t="s">
        <v>84</v>
      </c>
      <c r="J58" t="s">
        <v>56</v>
      </c>
      <c r="K58">
        <v>1</v>
      </c>
      <c r="M58">
        <v>2</v>
      </c>
      <c r="N58" t="s">
        <v>57</v>
      </c>
      <c r="O58" t="s">
        <v>69</v>
      </c>
      <c r="P58" t="s">
        <v>144</v>
      </c>
      <c r="R58" t="s">
        <v>38</v>
      </c>
      <c r="S58">
        <v>2</v>
      </c>
      <c r="T58">
        <v>1</v>
      </c>
      <c r="U58">
        <v>1</v>
      </c>
      <c r="V58" t="s">
        <v>67</v>
      </c>
      <c r="Z58" t="s">
        <v>33</v>
      </c>
      <c r="AA58">
        <v>1</v>
      </c>
      <c r="AC58">
        <v>3</v>
      </c>
      <c r="AD58" t="s">
        <v>65</v>
      </c>
      <c r="AE58" t="s">
        <v>35</v>
      </c>
      <c r="AH58" t="s">
        <v>43</v>
      </c>
      <c r="AI58">
        <v>1</v>
      </c>
      <c r="AK58">
        <v>1</v>
      </c>
      <c r="AL58" t="s">
        <v>73</v>
      </c>
      <c r="AM58" t="s">
        <v>110</v>
      </c>
      <c r="AN58" t="s">
        <v>111</v>
      </c>
      <c r="AO58" t="s">
        <v>112</v>
      </c>
      <c r="AP58" t="s">
        <v>45</v>
      </c>
      <c r="AQ58">
        <v>1</v>
      </c>
      <c r="AS58">
        <v>1</v>
      </c>
      <c r="AT58" t="s">
        <v>89</v>
      </c>
      <c r="AU58" t="s">
        <v>162</v>
      </c>
      <c r="AX58">
        <v>13</v>
      </c>
      <c r="AY58">
        <v>61</v>
      </c>
      <c r="AZ58">
        <v>30</v>
      </c>
      <c r="BA58">
        <v>2</v>
      </c>
    </row>
    <row r="59" spans="1:53" x14ac:dyDescent="0.25">
      <c r="A59" t="s">
        <v>463</v>
      </c>
      <c r="B59" t="s">
        <v>53</v>
      </c>
      <c r="C59">
        <v>3</v>
      </c>
      <c r="D59">
        <v>1</v>
      </c>
      <c r="E59">
        <v>1</v>
      </c>
      <c r="F59" t="s">
        <v>54</v>
      </c>
      <c r="J59" t="s">
        <v>56</v>
      </c>
      <c r="K59">
        <v>1</v>
      </c>
      <c r="M59">
        <v>1</v>
      </c>
      <c r="N59" t="s">
        <v>68</v>
      </c>
      <c r="O59" t="s">
        <v>69</v>
      </c>
      <c r="R59" t="s">
        <v>38</v>
      </c>
      <c r="S59">
        <v>1</v>
      </c>
      <c r="T59">
        <v>1</v>
      </c>
      <c r="U59">
        <v>1</v>
      </c>
      <c r="V59" t="s">
        <v>173</v>
      </c>
      <c r="W59" t="s">
        <v>105</v>
      </c>
      <c r="Z59" t="s">
        <v>33</v>
      </c>
      <c r="AA59">
        <v>1</v>
      </c>
      <c r="AC59">
        <v>1</v>
      </c>
      <c r="AD59" t="s">
        <v>65</v>
      </c>
      <c r="AH59" t="s">
        <v>43</v>
      </c>
      <c r="AI59">
        <v>1</v>
      </c>
      <c r="AK59">
        <v>1</v>
      </c>
      <c r="AL59" t="s">
        <v>73</v>
      </c>
      <c r="AM59" t="s">
        <v>74</v>
      </c>
      <c r="AN59" t="s">
        <v>158</v>
      </c>
      <c r="AP59" t="s">
        <v>63</v>
      </c>
      <c r="AQ59">
        <v>1</v>
      </c>
      <c r="AS59">
        <v>1</v>
      </c>
      <c r="AT59" t="s">
        <v>72</v>
      </c>
      <c r="AX59">
        <v>6</v>
      </c>
      <c r="AY59">
        <v>36</v>
      </c>
      <c r="AZ59">
        <v>30</v>
      </c>
      <c r="BA59">
        <v>2</v>
      </c>
    </row>
    <row r="60" spans="1:53" x14ac:dyDescent="0.25">
      <c r="A60" t="s">
        <v>464</v>
      </c>
      <c r="B60" t="s">
        <v>53</v>
      </c>
      <c r="C60">
        <v>2</v>
      </c>
      <c r="D60">
        <v>1</v>
      </c>
      <c r="E60">
        <v>1</v>
      </c>
      <c r="F60" t="s">
        <v>54</v>
      </c>
      <c r="G60" t="s">
        <v>84</v>
      </c>
      <c r="J60" t="s">
        <v>56</v>
      </c>
      <c r="K60">
        <v>1</v>
      </c>
      <c r="M60">
        <v>1</v>
      </c>
      <c r="N60" t="s">
        <v>141</v>
      </c>
      <c r="O60" t="s">
        <v>143</v>
      </c>
      <c r="R60" t="s">
        <v>38</v>
      </c>
      <c r="S60">
        <v>2</v>
      </c>
      <c r="T60">
        <v>2</v>
      </c>
      <c r="U60">
        <v>1</v>
      </c>
      <c r="V60" t="s">
        <v>67</v>
      </c>
      <c r="W60" t="s">
        <v>40</v>
      </c>
      <c r="Z60" t="s">
        <v>33</v>
      </c>
      <c r="AA60">
        <v>1</v>
      </c>
      <c r="AC60">
        <v>1</v>
      </c>
      <c r="AD60" t="s">
        <v>65</v>
      </c>
      <c r="AE60" t="s">
        <v>35</v>
      </c>
      <c r="AF60" t="s">
        <v>153</v>
      </c>
      <c r="AG60" t="s">
        <v>154</v>
      </c>
      <c r="AH60" t="s">
        <v>45</v>
      </c>
      <c r="AI60">
        <v>1</v>
      </c>
      <c r="AK60">
        <v>1</v>
      </c>
      <c r="AL60" t="s">
        <v>47</v>
      </c>
      <c r="AP60" t="s">
        <v>63</v>
      </c>
      <c r="AQ60">
        <v>1</v>
      </c>
      <c r="AS60">
        <v>1</v>
      </c>
      <c r="AT60" t="s">
        <v>72</v>
      </c>
      <c r="AX60">
        <v>9</v>
      </c>
      <c r="AY60">
        <v>56</v>
      </c>
      <c r="AZ60">
        <v>30</v>
      </c>
      <c r="BA60">
        <v>2</v>
      </c>
    </row>
    <row r="61" spans="1:53" x14ac:dyDescent="0.25">
      <c r="A61" t="s">
        <v>465</v>
      </c>
      <c r="B61" t="s">
        <v>53</v>
      </c>
      <c r="C61">
        <v>2</v>
      </c>
      <c r="D61">
        <v>1</v>
      </c>
      <c r="E61">
        <v>1</v>
      </c>
      <c r="F61" t="s">
        <v>54</v>
      </c>
      <c r="G61" t="s">
        <v>84</v>
      </c>
      <c r="J61" t="s">
        <v>56</v>
      </c>
      <c r="K61">
        <v>1</v>
      </c>
      <c r="M61">
        <v>1</v>
      </c>
      <c r="N61" t="s">
        <v>68</v>
      </c>
      <c r="O61" t="s">
        <v>69</v>
      </c>
      <c r="R61" t="s">
        <v>38</v>
      </c>
      <c r="S61">
        <v>1</v>
      </c>
      <c r="T61">
        <v>1</v>
      </c>
      <c r="U61">
        <v>1</v>
      </c>
      <c r="V61" t="s">
        <v>67</v>
      </c>
      <c r="Z61" t="s">
        <v>43</v>
      </c>
      <c r="AA61">
        <v>1</v>
      </c>
      <c r="AC61">
        <v>1</v>
      </c>
      <c r="AD61" t="s">
        <v>73</v>
      </c>
      <c r="AE61" t="s">
        <v>74</v>
      </c>
      <c r="AH61" t="s">
        <v>45</v>
      </c>
      <c r="AI61">
        <v>1</v>
      </c>
      <c r="AK61">
        <v>1</v>
      </c>
      <c r="AL61" t="s">
        <v>89</v>
      </c>
      <c r="AP61" t="s">
        <v>63</v>
      </c>
      <c r="AQ61">
        <v>1</v>
      </c>
      <c r="AS61">
        <v>1</v>
      </c>
      <c r="AT61" t="s">
        <v>72</v>
      </c>
      <c r="AU61" t="s">
        <v>103</v>
      </c>
      <c r="AV61" t="s">
        <v>119</v>
      </c>
      <c r="AX61">
        <v>6</v>
      </c>
      <c r="AY61">
        <v>48</v>
      </c>
      <c r="AZ61">
        <v>30</v>
      </c>
      <c r="BA61">
        <v>2</v>
      </c>
    </row>
    <row r="62" spans="1:53" x14ac:dyDescent="0.25">
      <c r="A62" t="s">
        <v>466</v>
      </c>
      <c r="B62" t="s">
        <v>53</v>
      </c>
      <c r="C62">
        <v>2</v>
      </c>
      <c r="D62">
        <v>1</v>
      </c>
      <c r="E62">
        <v>2</v>
      </c>
      <c r="F62" t="s">
        <v>54</v>
      </c>
      <c r="G62" t="s">
        <v>55</v>
      </c>
      <c r="J62" t="s">
        <v>48</v>
      </c>
      <c r="K62">
        <v>1</v>
      </c>
      <c r="M62">
        <v>1</v>
      </c>
      <c r="N62" t="s">
        <v>93</v>
      </c>
      <c r="O62" t="s">
        <v>71</v>
      </c>
      <c r="R62" t="s">
        <v>33</v>
      </c>
      <c r="S62">
        <v>1</v>
      </c>
      <c r="U62">
        <v>1</v>
      </c>
      <c r="V62" t="s">
        <v>65</v>
      </c>
      <c r="W62" t="s">
        <v>35</v>
      </c>
      <c r="Z62" t="s">
        <v>56</v>
      </c>
      <c r="AA62">
        <v>1</v>
      </c>
      <c r="AC62">
        <v>1</v>
      </c>
      <c r="AD62" t="s">
        <v>68</v>
      </c>
      <c r="AH62" t="s">
        <v>43</v>
      </c>
      <c r="AI62">
        <v>1</v>
      </c>
      <c r="AK62">
        <v>2</v>
      </c>
      <c r="AL62" t="s">
        <v>73</v>
      </c>
      <c r="AM62" t="s">
        <v>157</v>
      </c>
      <c r="AN62" t="s">
        <v>111</v>
      </c>
      <c r="AP62" t="s">
        <v>45</v>
      </c>
      <c r="AQ62">
        <v>1</v>
      </c>
      <c r="AS62">
        <v>1</v>
      </c>
      <c r="AT62" t="s">
        <v>47</v>
      </c>
      <c r="AU62" t="s">
        <v>162</v>
      </c>
      <c r="AX62">
        <v>9</v>
      </c>
      <c r="AY62">
        <v>48</v>
      </c>
      <c r="AZ62">
        <v>30</v>
      </c>
      <c r="BA62">
        <v>2</v>
      </c>
    </row>
    <row r="63" spans="1:53" x14ac:dyDescent="0.25">
      <c r="A63" t="s">
        <v>467</v>
      </c>
      <c r="B63" t="s">
        <v>53</v>
      </c>
      <c r="C63">
        <v>3</v>
      </c>
      <c r="D63">
        <v>1</v>
      </c>
      <c r="E63">
        <v>2</v>
      </c>
      <c r="F63" t="s">
        <v>54</v>
      </c>
      <c r="G63" t="s">
        <v>84</v>
      </c>
      <c r="H63" t="s">
        <v>135</v>
      </c>
      <c r="J63" t="s">
        <v>48</v>
      </c>
      <c r="K63">
        <v>1</v>
      </c>
      <c r="M63">
        <v>1</v>
      </c>
      <c r="N63" t="s">
        <v>49</v>
      </c>
      <c r="O63" t="s">
        <v>71</v>
      </c>
      <c r="P63" t="s">
        <v>51</v>
      </c>
      <c r="R63" t="s">
        <v>33</v>
      </c>
      <c r="S63">
        <v>1</v>
      </c>
      <c r="U63">
        <v>1</v>
      </c>
      <c r="V63" t="s">
        <v>65</v>
      </c>
      <c r="W63" t="s">
        <v>35</v>
      </c>
      <c r="Z63" t="s">
        <v>56</v>
      </c>
      <c r="AA63">
        <v>1</v>
      </c>
      <c r="AC63">
        <v>1</v>
      </c>
      <c r="AD63" t="s">
        <v>68</v>
      </c>
      <c r="AH63" t="s">
        <v>43</v>
      </c>
      <c r="AI63">
        <v>1</v>
      </c>
      <c r="AK63">
        <v>3</v>
      </c>
      <c r="AL63" t="s">
        <v>73</v>
      </c>
      <c r="AM63" t="s">
        <v>74</v>
      </c>
      <c r="AN63" t="s">
        <v>111</v>
      </c>
      <c r="AO63" t="s">
        <v>112</v>
      </c>
      <c r="AP63" t="s">
        <v>63</v>
      </c>
      <c r="AQ63">
        <v>1</v>
      </c>
      <c r="AS63">
        <v>1</v>
      </c>
      <c r="AT63" t="s">
        <v>72</v>
      </c>
      <c r="AU63" t="s">
        <v>167</v>
      </c>
      <c r="AX63">
        <v>14</v>
      </c>
      <c r="AY63">
        <v>65</v>
      </c>
      <c r="AZ63">
        <v>30</v>
      </c>
      <c r="BA63">
        <v>2</v>
      </c>
    </row>
    <row r="64" spans="1:53" x14ac:dyDescent="0.25">
      <c r="A64" t="s">
        <v>468</v>
      </c>
      <c r="B64" t="s">
        <v>53</v>
      </c>
      <c r="C64">
        <v>2</v>
      </c>
      <c r="D64">
        <v>1</v>
      </c>
      <c r="E64">
        <v>1</v>
      </c>
      <c r="F64" t="s">
        <v>54</v>
      </c>
      <c r="J64" t="s">
        <v>48</v>
      </c>
      <c r="K64">
        <v>1</v>
      </c>
      <c r="M64">
        <v>1</v>
      </c>
      <c r="N64" t="s">
        <v>49</v>
      </c>
      <c r="O64" t="s">
        <v>50</v>
      </c>
      <c r="R64" t="s">
        <v>33</v>
      </c>
      <c r="S64">
        <v>1</v>
      </c>
      <c r="U64">
        <v>2</v>
      </c>
      <c r="V64" t="s">
        <v>65</v>
      </c>
      <c r="W64" t="s">
        <v>35</v>
      </c>
      <c r="X64" t="s">
        <v>36</v>
      </c>
      <c r="Z64" t="s">
        <v>56</v>
      </c>
      <c r="AA64">
        <v>1</v>
      </c>
      <c r="AC64">
        <v>1</v>
      </c>
      <c r="AD64" t="s">
        <v>68</v>
      </c>
      <c r="AE64" t="s">
        <v>69</v>
      </c>
      <c r="AH64" t="s">
        <v>43</v>
      </c>
      <c r="AI64">
        <v>1</v>
      </c>
      <c r="AK64">
        <v>1</v>
      </c>
      <c r="AL64" t="s">
        <v>73</v>
      </c>
      <c r="AM64" t="s">
        <v>74</v>
      </c>
      <c r="AP64" t="s">
        <v>38</v>
      </c>
      <c r="AQ64">
        <v>1</v>
      </c>
      <c r="AR64">
        <v>1</v>
      </c>
      <c r="AS64">
        <v>1</v>
      </c>
      <c r="AT64" t="s">
        <v>67</v>
      </c>
      <c r="AX64">
        <v>7</v>
      </c>
      <c r="AY64">
        <v>42</v>
      </c>
      <c r="AZ64">
        <v>30</v>
      </c>
      <c r="BA64">
        <v>2</v>
      </c>
    </row>
    <row r="65" spans="1:53" x14ac:dyDescent="0.25">
      <c r="A65" t="s">
        <v>469</v>
      </c>
      <c r="B65" t="s">
        <v>53</v>
      </c>
      <c r="C65">
        <v>2</v>
      </c>
      <c r="D65">
        <v>1</v>
      </c>
      <c r="E65">
        <v>2</v>
      </c>
      <c r="F65" t="s">
        <v>54</v>
      </c>
      <c r="G65" t="s">
        <v>84</v>
      </c>
      <c r="H65" t="s">
        <v>135</v>
      </c>
      <c r="J65" t="s">
        <v>48</v>
      </c>
      <c r="K65">
        <v>1</v>
      </c>
      <c r="M65">
        <v>1</v>
      </c>
      <c r="N65" t="s">
        <v>49</v>
      </c>
      <c r="O65" t="s">
        <v>50</v>
      </c>
      <c r="R65" t="s">
        <v>33</v>
      </c>
      <c r="S65">
        <v>1</v>
      </c>
      <c r="U65">
        <v>1</v>
      </c>
      <c r="V65" t="s">
        <v>65</v>
      </c>
      <c r="W65" t="s">
        <v>66</v>
      </c>
      <c r="X65" t="s">
        <v>36</v>
      </c>
      <c r="Z65" t="s">
        <v>56</v>
      </c>
      <c r="AA65">
        <v>1</v>
      </c>
      <c r="AC65">
        <v>2</v>
      </c>
      <c r="AD65" t="s">
        <v>68</v>
      </c>
      <c r="AE65" t="s">
        <v>69</v>
      </c>
      <c r="AF65" t="s">
        <v>144</v>
      </c>
      <c r="AG65" t="s">
        <v>145</v>
      </c>
      <c r="AH65" t="s">
        <v>45</v>
      </c>
      <c r="AI65">
        <v>1</v>
      </c>
      <c r="AK65">
        <v>1</v>
      </c>
      <c r="AL65" t="s">
        <v>47</v>
      </c>
      <c r="AM65" t="s">
        <v>162</v>
      </c>
      <c r="AN65" t="s">
        <v>100</v>
      </c>
      <c r="AO65" t="s">
        <v>101</v>
      </c>
      <c r="AP65" t="s">
        <v>63</v>
      </c>
      <c r="AQ65">
        <v>1</v>
      </c>
      <c r="AS65">
        <v>1</v>
      </c>
      <c r="AT65" t="s">
        <v>72</v>
      </c>
      <c r="AX65">
        <v>14</v>
      </c>
      <c r="AY65">
        <v>89</v>
      </c>
      <c r="AZ65">
        <v>30</v>
      </c>
      <c r="BA65">
        <v>2</v>
      </c>
    </row>
    <row r="66" spans="1:53" x14ac:dyDescent="0.25">
      <c r="A66" t="s">
        <v>470</v>
      </c>
      <c r="B66" t="s">
        <v>53</v>
      </c>
      <c r="C66">
        <v>2</v>
      </c>
      <c r="D66">
        <v>1</v>
      </c>
      <c r="E66">
        <v>1</v>
      </c>
      <c r="F66" t="s">
        <v>54</v>
      </c>
      <c r="G66" t="s">
        <v>55</v>
      </c>
      <c r="J66" t="s">
        <v>48</v>
      </c>
      <c r="K66">
        <v>1</v>
      </c>
      <c r="M66">
        <v>1</v>
      </c>
      <c r="N66" t="s">
        <v>49</v>
      </c>
      <c r="O66" t="s">
        <v>50</v>
      </c>
      <c r="R66" t="s">
        <v>33</v>
      </c>
      <c r="S66">
        <v>1</v>
      </c>
      <c r="U66">
        <v>1</v>
      </c>
      <c r="V66" t="s">
        <v>65</v>
      </c>
      <c r="W66" t="s">
        <v>35</v>
      </c>
      <c r="X66" t="s">
        <v>153</v>
      </c>
      <c r="Z66" t="s">
        <v>56</v>
      </c>
      <c r="AA66">
        <v>1</v>
      </c>
      <c r="AC66">
        <v>1</v>
      </c>
      <c r="AD66" t="s">
        <v>68</v>
      </c>
      <c r="AH66" t="s">
        <v>45</v>
      </c>
      <c r="AI66">
        <v>1</v>
      </c>
      <c r="AK66">
        <v>1</v>
      </c>
      <c r="AL66" t="s">
        <v>47</v>
      </c>
      <c r="AM66" t="s">
        <v>76</v>
      </c>
      <c r="AN66" t="s">
        <v>100</v>
      </c>
      <c r="AP66" t="s">
        <v>38</v>
      </c>
      <c r="AQ66">
        <v>2</v>
      </c>
      <c r="AR66">
        <v>1</v>
      </c>
      <c r="AS66">
        <v>1</v>
      </c>
      <c r="AT66" t="s">
        <v>67</v>
      </c>
      <c r="AU66" t="s">
        <v>105</v>
      </c>
      <c r="AX66">
        <v>9</v>
      </c>
      <c r="AY66">
        <v>56</v>
      </c>
      <c r="AZ66">
        <v>30</v>
      </c>
      <c r="BA66">
        <v>2</v>
      </c>
    </row>
    <row r="67" spans="1:53" x14ac:dyDescent="0.25">
      <c r="A67" t="s">
        <v>471</v>
      </c>
      <c r="B67" t="s">
        <v>56</v>
      </c>
      <c r="C67">
        <v>1</v>
      </c>
      <c r="E67">
        <v>2</v>
      </c>
      <c r="F67" t="s">
        <v>57</v>
      </c>
      <c r="G67" t="s">
        <v>69</v>
      </c>
      <c r="J67" t="s">
        <v>63</v>
      </c>
      <c r="K67">
        <v>1</v>
      </c>
      <c r="M67">
        <v>1</v>
      </c>
      <c r="N67" t="s">
        <v>72</v>
      </c>
      <c r="R67" t="s">
        <v>38</v>
      </c>
      <c r="S67">
        <v>3</v>
      </c>
      <c r="T67">
        <v>1</v>
      </c>
      <c r="U67">
        <v>2</v>
      </c>
      <c r="V67" t="s">
        <v>67</v>
      </c>
      <c r="W67" t="s">
        <v>70</v>
      </c>
      <c r="Z67" t="s">
        <v>53</v>
      </c>
      <c r="AA67">
        <v>3</v>
      </c>
      <c r="AB67">
        <v>1</v>
      </c>
      <c r="AC67">
        <v>1</v>
      </c>
      <c r="AD67" t="s">
        <v>54</v>
      </c>
      <c r="AH67" t="s">
        <v>48</v>
      </c>
      <c r="AI67">
        <v>1</v>
      </c>
      <c r="AK67">
        <v>1</v>
      </c>
      <c r="AL67" t="s">
        <v>93</v>
      </c>
      <c r="AM67" t="s">
        <v>71</v>
      </c>
      <c r="AN67" t="s">
        <v>51</v>
      </c>
      <c r="AP67" t="s">
        <v>33</v>
      </c>
      <c r="AQ67">
        <v>1</v>
      </c>
      <c r="AS67">
        <v>1</v>
      </c>
      <c r="AT67" t="s">
        <v>65</v>
      </c>
      <c r="AU67" t="s">
        <v>35</v>
      </c>
      <c r="AV67" t="s">
        <v>36</v>
      </c>
      <c r="AX67">
        <v>12</v>
      </c>
      <c r="AY67">
        <v>63</v>
      </c>
      <c r="AZ67">
        <v>30</v>
      </c>
      <c r="BA67">
        <v>2</v>
      </c>
    </row>
    <row r="68" spans="1:53" x14ac:dyDescent="0.25">
      <c r="A68" t="s">
        <v>472</v>
      </c>
      <c r="B68" t="s">
        <v>53</v>
      </c>
      <c r="C68">
        <v>3</v>
      </c>
      <c r="D68">
        <v>1</v>
      </c>
      <c r="E68">
        <v>1</v>
      </c>
      <c r="F68" t="s">
        <v>54</v>
      </c>
      <c r="G68" t="s">
        <v>55</v>
      </c>
      <c r="J68" t="s">
        <v>48</v>
      </c>
      <c r="K68">
        <v>1</v>
      </c>
      <c r="M68">
        <v>1</v>
      </c>
      <c r="N68" t="s">
        <v>49</v>
      </c>
      <c r="O68" t="s">
        <v>50</v>
      </c>
      <c r="R68" t="s">
        <v>33</v>
      </c>
      <c r="S68">
        <v>1</v>
      </c>
      <c r="U68">
        <v>1</v>
      </c>
      <c r="V68" t="s">
        <v>46</v>
      </c>
      <c r="W68" t="s">
        <v>151</v>
      </c>
      <c r="X68" t="s">
        <v>36</v>
      </c>
      <c r="Z68" t="s">
        <v>43</v>
      </c>
      <c r="AA68">
        <v>1</v>
      </c>
      <c r="AC68">
        <v>1</v>
      </c>
      <c r="AD68" t="s">
        <v>44</v>
      </c>
      <c r="AE68" t="s">
        <v>74</v>
      </c>
      <c r="AF68" t="s">
        <v>158</v>
      </c>
      <c r="AG68" t="s">
        <v>112</v>
      </c>
      <c r="AH68" t="s">
        <v>45</v>
      </c>
      <c r="AI68">
        <v>1</v>
      </c>
      <c r="AK68">
        <v>1</v>
      </c>
      <c r="AL68" t="s">
        <v>89</v>
      </c>
      <c r="AP68" t="s">
        <v>63</v>
      </c>
      <c r="AQ68">
        <v>1</v>
      </c>
      <c r="AS68">
        <v>1</v>
      </c>
      <c r="AT68" t="s">
        <v>72</v>
      </c>
      <c r="AU68" t="s">
        <v>103</v>
      </c>
      <c r="AX68">
        <v>10</v>
      </c>
      <c r="AY68">
        <v>47</v>
      </c>
      <c r="AZ68">
        <v>30</v>
      </c>
      <c r="BA68">
        <v>2</v>
      </c>
    </row>
    <row r="69" spans="1:53" x14ac:dyDescent="0.25">
      <c r="A69" t="s">
        <v>473</v>
      </c>
      <c r="B69" t="s">
        <v>53</v>
      </c>
      <c r="C69">
        <v>2</v>
      </c>
      <c r="D69">
        <v>1</v>
      </c>
      <c r="E69">
        <v>1</v>
      </c>
      <c r="F69" t="s">
        <v>54</v>
      </c>
      <c r="G69" t="s">
        <v>84</v>
      </c>
      <c r="J69" t="s">
        <v>48</v>
      </c>
      <c r="K69">
        <v>1</v>
      </c>
      <c r="M69">
        <v>1</v>
      </c>
      <c r="N69" t="s">
        <v>93</v>
      </c>
      <c r="O69" t="s">
        <v>71</v>
      </c>
      <c r="P69" t="s">
        <v>51</v>
      </c>
      <c r="R69" t="s">
        <v>33</v>
      </c>
      <c r="S69">
        <v>1</v>
      </c>
      <c r="U69">
        <v>1</v>
      </c>
      <c r="V69" t="s">
        <v>65</v>
      </c>
      <c r="W69" t="s">
        <v>66</v>
      </c>
      <c r="Z69" t="s">
        <v>43</v>
      </c>
      <c r="AA69">
        <v>1</v>
      </c>
      <c r="AC69">
        <v>1</v>
      </c>
      <c r="AD69" t="s">
        <v>73</v>
      </c>
      <c r="AE69" t="s">
        <v>74</v>
      </c>
      <c r="AH69" t="s">
        <v>45</v>
      </c>
      <c r="AI69">
        <v>1</v>
      </c>
      <c r="AK69">
        <v>1</v>
      </c>
      <c r="AL69" t="s">
        <v>47</v>
      </c>
      <c r="AM69" t="s">
        <v>76</v>
      </c>
      <c r="AP69" t="s">
        <v>38</v>
      </c>
      <c r="AQ69">
        <v>2</v>
      </c>
      <c r="AR69">
        <v>1</v>
      </c>
      <c r="AS69">
        <v>1</v>
      </c>
      <c r="AT69" t="s">
        <v>67</v>
      </c>
      <c r="AU69" t="s">
        <v>40</v>
      </c>
      <c r="AX69">
        <v>9</v>
      </c>
      <c r="AY69">
        <v>43</v>
      </c>
      <c r="AZ69">
        <v>30</v>
      </c>
      <c r="BA69">
        <v>2</v>
      </c>
    </row>
    <row r="70" spans="1:53" x14ac:dyDescent="0.25">
      <c r="A70" t="s">
        <v>474</v>
      </c>
      <c r="B70" t="s">
        <v>53</v>
      </c>
      <c r="C70">
        <v>1</v>
      </c>
      <c r="D70">
        <v>1</v>
      </c>
      <c r="E70">
        <v>1</v>
      </c>
      <c r="F70" t="s">
        <v>54</v>
      </c>
      <c r="G70" t="s">
        <v>55</v>
      </c>
      <c r="J70" t="s">
        <v>48</v>
      </c>
      <c r="K70">
        <v>1</v>
      </c>
      <c r="M70">
        <v>1</v>
      </c>
      <c r="N70" t="s">
        <v>93</v>
      </c>
      <c r="O70" t="s">
        <v>71</v>
      </c>
      <c r="P70" t="s">
        <v>51</v>
      </c>
      <c r="R70" t="s">
        <v>33</v>
      </c>
      <c r="S70">
        <v>1</v>
      </c>
      <c r="U70">
        <v>1</v>
      </c>
      <c r="V70" t="s">
        <v>65</v>
      </c>
      <c r="W70" t="s">
        <v>35</v>
      </c>
      <c r="Z70" t="s">
        <v>43</v>
      </c>
      <c r="AA70">
        <v>1</v>
      </c>
      <c r="AC70">
        <v>2</v>
      </c>
      <c r="AD70" t="s">
        <v>73</v>
      </c>
      <c r="AE70" t="s">
        <v>74</v>
      </c>
      <c r="AF70" t="s">
        <v>75</v>
      </c>
      <c r="AG70" t="s">
        <v>112</v>
      </c>
      <c r="AH70" t="s">
        <v>63</v>
      </c>
      <c r="AI70">
        <v>1</v>
      </c>
      <c r="AK70">
        <v>1</v>
      </c>
      <c r="AL70" t="s">
        <v>72</v>
      </c>
      <c r="AM70" t="s">
        <v>95</v>
      </c>
      <c r="AP70" t="s">
        <v>38</v>
      </c>
      <c r="AQ70">
        <v>2</v>
      </c>
      <c r="AR70">
        <v>1</v>
      </c>
      <c r="AS70">
        <v>1</v>
      </c>
      <c r="AT70" t="s">
        <v>67</v>
      </c>
      <c r="AU70" t="s">
        <v>40</v>
      </c>
      <c r="AX70">
        <v>11</v>
      </c>
      <c r="AY70">
        <v>58</v>
      </c>
      <c r="AZ70">
        <v>30</v>
      </c>
      <c r="BA70">
        <v>2</v>
      </c>
    </row>
    <row r="71" spans="1:53" x14ac:dyDescent="0.25">
      <c r="A71" t="s">
        <v>475</v>
      </c>
      <c r="B71" t="s">
        <v>53</v>
      </c>
      <c r="C71">
        <v>3</v>
      </c>
      <c r="D71">
        <v>3</v>
      </c>
      <c r="E71">
        <v>1</v>
      </c>
      <c r="F71" t="s">
        <v>54</v>
      </c>
      <c r="G71" t="s">
        <v>55</v>
      </c>
      <c r="H71" t="s">
        <v>135</v>
      </c>
      <c r="I71" t="s">
        <v>109</v>
      </c>
      <c r="J71" t="s">
        <v>48</v>
      </c>
      <c r="K71">
        <v>1</v>
      </c>
      <c r="M71">
        <v>1</v>
      </c>
      <c r="N71" t="s">
        <v>49</v>
      </c>
      <c r="O71" t="s">
        <v>50</v>
      </c>
      <c r="P71" t="s">
        <v>148</v>
      </c>
      <c r="Q71" t="s">
        <v>52</v>
      </c>
      <c r="R71" t="s">
        <v>33</v>
      </c>
      <c r="S71">
        <v>1</v>
      </c>
      <c r="U71">
        <v>1</v>
      </c>
      <c r="V71" t="s">
        <v>65</v>
      </c>
      <c r="Z71" t="s">
        <v>45</v>
      </c>
      <c r="AA71">
        <v>1</v>
      </c>
      <c r="AC71">
        <v>1</v>
      </c>
      <c r="AD71" t="s">
        <v>47</v>
      </c>
      <c r="AE71" t="s">
        <v>162</v>
      </c>
      <c r="AH71" t="s">
        <v>63</v>
      </c>
      <c r="AI71">
        <v>1</v>
      </c>
      <c r="AK71">
        <v>1</v>
      </c>
      <c r="AL71" t="s">
        <v>118</v>
      </c>
      <c r="AM71" t="s">
        <v>167</v>
      </c>
      <c r="AP71" t="s">
        <v>38</v>
      </c>
      <c r="AQ71">
        <v>3</v>
      </c>
      <c r="AR71">
        <v>3</v>
      </c>
      <c r="AS71">
        <v>1</v>
      </c>
      <c r="AT71" t="s">
        <v>173</v>
      </c>
      <c r="AU71" t="s">
        <v>40</v>
      </c>
      <c r="AV71" t="s">
        <v>41</v>
      </c>
      <c r="AW71" t="s">
        <v>177</v>
      </c>
      <c r="AX71">
        <v>19</v>
      </c>
      <c r="AY71">
        <v>74</v>
      </c>
      <c r="AZ71">
        <v>30</v>
      </c>
      <c r="BA71">
        <v>2</v>
      </c>
    </row>
    <row r="72" spans="1:53" x14ac:dyDescent="0.25">
      <c r="A72" t="s">
        <v>476</v>
      </c>
      <c r="B72" t="s">
        <v>53</v>
      </c>
      <c r="C72">
        <v>2</v>
      </c>
      <c r="D72">
        <v>1</v>
      </c>
      <c r="E72">
        <v>2</v>
      </c>
      <c r="F72" t="s">
        <v>54</v>
      </c>
      <c r="J72" t="s">
        <v>48</v>
      </c>
      <c r="K72">
        <v>1</v>
      </c>
      <c r="M72">
        <v>1</v>
      </c>
      <c r="N72" t="s">
        <v>49</v>
      </c>
      <c r="R72" t="s">
        <v>43</v>
      </c>
      <c r="S72">
        <v>1</v>
      </c>
      <c r="U72">
        <v>1</v>
      </c>
      <c r="V72" t="s">
        <v>73</v>
      </c>
      <c r="W72" t="s">
        <v>74</v>
      </c>
      <c r="Z72" t="s">
        <v>56</v>
      </c>
      <c r="AA72">
        <v>1</v>
      </c>
      <c r="AC72">
        <v>1</v>
      </c>
      <c r="AD72" t="s">
        <v>68</v>
      </c>
      <c r="AE72" t="s">
        <v>69</v>
      </c>
      <c r="AF72" t="s">
        <v>87</v>
      </c>
      <c r="AH72" t="s">
        <v>33</v>
      </c>
      <c r="AI72">
        <v>1</v>
      </c>
      <c r="AK72">
        <v>2</v>
      </c>
      <c r="AL72" t="s">
        <v>65</v>
      </c>
      <c r="AM72" t="s">
        <v>66</v>
      </c>
      <c r="AN72" t="s">
        <v>36</v>
      </c>
      <c r="AP72" t="s">
        <v>45</v>
      </c>
      <c r="AQ72">
        <v>1</v>
      </c>
      <c r="AS72">
        <v>1</v>
      </c>
      <c r="AT72" t="s">
        <v>47</v>
      </c>
      <c r="AU72" t="s">
        <v>76</v>
      </c>
      <c r="AX72">
        <v>9</v>
      </c>
      <c r="AY72">
        <v>67</v>
      </c>
      <c r="AZ72">
        <v>30</v>
      </c>
      <c r="BA72">
        <v>2</v>
      </c>
    </row>
    <row r="73" spans="1:53" x14ac:dyDescent="0.25">
      <c r="A73" t="s">
        <v>477</v>
      </c>
      <c r="B73" t="s">
        <v>53</v>
      </c>
      <c r="C73">
        <v>2</v>
      </c>
      <c r="D73">
        <v>1</v>
      </c>
      <c r="E73">
        <v>1</v>
      </c>
      <c r="F73" t="s">
        <v>54</v>
      </c>
      <c r="G73" t="s">
        <v>84</v>
      </c>
      <c r="J73" t="s">
        <v>48</v>
      </c>
      <c r="K73">
        <v>1</v>
      </c>
      <c r="M73">
        <v>1</v>
      </c>
      <c r="N73" t="s">
        <v>49</v>
      </c>
      <c r="R73" t="s">
        <v>43</v>
      </c>
      <c r="S73">
        <v>1</v>
      </c>
      <c r="U73">
        <v>2</v>
      </c>
      <c r="V73" t="s">
        <v>73</v>
      </c>
      <c r="W73" t="s">
        <v>157</v>
      </c>
      <c r="X73" t="s">
        <v>158</v>
      </c>
      <c r="Y73" t="s">
        <v>159</v>
      </c>
      <c r="Z73" t="s">
        <v>56</v>
      </c>
      <c r="AA73">
        <v>1</v>
      </c>
      <c r="AC73">
        <v>2</v>
      </c>
      <c r="AD73" t="s">
        <v>68</v>
      </c>
      <c r="AH73" t="s">
        <v>33</v>
      </c>
      <c r="AI73">
        <v>1</v>
      </c>
      <c r="AK73">
        <v>1</v>
      </c>
      <c r="AL73" t="s">
        <v>65</v>
      </c>
      <c r="AM73" t="s">
        <v>35</v>
      </c>
      <c r="AP73" t="s">
        <v>63</v>
      </c>
      <c r="AQ73">
        <v>1</v>
      </c>
      <c r="AS73">
        <v>1</v>
      </c>
      <c r="AT73" t="s">
        <v>72</v>
      </c>
      <c r="AX73">
        <v>8</v>
      </c>
      <c r="AY73">
        <v>53</v>
      </c>
      <c r="AZ73">
        <v>30</v>
      </c>
      <c r="BA73">
        <v>2</v>
      </c>
    </row>
    <row r="74" spans="1:53" x14ac:dyDescent="0.25">
      <c r="A74" t="s">
        <v>478</v>
      </c>
      <c r="B74" t="s">
        <v>53</v>
      </c>
      <c r="C74">
        <v>1</v>
      </c>
      <c r="D74">
        <v>1</v>
      </c>
      <c r="E74">
        <v>1</v>
      </c>
      <c r="F74" t="s">
        <v>54</v>
      </c>
      <c r="G74" t="s">
        <v>55</v>
      </c>
      <c r="J74" t="s">
        <v>48</v>
      </c>
      <c r="K74">
        <v>1</v>
      </c>
      <c r="M74">
        <v>1</v>
      </c>
      <c r="N74" t="s">
        <v>49</v>
      </c>
      <c r="O74" t="s">
        <v>50</v>
      </c>
      <c r="P74" t="s">
        <v>148</v>
      </c>
      <c r="R74" t="s">
        <v>43</v>
      </c>
      <c r="S74">
        <v>1</v>
      </c>
      <c r="U74">
        <v>1</v>
      </c>
      <c r="V74" t="s">
        <v>73</v>
      </c>
      <c r="W74" t="s">
        <v>74</v>
      </c>
      <c r="Z74" t="s">
        <v>56</v>
      </c>
      <c r="AA74">
        <v>1</v>
      </c>
      <c r="AC74">
        <v>1</v>
      </c>
      <c r="AD74" t="s">
        <v>68</v>
      </c>
      <c r="AE74" t="s">
        <v>69</v>
      </c>
      <c r="AH74" t="s">
        <v>33</v>
      </c>
      <c r="AI74">
        <v>1</v>
      </c>
      <c r="AK74">
        <v>1</v>
      </c>
      <c r="AL74" t="s">
        <v>65</v>
      </c>
      <c r="AM74" t="s">
        <v>35</v>
      </c>
      <c r="AN74" t="s">
        <v>36</v>
      </c>
      <c r="AP74" t="s">
        <v>38</v>
      </c>
      <c r="AQ74">
        <v>3</v>
      </c>
      <c r="AR74">
        <v>1</v>
      </c>
      <c r="AS74">
        <v>1</v>
      </c>
      <c r="AT74" t="s">
        <v>67</v>
      </c>
      <c r="AX74">
        <v>9</v>
      </c>
      <c r="AY74">
        <v>52</v>
      </c>
      <c r="AZ74">
        <v>30</v>
      </c>
      <c r="BA74">
        <v>2</v>
      </c>
    </row>
    <row r="75" spans="1:53" x14ac:dyDescent="0.25">
      <c r="A75" t="s">
        <v>479</v>
      </c>
      <c r="B75" t="s">
        <v>53</v>
      </c>
      <c r="C75">
        <v>2</v>
      </c>
      <c r="D75">
        <v>1</v>
      </c>
      <c r="E75">
        <v>2</v>
      </c>
      <c r="F75" t="s">
        <v>54</v>
      </c>
      <c r="G75" t="s">
        <v>55</v>
      </c>
      <c r="H75" t="s">
        <v>135</v>
      </c>
      <c r="J75" t="s">
        <v>48</v>
      </c>
      <c r="K75">
        <v>1</v>
      </c>
      <c r="M75">
        <v>1</v>
      </c>
      <c r="N75" t="s">
        <v>49</v>
      </c>
      <c r="R75" t="s">
        <v>43</v>
      </c>
      <c r="S75">
        <v>1</v>
      </c>
      <c r="U75">
        <v>2</v>
      </c>
      <c r="V75" t="s">
        <v>73</v>
      </c>
      <c r="W75" t="s">
        <v>110</v>
      </c>
      <c r="Z75" t="s">
        <v>56</v>
      </c>
      <c r="AA75">
        <v>1</v>
      </c>
      <c r="AC75">
        <v>1</v>
      </c>
      <c r="AD75" t="s">
        <v>68</v>
      </c>
      <c r="AH75" t="s">
        <v>45</v>
      </c>
      <c r="AI75">
        <v>1</v>
      </c>
      <c r="AK75">
        <v>1</v>
      </c>
      <c r="AL75" t="s">
        <v>89</v>
      </c>
      <c r="AM75" t="s">
        <v>76</v>
      </c>
      <c r="AP75" t="s">
        <v>63</v>
      </c>
      <c r="AQ75">
        <v>1</v>
      </c>
      <c r="AS75">
        <v>1</v>
      </c>
      <c r="AT75" t="s">
        <v>72</v>
      </c>
      <c r="AX75">
        <v>7</v>
      </c>
      <c r="AY75">
        <v>48</v>
      </c>
      <c r="AZ75">
        <v>30</v>
      </c>
      <c r="BA75">
        <v>2</v>
      </c>
    </row>
    <row r="76" spans="1:53" x14ac:dyDescent="0.25">
      <c r="A76" t="s">
        <v>480</v>
      </c>
      <c r="B76" t="s">
        <v>53</v>
      </c>
      <c r="C76">
        <v>1</v>
      </c>
      <c r="D76">
        <v>1</v>
      </c>
      <c r="E76">
        <v>2</v>
      </c>
      <c r="F76" t="s">
        <v>54</v>
      </c>
      <c r="G76" t="s">
        <v>55</v>
      </c>
      <c r="J76" t="s">
        <v>48</v>
      </c>
      <c r="K76">
        <v>1</v>
      </c>
      <c r="M76">
        <v>1</v>
      </c>
      <c r="N76" t="s">
        <v>49</v>
      </c>
      <c r="O76" t="s">
        <v>71</v>
      </c>
      <c r="P76" t="s">
        <v>148</v>
      </c>
      <c r="R76" t="s">
        <v>43</v>
      </c>
      <c r="S76">
        <v>1</v>
      </c>
      <c r="U76">
        <v>1</v>
      </c>
      <c r="V76" t="s">
        <v>73</v>
      </c>
      <c r="W76" t="s">
        <v>74</v>
      </c>
      <c r="X76" t="s">
        <v>75</v>
      </c>
      <c r="Z76" t="s">
        <v>56</v>
      </c>
      <c r="AA76">
        <v>1</v>
      </c>
      <c r="AC76">
        <v>1</v>
      </c>
      <c r="AD76" t="s">
        <v>141</v>
      </c>
      <c r="AE76" t="s">
        <v>143</v>
      </c>
      <c r="AH76" t="s">
        <v>45</v>
      </c>
      <c r="AI76">
        <v>1</v>
      </c>
      <c r="AK76">
        <v>1</v>
      </c>
      <c r="AL76" t="s">
        <v>47</v>
      </c>
      <c r="AP76" t="s">
        <v>38</v>
      </c>
      <c r="AQ76">
        <v>1</v>
      </c>
      <c r="AR76">
        <v>3</v>
      </c>
      <c r="AS76">
        <v>1</v>
      </c>
      <c r="AT76" t="s">
        <v>173</v>
      </c>
      <c r="AX76">
        <v>9</v>
      </c>
      <c r="AY76">
        <v>40</v>
      </c>
      <c r="AZ76">
        <v>30</v>
      </c>
      <c r="BA76">
        <v>2</v>
      </c>
    </row>
    <row r="77" spans="1:53" x14ac:dyDescent="0.25">
      <c r="A77" t="s">
        <v>481</v>
      </c>
      <c r="B77" t="s">
        <v>53</v>
      </c>
      <c r="C77">
        <v>1</v>
      </c>
      <c r="D77">
        <v>1</v>
      </c>
      <c r="E77">
        <v>1</v>
      </c>
      <c r="F77" t="s">
        <v>54</v>
      </c>
      <c r="G77" t="s">
        <v>134</v>
      </c>
      <c r="J77" t="s">
        <v>48</v>
      </c>
      <c r="K77">
        <v>1</v>
      </c>
      <c r="M77">
        <v>2</v>
      </c>
      <c r="N77" t="s">
        <v>49</v>
      </c>
      <c r="O77" t="s">
        <v>85</v>
      </c>
      <c r="P77" t="s">
        <v>148</v>
      </c>
      <c r="R77" t="s">
        <v>43</v>
      </c>
      <c r="S77">
        <v>1</v>
      </c>
      <c r="U77">
        <v>2</v>
      </c>
      <c r="V77" t="s">
        <v>73</v>
      </c>
      <c r="W77" t="s">
        <v>74</v>
      </c>
      <c r="Z77" t="s">
        <v>56</v>
      </c>
      <c r="AA77">
        <v>1</v>
      </c>
      <c r="AC77">
        <v>1</v>
      </c>
      <c r="AD77" t="s">
        <v>68</v>
      </c>
      <c r="AE77" t="s">
        <v>69</v>
      </c>
      <c r="AH77" t="s">
        <v>63</v>
      </c>
      <c r="AI77">
        <v>1</v>
      </c>
      <c r="AK77">
        <v>1</v>
      </c>
      <c r="AL77" t="s">
        <v>72</v>
      </c>
      <c r="AM77" t="s">
        <v>95</v>
      </c>
      <c r="AN77" t="s">
        <v>169</v>
      </c>
      <c r="AO77" t="s">
        <v>170</v>
      </c>
      <c r="AP77" t="s">
        <v>38</v>
      </c>
      <c r="AQ77">
        <v>2</v>
      </c>
      <c r="AR77">
        <v>2</v>
      </c>
      <c r="AS77">
        <v>1</v>
      </c>
      <c r="AT77" t="s">
        <v>67</v>
      </c>
      <c r="AX77">
        <v>12</v>
      </c>
      <c r="AY77">
        <v>62</v>
      </c>
      <c r="AZ77">
        <v>30</v>
      </c>
      <c r="BA77">
        <v>2</v>
      </c>
    </row>
    <row r="78" spans="1:53" x14ac:dyDescent="0.25">
      <c r="A78" t="s">
        <v>482</v>
      </c>
      <c r="B78" t="s">
        <v>33</v>
      </c>
      <c r="C78">
        <v>1</v>
      </c>
      <c r="E78">
        <v>1</v>
      </c>
      <c r="F78" t="s">
        <v>65</v>
      </c>
      <c r="G78" t="s">
        <v>35</v>
      </c>
      <c r="H78" t="s">
        <v>36</v>
      </c>
      <c r="J78" t="s">
        <v>45</v>
      </c>
      <c r="K78">
        <v>1</v>
      </c>
      <c r="M78">
        <v>1</v>
      </c>
      <c r="N78" t="s">
        <v>47</v>
      </c>
      <c r="O78" t="s">
        <v>162</v>
      </c>
      <c r="P78" t="s">
        <v>100</v>
      </c>
      <c r="R78" t="s">
        <v>63</v>
      </c>
      <c r="S78">
        <v>1</v>
      </c>
      <c r="U78">
        <v>2</v>
      </c>
      <c r="V78" t="s">
        <v>118</v>
      </c>
      <c r="Z78" t="s">
        <v>53</v>
      </c>
      <c r="AA78">
        <v>1</v>
      </c>
      <c r="AB78">
        <v>1</v>
      </c>
      <c r="AC78">
        <v>1</v>
      </c>
      <c r="AD78" t="s">
        <v>54</v>
      </c>
      <c r="AE78" t="s">
        <v>84</v>
      </c>
      <c r="AH78" t="s">
        <v>48</v>
      </c>
      <c r="AI78">
        <v>1</v>
      </c>
      <c r="AK78">
        <v>1</v>
      </c>
      <c r="AL78" t="s">
        <v>93</v>
      </c>
      <c r="AM78" t="s">
        <v>71</v>
      </c>
      <c r="AN78" t="s">
        <v>51</v>
      </c>
      <c r="AO78" t="s">
        <v>52</v>
      </c>
      <c r="AP78" t="s">
        <v>43</v>
      </c>
      <c r="AQ78">
        <v>1</v>
      </c>
      <c r="AS78">
        <v>1</v>
      </c>
      <c r="AT78" t="s">
        <v>73</v>
      </c>
      <c r="AX78">
        <v>9</v>
      </c>
      <c r="AY78">
        <v>49</v>
      </c>
      <c r="AZ78">
        <v>30</v>
      </c>
      <c r="BA78">
        <v>2</v>
      </c>
    </row>
    <row r="79" spans="1:53" x14ac:dyDescent="0.25">
      <c r="A79" t="s">
        <v>483</v>
      </c>
      <c r="B79" t="s">
        <v>33</v>
      </c>
      <c r="C79">
        <v>1</v>
      </c>
      <c r="E79">
        <v>1</v>
      </c>
      <c r="F79" t="s">
        <v>65</v>
      </c>
      <c r="G79" t="s">
        <v>35</v>
      </c>
      <c r="H79" t="s">
        <v>36</v>
      </c>
      <c r="I79" t="s">
        <v>155</v>
      </c>
      <c r="J79" t="s">
        <v>45</v>
      </c>
      <c r="K79">
        <v>1</v>
      </c>
      <c r="M79">
        <v>1</v>
      </c>
      <c r="N79" t="s">
        <v>47</v>
      </c>
      <c r="O79" t="s">
        <v>162</v>
      </c>
      <c r="R79" t="s">
        <v>38</v>
      </c>
      <c r="S79">
        <v>2</v>
      </c>
      <c r="T79">
        <v>2</v>
      </c>
      <c r="U79">
        <v>1</v>
      </c>
      <c r="V79" t="s">
        <v>67</v>
      </c>
      <c r="W79" t="s">
        <v>105</v>
      </c>
      <c r="X79" t="s">
        <v>175</v>
      </c>
      <c r="Y79" t="s">
        <v>177</v>
      </c>
      <c r="Z79" t="s">
        <v>53</v>
      </c>
      <c r="AA79">
        <v>1</v>
      </c>
      <c r="AB79">
        <v>1</v>
      </c>
      <c r="AC79">
        <v>1</v>
      </c>
      <c r="AD79" t="s">
        <v>54</v>
      </c>
      <c r="AE79" t="s">
        <v>55</v>
      </c>
      <c r="AF79" t="s">
        <v>122</v>
      </c>
      <c r="AH79" t="s">
        <v>48</v>
      </c>
      <c r="AI79">
        <v>1</v>
      </c>
      <c r="AK79">
        <v>2</v>
      </c>
      <c r="AL79" t="s">
        <v>49</v>
      </c>
      <c r="AM79" t="s">
        <v>85</v>
      </c>
      <c r="AN79" t="s">
        <v>94</v>
      </c>
      <c r="AO79" t="s">
        <v>52</v>
      </c>
      <c r="AP79" t="s">
        <v>43</v>
      </c>
      <c r="AQ79">
        <v>1</v>
      </c>
      <c r="AS79">
        <v>1</v>
      </c>
      <c r="AT79" t="s">
        <v>73</v>
      </c>
      <c r="AX79">
        <v>15</v>
      </c>
      <c r="AY79">
        <v>76</v>
      </c>
      <c r="AZ79">
        <v>30</v>
      </c>
      <c r="BA79">
        <v>2</v>
      </c>
    </row>
    <row r="80" spans="1:53" x14ac:dyDescent="0.25">
      <c r="A80" t="s">
        <v>484</v>
      </c>
      <c r="B80" t="s">
        <v>33</v>
      </c>
      <c r="C80">
        <v>1</v>
      </c>
      <c r="E80">
        <v>1</v>
      </c>
      <c r="F80" t="s">
        <v>65</v>
      </c>
      <c r="G80" t="s">
        <v>35</v>
      </c>
      <c r="H80" t="s">
        <v>36</v>
      </c>
      <c r="J80" t="s">
        <v>63</v>
      </c>
      <c r="K80">
        <v>1</v>
      </c>
      <c r="M80">
        <v>1</v>
      </c>
      <c r="N80" t="s">
        <v>72</v>
      </c>
      <c r="R80" t="s">
        <v>38</v>
      </c>
      <c r="S80">
        <v>2</v>
      </c>
      <c r="T80">
        <v>1</v>
      </c>
      <c r="U80">
        <v>1</v>
      </c>
      <c r="V80" t="s">
        <v>173</v>
      </c>
      <c r="W80" t="s">
        <v>105</v>
      </c>
      <c r="Z80" t="s">
        <v>53</v>
      </c>
      <c r="AA80">
        <v>3</v>
      </c>
      <c r="AB80">
        <v>1</v>
      </c>
      <c r="AC80">
        <v>1</v>
      </c>
      <c r="AD80" t="s">
        <v>54</v>
      </c>
      <c r="AE80" t="s">
        <v>84</v>
      </c>
      <c r="AH80" t="s">
        <v>48</v>
      </c>
      <c r="AI80">
        <v>1</v>
      </c>
      <c r="AK80">
        <v>1</v>
      </c>
      <c r="AL80" t="s">
        <v>49</v>
      </c>
      <c r="AP80" t="s">
        <v>43</v>
      </c>
      <c r="AQ80">
        <v>1</v>
      </c>
      <c r="AS80">
        <v>1</v>
      </c>
      <c r="AT80" t="s">
        <v>73</v>
      </c>
      <c r="AX80">
        <v>7</v>
      </c>
      <c r="AY80">
        <v>49</v>
      </c>
      <c r="AZ80">
        <v>30</v>
      </c>
      <c r="BA80">
        <v>2</v>
      </c>
    </row>
    <row r="81" spans="1:53" x14ac:dyDescent="0.25">
      <c r="A81" t="s">
        <v>485</v>
      </c>
      <c r="B81" t="s">
        <v>53</v>
      </c>
      <c r="C81">
        <v>2</v>
      </c>
      <c r="D81">
        <v>1</v>
      </c>
      <c r="E81">
        <v>1</v>
      </c>
      <c r="F81" t="s">
        <v>54</v>
      </c>
      <c r="J81" t="s">
        <v>48</v>
      </c>
      <c r="K81">
        <v>1</v>
      </c>
      <c r="M81">
        <v>1</v>
      </c>
      <c r="N81" t="s">
        <v>49</v>
      </c>
      <c r="O81" t="s">
        <v>85</v>
      </c>
      <c r="P81" t="s">
        <v>51</v>
      </c>
      <c r="Q81" t="s">
        <v>52</v>
      </c>
      <c r="R81" t="s">
        <v>43</v>
      </c>
      <c r="S81">
        <v>1</v>
      </c>
      <c r="U81">
        <v>1</v>
      </c>
      <c r="V81" t="s">
        <v>73</v>
      </c>
      <c r="W81" t="s">
        <v>157</v>
      </c>
      <c r="Z81" t="s">
        <v>45</v>
      </c>
      <c r="AA81">
        <v>1</v>
      </c>
      <c r="AC81">
        <v>1</v>
      </c>
      <c r="AD81" t="s">
        <v>89</v>
      </c>
      <c r="AE81" t="s">
        <v>162</v>
      </c>
      <c r="AH81" t="s">
        <v>63</v>
      </c>
      <c r="AI81">
        <v>1</v>
      </c>
      <c r="AK81">
        <v>1</v>
      </c>
      <c r="AL81" t="s">
        <v>72</v>
      </c>
      <c r="AP81" t="s">
        <v>38</v>
      </c>
      <c r="AQ81">
        <v>2</v>
      </c>
      <c r="AR81">
        <v>1</v>
      </c>
      <c r="AS81">
        <v>1</v>
      </c>
      <c r="AT81" t="s">
        <v>67</v>
      </c>
      <c r="AU81" t="s">
        <v>40</v>
      </c>
      <c r="AV81" t="s">
        <v>41</v>
      </c>
      <c r="AW81" t="s">
        <v>176</v>
      </c>
      <c r="AX81">
        <v>10</v>
      </c>
      <c r="AY81">
        <v>52</v>
      </c>
      <c r="AZ81">
        <v>30</v>
      </c>
      <c r="BA81">
        <v>2</v>
      </c>
    </row>
    <row r="82" spans="1:53" x14ac:dyDescent="0.25">
      <c r="A82" t="s">
        <v>486</v>
      </c>
      <c r="B82" t="s">
        <v>53</v>
      </c>
      <c r="C82">
        <v>3</v>
      </c>
      <c r="D82">
        <v>1</v>
      </c>
      <c r="E82">
        <v>1</v>
      </c>
      <c r="F82" t="s">
        <v>54</v>
      </c>
      <c r="J82" t="s">
        <v>48</v>
      </c>
      <c r="K82">
        <v>1</v>
      </c>
      <c r="M82">
        <v>1</v>
      </c>
      <c r="N82" t="s">
        <v>49</v>
      </c>
      <c r="O82" t="s">
        <v>71</v>
      </c>
      <c r="P82" t="s">
        <v>51</v>
      </c>
      <c r="R82" t="s">
        <v>45</v>
      </c>
      <c r="S82">
        <v>1</v>
      </c>
      <c r="U82">
        <v>1</v>
      </c>
      <c r="V82" t="s">
        <v>47</v>
      </c>
      <c r="W82" t="s">
        <v>162</v>
      </c>
      <c r="Z82" t="s">
        <v>56</v>
      </c>
      <c r="AA82">
        <v>1</v>
      </c>
      <c r="AC82">
        <v>1</v>
      </c>
      <c r="AD82" t="s">
        <v>68</v>
      </c>
      <c r="AH82" t="s">
        <v>33</v>
      </c>
      <c r="AI82">
        <v>1</v>
      </c>
      <c r="AK82">
        <v>1</v>
      </c>
      <c r="AL82" t="s">
        <v>65</v>
      </c>
      <c r="AM82" t="s">
        <v>35</v>
      </c>
      <c r="AP82" t="s">
        <v>43</v>
      </c>
      <c r="AQ82">
        <v>1</v>
      </c>
      <c r="AS82">
        <v>1</v>
      </c>
      <c r="AT82" t="s">
        <v>73</v>
      </c>
      <c r="AU82" t="s">
        <v>110</v>
      </c>
      <c r="AV82" t="s">
        <v>111</v>
      </c>
      <c r="AW82" t="s">
        <v>112</v>
      </c>
      <c r="AX82">
        <v>9</v>
      </c>
      <c r="AY82">
        <v>44</v>
      </c>
      <c r="AZ82">
        <v>30</v>
      </c>
      <c r="BA82">
        <v>2</v>
      </c>
    </row>
    <row r="83" spans="1:53" x14ac:dyDescent="0.25">
      <c r="A83" t="s">
        <v>487</v>
      </c>
      <c r="B83" t="s">
        <v>56</v>
      </c>
      <c r="C83">
        <v>1</v>
      </c>
      <c r="E83">
        <v>2</v>
      </c>
      <c r="F83" t="s">
        <v>68</v>
      </c>
      <c r="G83" t="s">
        <v>69</v>
      </c>
      <c r="H83" t="s">
        <v>91</v>
      </c>
      <c r="J83" t="s">
        <v>33</v>
      </c>
      <c r="K83">
        <v>1</v>
      </c>
      <c r="M83">
        <v>2</v>
      </c>
      <c r="N83" t="s">
        <v>65</v>
      </c>
      <c r="O83" t="s">
        <v>151</v>
      </c>
      <c r="P83" t="s">
        <v>36</v>
      </c>
      <c r="Q83" t="s">
        <v>155</v>
      </c>
      <c r="R83" t="s">
        <v>63</v>
      </c>
      <c r="S83">
        <v>1</v>
      </c>
      <c r="U83">
        <v>1</v>
      </c>
      <c r="V83" t="s">
        <v>118</v>
      </c>
      <c r="Z83" t="s">
        <v>53</v>
      </c>
      <c r="AA83">
        <v>2</v>
      </c>
      <c r="AB83">
        <v>1</v>
      </c>
      <c r="AC83">
        <v>1</v>
      </c>
      <c r="AD83" t="s">
        <v>54</v>
      </c>
      <c r="AE83" t="s">
        <v>84</v>
      </c>
      <c r="AH83" t="s">
        <v>48</v>
      </c>
      <c r="AI83">
        <v>1</v>
      </c>
      <c r="AK83">
        <v>1</v>
      </c>
      <c r="AL83" t="s">
        <v>49</v>
      </c>
      <c r="AM83" t="s">
        <v>71</v>
      </c>
      <c r="AN83" t="s">
        <v>51</v>
      </c>
      <c r="AO83" t="s">
        <v>52</v>
      </c>
      <c r="AP83" t="s">
        <v>45</v>
      </c>
      <c r="AQ83">
        <v>1</v>
      </c>
      <c r="AS83">
        <v>1</v>
      </c>
      <c r="AT83" t="s">
        <v>89</v>
      </c>
      <c r="AU83" t="s">
        <v>76</v>
      </c>
      <c r="AX83">
        <v>13</v>
      </c>
      <c r="AY83">
        <v>77</v>
      </c>
      <c r="AZ83">
        <v>30</v>
      </c>
      <c r="BA83">
        <v>2</v>
      </c>
    </row>
    <row r="84" spans="1:53" x14ac:dyDescent="0.25">
      <c r="A84" t="s">
        <v>488</v>
      </c>
      <c r="B84" t="s">
        <v>53</v>
      </c>
      <c r="C84">
        <v>3</v>
      </c>
      <c r="D84">
        <v>1</v>
      </c>
      <c r="E84">
        <v>1</v>
      </c>
      <c r="F84" t="s">
        <v>54</v>
      </c>
      <c r="G84" t="s">
        <v>84</v>
      </c>
      <c r="H84" t="s">
        <v>122</v>
      </c>
      <c r="I84" t="s">
        <v>109</v>
      </c>
      <c r="J84" t="s">
        <v>48</v>
      </c>
      <c r="K84">
        <v>1</v>
      </c>
      <c r="M84">
        <v>1</v>
      </c>
      <c r="N84" t="s">
        <v>49</v>
      </c>
      <c r="O84" t="s">
        <v>71</v>
      </c>
      <c r="R84" t="s">
        <v>45</v>
      </c>
      <c r="S84">
        <v>1</v>
      </c>
      <c r="U84">
        <v>1</v>
      </c>
      <c r="V84" t="s">
        <v>47</v>
      </c>
      <c r="W84" t="s">
        <v>162</v>
      </c>
      <c r="Z84" t="s">
        <v>56</v>
      </c>
      <c r="AA84">
        <v>1</v>
      </c>
      <c r="AC84">
        <v>3</v>
      </c>
      <c r="AD84" t="s">
        <v>68</v>
      </c>
      <c r="AE84" t="s">
        <v>69</v>
      </c>
      <c r="AF84" t="s">
        <v>144</v>
      </c>
      <c r="AG84" t="s">
        <v>146</v>
      </c>
      <c r="AH84" t="s">
        <v>33</v>
      </c>
      <c r="AI84">
        <v>1</v>
      </c>
      <c r="AK84">
        <v>1</v>
      </c>
      <c r="AL84" t="s">
        <v>65</v>
      </c>
      <c r="AM84" t="s">
        <v>66</v>
      </c>
      <c r="AP84" t="s">
        <v>38</v>
      </c>
      <c r="AQ84">
        <v>1</v>
      </c>
      <c r="AR84">
        <v>1</v>
      </c>
      <c r="AS84">
        <v>1</v>
      </c>
      <c r="AT84" t="s">
        <v>67</v>
      </c>
      <c r="AX84">
        <v>13</v>
      </c>
      <c r="AY84">
        <v>56</v>
      </c>
      <c r="AZ84">
        <v>30</v>
      </c>
      <c r="BA84">
        <v>2</v>
      </c>
    </row>
    <row r="85" spans="1:53" x14ac:dyDescent="0.25">
      <c r="A85" t="s">
        <v>489</v>
      </c>
      <c r="B85" t="s">
        <v>56</v>
      </c>
      <c r="C85">
        <v>1</v>
      </c>
      <c r="E85">
        <v>2</v>
      </c>
      <c r="F85" t="s">
        <v>68</v>
      </c>
      <c r="G85" t="s">
        <v>69</v>
      </c>
      <c r="J85" t="s">
        <v>43</v>
      </c>
      <c r="K85">
        <v>1</v>
      </c>
      <c r="M85">
        <v>1</v>
      </c>
      <c r="N85" t="s">
        <v>73</v>
      </c>
      <c r="O85" t="s">
        <v>74</v>
      </c>
      <c r="R85" t="s">
        <v>63</v>
      </c>
      <c r="S85">
        <v>1</v>
      </c>
      <c r="U85">
        <v>2</v>
      </c>
      <c r="V85" t="s">
        <v>72</v>
      </c>
      <c r="W85" t="s">
        <v>103</v>
      </c>
      <c r="Z85" t="s">
        <v>53</v>
      </c>
      <c r="AA85">
        <v>2</v>
      </c>
      <c r="AB85">
        <v>1</v>
      </c>
      <c r="AC85">
        <v>2</v>
      </c>
      <c r="AD85" t="s">
        <v>54</v>
      </c>
      <c r="AE85" t="s">
        <v>84</v>
      </c>
      <c r="AF85" t="s">
        <v>135</v>
      </c>
      <c r="AH85" t="s">
        <v>48</v>
      </c>
      <c r="AI85">
        <v>1</v>
      </c>
      <c r="AK85">
        <v>1</v>
      </c>
      <c r="AL85" t="s">
        <v>49</v>
      </c>
      <c r="AM85" t="s">
        <v>71</v>
      </c>
      <c r="AN85" t="s">
        <v>51</v>
      </c>
      <c r="AP85" t="s">
        <v>45</v>
      </c>
      <c r="AQ85">
        <v>1</v>
      </c>
      <c r="AS85">
        <v>1</v>
      </c>
      <c r="AT85" t="s">
        <v>47</v>
      </c>
      <c r="AU85" t="s">
        <v>76</v>
      </c>
      <c r="AV85" t="s">
        <v>115</v>
      </c>
      <c r="AX85">
        <v>13</v>
      </c>
      <c r="AY85">
        <v>60</v>
      </c>
      <c r="AZ85">
        <v>30</v>
      </c>
      <c r="BA85">
        <v>2</v>
      </c>
    </row>
    <row r="86" spans="1:53" x14ac:dyDescent="0.25">
      <c r="A86" t="s">
        <v>490</v>
      </c>
      <c r="B86" t="s">
        <v>56</v>
      </c>
      <c r="C86">
        <v>1</v>
      </c>
      <c r="E86">
        <v>1</v>
      </c>
      <c r="F86" t="s">
        <v>141</v>
      </c>
      <c r="G86" t="s">
        <v>69</v>
      </c>
      <c r="J86" t="s">
        <v>43</v>
      </c>
      <c r="K86">
        <v>1</v>
      </c>
      <c r="M86">
        <v>1</v>
      </c>
      <c r="N86" t="s">
        <v>73</v>
      </c>
      <c r="O86" t="s">
        <v>110</v>
      </c>
      <c r="P86" t="s">
        <v>111</v>
      </c>
      <c r="R86" t="s">
        <v>38</v>
      </c>
      <c r="S86">
        <v>1</v>
      </c>
      <c r="T86">
        <v>1</v>
      </c>
      <c r="U86">
        <v>1</v>
      </c>
      <c r="V86" t="s">
        <v>67</v>
      </c>
      <c r="W86" t="s">
        <v>40</v>
      </c>
      <c r="Z86" t="s">
        <v>53</v>
      </c>
      <c r="AA86">
        <v>1</v>
      </c>
      <c r="AB86">
        <v>1</v>
      </c>
      <c r="AC86">
        <v>2</v>
      </c>
      <c r="AD86" t="s">
        <v>54</v>
      </c>
      <c r="AE86" t="s">
        <v>84</v>
      </c>
      <c r="AF86" t="s">
        <v>108</v>
      </c>
      <c r="AH86" t="s">
        <v>48</v>
      </c>
      <c r="AI86">
        <v>1</v>
      </c>
      <c r="AK86">
        <v>1</v>
      </c>
      <c r="AL86" t="s">
        <v>49</v>
      </c>
      <c r="AM86" t="s">
        <v>85</v>
      </c>
      <c r="AN86" t="s">
        <v>148</v>
      </c>
      <c r="AP86" t="s">
        <v>45</v>
      </c>
      <c r="AQ86">
        <v>1</v>
      </c>
      <c r="AS86">
        <v>1</v>
      </c>
      <c r="AT86" t="s">
        <v>47</v>
      </c>
      <c r="AU86" t="s">
        <v>162</v>
      </c>
      <c r="AV86" t="s">
        <v>100</v>
      </c>
      <c r="AW86" t="s">
        <v>165</v>
      </c>
      <c r="AX86">
        <v>12</v>
      </c>
      <c r="AY86">
        <v>57</v>
      </c>
      <c r="AZ86">
        <v>30</v>
      </c>
      <c r="BA86">
        <v>2</v>
      </c>
    </row>
    <row r="87" spans="1:53" x14ac:dyDescent="0.25">
      <c r="A87" t="s">
        <v>491</v>
      </c>
      <c r="B87" t="s">
        <v>53</v>
      </c>
      <c r="C87">
        <v>3</v>
      </c>
      <c r="D87">
        <v>1</v>
      </c>
      <c r="E87">
        <v>1</v>
      </c>
      <c r="F87" t="s">
        <v>54</v>
      </c>
      <c r="G87" t="s">
        <v>84</v>
      </c>
      <c r="H87" t="s">
        <v>122</v>
      </c>
      <c r="J87" t="s">
        <v>48</v>
      </c>
      <c r="K87">
        <v>1</v>
      </c>
      <c r="M87">
        <v>1</v>
      </c>
      <c r="N87" t="s">
        <v>49</v>
      </c>
      <c r="O87" t="s">
        <v>71</v>
      </c>
      <c r="R87" t="s">
        <v>45</v>
      </c>
      <c r="S87">
        <v>1</v>
      </c>
      <c r="U87">
        <v>1</v>
      </c>
      <c r="V87" t="s">
        <v>47</v>
      </c>
      <c r="Z87" t="s">
        <v>56</v>
      </c>
      <c r="AA87">
        <v>1</v>
      </c>
      <c r="AC87">
        <v>2</v>
      </c>
      <c r="AD87" t="s">
        <v>68</v>
      </c>
      <c r="AH87" t="s">
        <v>63</v>
      </c>
      <c r="AI87">
        <v>1</v>
      </c>
      <c r="AK87">
        <v>1</v>
      </c>
      <c r="AL87" t="s">
        <v>72</v>
      </c>
      <c r="AM87" t="s">
        <v>103</v>
      </c>
      <c r="AP87" t="s">
        <v>38</v>
      </c>
      <c r="AQ87">
        <v>2</v>
      </c>
      <c r="AR87">
        <v>1</v>
      </c>
      <c r="AS87">
        <v>1</v>
      </c>
      <c r="AT87" t="s">
        <v>173</v>
      </c>
      <c r="AU87" t="s">
        <v>105</v>
      </c>
      <c r="AV87" t="s">
        <v>41</v>
      </c>
      <c r="AX87">
        <v>10</v>
      </c>
      <c r="AY87">
        <v>50</v>
      </c>
      <c r="AZ87">
        <v>30</v>
      </c>
      <c r="BA87">
        <v>2</v>
      </c>
    </row>
  </sheetData>
  <conditionalFormatting sqref="A1:A1048576">
    <cfRule type="duplicateValues" dxfId="254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F34DB-9364-48EB-9A15-89282141558D}">
  <dimension ref="A1:W282"/>
  <sheetViews>
    <sheetView workbookViewId="0">
      <selection activeCell="R18" sqref="R18"/>
    </sheetView>
  </sheetViews>
  <sheetFormatPr defaultRowHeight="15" x14ac:dyDescent="0.25"/>
  <cols>
    <col min="1" max="1" width="10.5703125" bestFit="1" customWidth="1"/>
    <col min="2" max="2" width="11.42578125" bestFit="1" customWidth="1"/>
    <col min="3" max="3" width="11.42578125" customWidth="1"/>
    <col min="4" max="4" width="13.5703125" hidden="1" customWidth="1"/>
    <col min="5" max="5" width="10.5703125" bestFit="1" customWidth="1"/>
    <col min="6" max="6" width="11.42578125" bestFit="1" customWidth="1"/>
    <col min="7" max="7" width="11.42578125" customWidth="1"/>
    <col min="8" max="8" width="13.5703125" bestFit="1" customWidth="1"/>
    <col min="9" max="9" width="9.42578125" bestFit="1" customWidth="1"/>
    <col min="11" max="12" width="11.42578125" bestFit="1" customWidth="1"/>
    <col min="13" max="14" width="11.42578125" customWidth="1"/>
    <col min="15" max="15" width="7.42578125" bestFit="1" customWidth="1"/>
    <col min="16" max="16" width="10.7109375" customWidth="1"/>
    <col min="18" max="18" width="25.140625" bestFit="1" customWidth="1"/>
    <col min="19" max="19" width="8.5703125" bestFit="1" customWidth="1"/>
    <col min="21" max="21" width="13" bestFit="1" customWidth="1"/>
    <col min="22" max="22" width="29.42578125" style="10" bestFit="1" customWidth="1"/>
    <col min="23" max="23" width="32.140625" style="5" bestFit="1" customWidth="1"/>
    <col min="24" max="24" width="9.28515625" bestFit="1" customWidth="1"/>
  </cols>
  <sheetData>
    <row r="1" spans="1:23" ht="15.75" thickBot="1" x14ac:dyDescent="0.3">
      <c r="A1" s="21" t="s">
        <v>78</v>
      </c>
      <c r="B1" s="22"/>
      <c r="C1" s="22"/>
      <c r="D1" s="22"/>
      <c r="E1" s="22"/>
      <c r="F1" s="22"/>
      <c r="G1" s="22"/>
      <c r="H1" s="22"/>
      <c r="I1" s="23"/>
      <c r="K1" s="21" t="s">
        <v>82</v>
      </c>
      <c r="L1" s="22"/>
      <c r="M1" s="22"/>
      <c r="N1" s="22"/>
      <c r="O1" s="22"/>
      <c r="P1" s="23"/>
      <c r="R1" s="6" t="s">
        <v>252</v>
      </c>
      <c r="S1" s="7">
        <f>MIN(Table41[crystals])</f>
        <v>4</v>
      </c>
      <c r="U1" t="s">
        <v>126</v>
      </c>
      <c r="V1" s="10" t="s">
        <v>127</v>
      </c>
      <c r="W1" s="5" t="s">
        <v>128</v>
      </c>
    </row>
    <row r="2" spans="1:23" ht="15.75" thickBot="1" x14ac:dyDescent="0.3">
      <c r="A2" t="s">
        <v>59</v>
      </c>
      <c r="B2" t="s">
        <v>60</v>
      </c>
      <c r="C2" t="s">
        <v>61</v>
      </c>
      <c r="D2" t="s">
        <v>81</v>
      </c>
      <c r="E2" t="s">
        <v>62</v>
      </c>
      <c r="F2" t="s">
        <v>183</v>
      </c>
      <c r="G2" t="s">
        <v>182</v>
      </c>
      <c r="H2" t="s">
        <v>77</v>
      </c>
      <c r="I2" t="s">
        <v>58</v>
      </c>
      <c r="K2" t="s">
        <v>59</v>
      </c>
      <c r="L2" t="s">
        <v>60</v>
      </c>
      <c r="M2" t="s">
        <v>61</v>
      </c>
      <c r="N2" t="s">
        <v>58</v>
      </c>
      <c r="O2" t="s">
        <v>79</v>
      </c>
      <c r="P2" t="s">
        <v>80</v>
      </c>
      <c r="R2" s="6" t="s">
        <v>124</v>
      </c>
      <c r="S2" s="7">
        <f>AVERAGE(Table41[crystals])</f>
        <v>10.697674418604651</v>
      </c>
      <c r="U2">
        <v>30000</v>
      </c>
      <c r="V2" s="10">
        <f>Table641[[#This Row],[Think Time]]*$S$6/1000/60</f>
        <v>29.668604651162795</v>
      </c>
      <c r="W2" s="10">
        <f>Table641[[#This Row],[Estimated Battle Time (mins)]]*COUNTA(Таблица26[hero-1])/60</f>
        <v>138.45348837209303</v>
      </c>
    </row>
    <row r="3" spans="1:23" ht="15.75" thickBot="1" x14ac:dyDescent="0.3">
      <c r="A3" t="s">
        <v>53</v>
      </c>
      <c r="B3" t="s">
        <v>56</v>
      </c>
      <c r="C3" t="s">
        <v>48</v>
      </c>
      <c r="D3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" t="s">
        <v>33</v>
      </c>
      <c r="F3" t="s">
        <v>43</v>
      </c>
      <c r="G3" t="s">
        <v>45</v>
      </c>
      <c r="H3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">
        <f>Таблица26[[#This Row],[team-1-win]]+Таблица26[[#This Row],[team-2-win]]</f>
        <v>1</v>
      </c>
      <c r="K3" t="s">
        <v>53</v>
      </c>
      <c r="L3" t="s">
        <v>56</v>
      </c>
      <c r="M3" t="s">
        <v>48</v>
      </c>
      <c r="N3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7</v>
      </c>
      <c r="P3" s="3">
        <f>IF(Table340[[#This Row],[battles]],Table340[[#This Row],[wins]]/Table340[[#This Row],[battles]],0)</f>
        <v>0.7</v>
      </c>
      <c r="R3" s="6" t="s">
        <v>254</v>
      </c>
      <c r="S3" s="7">
        <f>MAX(Table41[crystals])</f>
        <v>20</v>
      </c>
      <c r="U3">
        <v>60000</v>
      </c>
      <c r="V3" s="10">
        <f>Table641[[#This Row],[Think Time]]*$S$6/1000/60</f>
        <v>59.33720930232559</v>
      </c>
      <c r="W3" s="10">
        <f>Table641[[#This Row],[Estimated Battle Time (mins)]]*COUNTA(Таблица26[hero-1])/60</f>
        <v>276.90697674418607</v>
      </c>
    </row>
    <row r="4" spans="1:23" ht="15.75" thickBot="1" x14ac:dyDescent="0.3">
      <c r="A4" t="s">
        <v>53</v>
      </c>
      <c r="B4" t="s">
        <v>56</v>
      </c>
      <c r="C4" t="s">
        <v>48</v>
      </c>
      <c r="D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" t="s">
        <v>33</v>
      </c>
      <c r="F4" t="s">
        <v>43</v>
      </c>
      <c r="G4" t="s">
        <v>63</v>
      </c>
      <c r="H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" s="20">
        <f>Таблица26[[#This Row],[team-1-win]]+Таблица26[[#This Row],[team-2-win]]</f>
        <v>1</v>
      </c>
      <c r="K4" t="s">
        <v>53</v>
      </c>
      <c r="L4" t="s">
        <v>56</v>
      </c>
      <c r="M4" t="s">
        <v>33</v>
      </c>
      <c r="N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5</v>
      </c>
      <c r="P4" s="3">
        <f>IF(Table340[[#This Row],[battles]],Table340[[#This Row],[wins]]/Table340[[#This Row],[battles]],0)</f>
        <v>0.5</v>
      </c>
      <c r="U4">
        <v>120000</v>
      </c>
      <c r="V4" s="10">
        <f>Table641[[#This Row],[Think Time]]*$S$6/1000/60</f>
        <v>118.67441860465118</v>
      </c>
      <c r="W4" s="10">
        <f>Table641[[#This Row],[Estimated Battle Time (mins)]]*COUNTA(Таблица26[hero-1])/60</f>
        <v>553.81395348837214</v>
      </c>
    </row>
    <row r="5" spans="1:23" ht="15.75" thickBot="1" x14ac:dyDescent="0.3">
      <c r="A5" t="s">
        <v>53</v>
      </c>
      <c r="B5" t="s">
        <v>56</v>
      </c>
      <c r="C5" t="s">
        <v>48</v>
      </c>
      <c r="D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" t="s">
        <v>33</v>
      </c>
      <c r="F5" t="s">
        <v>43</v>
      </c>
      <c r="G5" t="s">
        <v>38</v>
      </c>
      <c r="H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" s="20">
        <f>Таблица26[[#This Row],[team-1-win]]+Таблица26[[#This Row],[team-2-win]]</f>
        <v>1</v>
      </c>
      <c r="K5" t="s">
        <v>53</v>
      </c>
      <c r="L5" t="s">
        <v>56</v>
      </c>
      <c r="M5" t="s">
        <v>43</v>
      </c>
      <c r="N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7</v>
      </c>
      <c r="P5" s="3">
        <f>IF(Table340[[#This Row],[battles]],Table340[[#This Row],[wins]]/Table340[[#This Row],[battles]],0)</f>
        <v>0.7</v>
      </c>
      <c r="R5" s="6" t="s">
        <v>253</v>
      </c>
      <c r="S5" s="7">
        <f>MIN(Table41[turns])</f>
        <v>36</v>
      </c>
      <c r="U5">
        <v>300000</v>
      </c>
      <c r="V5" s="10">
        <f>Table641[[#This Row],[Think Time]]*$S$6/1000/60</f>
        <v>296.68604651162792</v>
      </c>
      <c r="W5" s="10">
        <f>Table641[[#This Row],[Estimated Battle Time (mins)]]*COUNTA(Таблица26[hero-1])/60</f>
        <v>1384.5348837209303</v>
      </c>
    </row>
    <row r="6" spans="1:23" ht="15.75" thickBot="1" x14ac:dyDescent="0.3">
      <c r="A6" t="s">
        <v>53</v>
      </c>
      <c r="B6" t="s">
        <v>56</v>
      </c>
      <c r="C6" t="s">
        <v>48</v>
      </c>
      <c r="D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" t="s">
        <v>33</v>
      </c>
      <c r="F6" t="s">
        <v>45</v>
      </c>
      <c r="G6" t="s">
        <v>63</v>
      </c>
      <c r="H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" s="20">
        <f>Таблица26[[#This Row],[team-1-win]]+Таблица26[[#This Row],[team-2-win]]</f>
        <v>1</v>
      </c>
      <c r="K6" t="s">
        <v>53</v>
      </c>
      <c r="L6" t="s">
        <v>56</v>
      </c>
      <c r="M6" t="s">
        <v>45</v>
      </c>
      <c r="N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7</v>
      </c>
      <c r="P6" s="3">
        <f>IF(Table340[[#This Row],[battles]],Table340[[#This Row],[wins]]/Table340[[#This Row],[battles]],0)</f>
        <v>0.7</v>
      </c>
      <c r="R6" s="8" t="s">
        <v>125</v>
      </c>
      <c r="S6" s="9">
        <f>AVERAGE(Table41[turns])</f>
        <v>59.337209302325583</v>
      </c>
      <c r="U6">
        <v>600000</v>
      </c>
      <c r="V6" s="10">
        <f>Table641[[#This Row],[Think Time]]*$S$6/1000/60</f>
        <v>593.37209302325584</v>
      </c>
      <c r="W6" s="10">
        <f>Table641[[#This Row],[Estimated Battle Time (mins)]]*COUNTA(Таблица26[hero-1])/60</f>
        <v>2769.0697674418607</v>
      </c>
    </row>
    <row r="7" spans="1:23" ht="15.75" thickBot="1" x14ac:dyDescent="0.3">
      <c r="A7" t="s">
        <v>53</v>
      </c>
      <c r="B7" t="s">
        <v>56</v>
      </c>
      <c r="C7" t="s">
        <v>48</v>
      </c>
      <c r="D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7" t="s">
        <v>33</v>
      </c>
      <c r="F7" t="s">
        <v>45</v>
      </c>
      <c r="G7" t="s">
        <v>38</v>
      </c>
      <c r="H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" s="20">
        <f>Таблица26[[#This Row],[team-1-win]]+Таблица26[[#This Row],[team-2-win]]</f>
        <v>1</v>
      </c>
      <c r="K7" t="s">
        <v>53</v>
      </c>
      <c r="L7" t="s">
        <v>56</v>
      </c>
      <c r="M7" t="s">
        <v>63</v>
      </c>
      <c r="N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7</v>
      </c>
      <c r="P7" s="3">
        <f>IF(Table340[[#This Row],[battles]],Table340[[#This Row],[wins]]/Table340[[#This Row],[battles]],0)</f>
        <v>0.7</v>
      </c>
      <c r="R7" s="8" t="s">
        <v>255</v>
      </c>
      <c r="S7" s="9">
        <f>MAX(Table41[turns])</f>
        <v>117</v>
      </c>
    </row>
    <row r="8" spans="1:23" x14ac:dyDescent="0.25">
      <c r="A8" t="s">
        <v>53</v>
      </c>
      <c r="B8" t="s">
        <v>56</v>
      </c>
      <c r="C8" t="s">
        <v>48</v>
      </c>
      <c r="D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8" t="s">
        <v>33</v>
      </c>
      <c r="F8" t="s">
        <v>63</v>
      </c>
      <c r="G8" t="s">
        <v>38</v>
      </c>
      <c r="H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" s="20">
        <f>Таблица26[[#This Row],[team-1-win]]+Таблица26[[#This Row],[team-2-win]]</f>
        <v>1</v>
      </c>
      <c r="K8" t="s">
        <v>53</v>
      </c>
      <c r="L8" t="s">
        <v>56</v>
      </c>
      <c r="M8" t="s">
        <v>38</v>
      </c>
      <c r="N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10</v>
      </c>
      <c r="P8" s="3">
        <f>IF(Table340[[#This Row],[battles]],Table340[[#This Row],[wins]]/Table340[[#This Row],[battles]],0)</f>
        <v>1</v>
      </c>
    </row>
    <row r="9" spans="1:23" x14ac:dyDescent="0.25">
      <c r="A9" t="s">
        <v>53</v>
      </c>
      <c r="B9" t="s">
        <v>56</v>
      </c>
      <c r="C9" t="s">
        <v>48</v>
      </c>
      <c r="D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9" t="s">
        <v>43</v>
      </c>
      <c r="F9" t="s">
        <v>45</v>
      </c>
      <c r="G9" t="s">
        <v>63</v>
      </c>
      <c r="H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" s="20">
        <f>Таблица26[[#This Row],[team-1-win]]+Таблица26[[#This Row],[team-2-win]]</f>
        <v>1</v>
      </c>
      <c r="K9" t="s">
        <v>53</v>
      </c>
      <c r="L9" t="s">
        <v>48</v>
      </c>
      <c r="M9" t="s">
        <v>33</v>
      </c>
      <c r="N9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9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9</v>
      </c>
      <c r="P9" s="3">
        <f>IF(Table340[[#This Row],[battles]],Table340[[#This Row],[wins]]/Table340[[#This Row],[battles]],0)</f>
        <v>0.9</v>
      </c>
    </row>
    <row r="10" spans="1:23" x14ac:dyDescent="0.25">
      <c r="A10" t="s">
        <v>53</v>
      </c>
      <c r="B10" t="s">
        <v>56</v>
      </c>
      <c r="C10" t="s">
        <v>48</v>
      </c>
      <c r="D1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" t="s">
        <v>43</v>
      </c>
      <c r="F10" t="s">
        <v>45</v>
      </c>
      <c r="G10" t="s">
        <v>38</v>
      </c>
      <c r="H1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0" s="20">
        <f>Таблица26[[#This Row],[team-1-win]]+Таблица26[[#This Row],[team-2-win]]</f>
        <v>1</v>
      </c>
      <c r="K10" t="s">
        <v>53</v>
      </c>
      <c r="L10" t="s">
        <v>48</v>
      </c>
      <c r="M10" t="s">
        <v>43</v>
      </c>
      <c r="N10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0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7</v>
      </c>
      <c r="P10" s="3">
        <f>IF(Table340[[#This Row],[battles]],Table340[[#This Row],[wins]]/Table340[[#This Row],[battles]],0)</f>
        <v>0.7</v>
      </c>
    </row>
    <row r="11" spans="1:23" x14ac:dyDescent="0.25">
      <c r="A11" t="s">
        <v>53</v>
      </c>
      <c r="B11" t="s">
        <v>56</v>
      </c>
      <c r="C11" t="s">
        <v>48</v>
      </c>
      <c r="D1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" t="s">
        <v>43</v>
      </c>
      <c r="F11" t="s">
        <v>63</v>
      </c>
      <c r="G11" t="s">
        <v>38</v>
      </c>
      <c r="H1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1" s="20">
        <f>Таблица26[[#This Row],[team-1-win]]+Таблица26[[#This Row],[team-2-win]]</f>
        <v>1</v>
      </c>
      <c r="K11" t="s">
        <v>53</v>
      </c>
      <c r="L11" t="s">
        <v>48</v>
      </c>
      <c r="M11" t="s">
        <v>45</v>
      </c>
      <c r="N11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6</v>
      </c>
      <c r="O11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3</v>
      </c>
      <c r="P11" s="3">
        <f>IF(Table340[[#This Row],[battles]],Table340[[#This Row],[wins]]/Table340[[#This Row],[battles]],0)</f>
        <v>0.5</v>
      </c>
    </row>
    <row r="12" spans="1:23" x14ac:dyDescent="0.25">
      <c r="A12" t="s">
        <v>53</v>
      </c>
      <c r="B12" t="s">
        <v>56</v>
      </c>
      <c r="C12" t="s">
        <v>48</v>
      </c>
      <c r="D1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" t="s">
        <v>45</v>
      </c>
      <c r="F12" t="s">
        <v>63</v>
      </c>
      <c r="G12" t="s">
        <v>38</v>
      </c>
      <c r="H1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2" s="20">
        <f>Таблица26[[#This Row],[team-1-win]]+Таблица26[[#This Row],[team-2-win]]</f>
        <v>1</v>
      </c>
      <c r="K12" t="s">
        <v>53</v>
      </c>
      <c r="L12" t="s">
        <v>48</v>
      </c>
      <c r="M12" t="s">
        <v>63</v>
      </c>
      <c r="N12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12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12" s="3">
        <f>IF(Table340[[#This Row],[battles]],Table340[[#This Row],[wins]]/Table340[[#This Row],[battles]],0)</f>
        <v>0</v>
      </c>
    </row>
    <row r="13" spans="1:23" x14ac:dyDescent="0.25">
      <c r="A13" t="s">
        <v>53</v>
      </c>
      <c r="B13" t="s">
        <v>56</v>
      </c>
      <c r="C13" t="s">
        <v>33</v>
      </c>
      <c r="D1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3" t="s">
        <v>48</v>
      </c>
      <c r="F13" t="s">
        <v>43</v>
      </c>
      <c r="G13" t="s">
        <v>45</v>
      </c>
      <c r="H1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" s="20">
        <f>Таблица26[[#This Row],[team-1-win]]+Таблица26[[#This Row],[team-2-win]]</f>
        <v>1</v>
      </c>
      <c r="K13" t="s">
        <v>53</v>
      </c>
      <c r="L13" t="s">
        <v>48</v>
      </c>
      <c r="M13" t="s">
        <v>38</v>
      </c>
      <c r="N13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13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13" s="3">
        <f>IF(Table340[[#This Row],[battles]],Table340[[#This Row],[wins]]/Table340[[#This Row],[battles]],0)</f>
        <v>0</v>
      </c>
    </row>
    <row r="14" spans="1:23" x14ac:dyDescent="0.25">
      <c r="A14" t="s">
        <v>53</v>
      </c>
      <c r="B14" t="s">
        <v>56</v>
      </c>
      <c r="C14" t="s">
        <v>33</v>
      </c>
      <c r="D1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" t="s">
        <v>48</v>
      </c>
      <c r="F14" t="s">
        <v>43</v>
      </c>
      <c r="G14" t="s">
        <v>63</v>
      </c>
      <c r="H1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4" s="20">
        <f>Таблица26[[#This Row],[team-1-win]]+Таблица26[[#This Row],[team-2-win]]</f>
        <v>1</v>
      </c>
      <c r="K14" t="s">
        <v>53</v>
      </c>
      <c r="L14" t="s">
        <v>33</v>
      </c>
      <c r="M14" t="s">
        <v>43</v>
      </c>
      <c r="N1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1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14" s="3">
        <f>IF(Table340[[#This Row],[battles]],Table340[[#This Row],[wins]]/Table340[[#This Row],[battles]],0)</f>
        <v>0</v>
      </c>
    </row>
    <row r="15" spans="1:23" x14ac:dyDescent="0.25">
      <c r="A15" t="s">
        <v>53</v>
      </c>
      <c r="B15" t="s">
        <v>56</v>
      </c>
      <c r="C15" t="s">
        <v>33</v>
      </c>
      <c r="D1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5" t="s">
        <v>48</v>
      </c>
      <c r="F15" t="s">
        <v>43</v>
      </c>
      <c r="G15" t="s">
        <v>38</v>
      </c>
      <c r="H1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" s="20">
        <f>Таблица26[[#This Row],[team-1-win]]+Таблица26[[#This Row],[team-2-win]]</f>
        <v>1</v>
      </c>
      <c r="K15" t="s">
        <v>53</v>
      </c>
      <c r="L15" t="s">
        <v>33</v>
      </c>
      <c r="M15" t="s">
        <v>45</v>
      </c>
      <c r="N1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1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15" s="3">
        <f>IF(Table340[[#This Row],[battles]],Table340[[#This Row],[wins]]/Table340[[#This Row],[battles]],0)</f>
        <v>0</v>
      </c>
    </row>
    <row r="16" spans="1:23" x14ac:dyDescent="0.25">
      <c r="A16" t="s">
        <v>53</v>
      </c>
      <c r="B16" t="s">
        <v>56</v>
      </c>
      <c r="C16" t="s">
        <v>33</v>
      </c>
      <c r="D1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6" t="s">
        <v>48</v>
      </c>
      <c r="F16" t="s">
        <v>45</v>
      </c>
      <c r="G16" t="s">
        <v>63</v>
      </c>
      <c r="H1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" s="20">
        <f>Таблица26[[#This Row],[team-1-win]]+Таблица26[[#This Row],[team-2-win]]</f>
        <v>1</v>
      </c>
      <c r="K16" t="s">
        <v>53</v>
      </c>
      <c r="L16" t="s">
        <v>33</v>
      </c>
      <c r="M16" t="s">
        <v>63</v>
      </c>
      <c r="N1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1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16" s="3">
        <f>IF(Table340[[#This Row],[battles]],Table340[[#This Row],[wins]]/Table340[[#This Row],[battles]],0)</f>
        <v>0</v>
      </c>
    </row>
    <row r="17" spans="1:16" x14ac:dyDescent="0.25">
      <c r="A17" t="s">
        <v>53</v>
      </c>
      <c r="B17" t="s">
        <v>56</v>
      </c>
      <c r="C17" t="s">
        <v>33</v>
      </c>
      <c r="D1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" t="s">
        <v>48</v>
      </c>
      <c r="F17" t="s">
        <v>45</v>
      </c>
      <c r="G17" t="s">
        <v>38</v>
      </c>
      <c r="H1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7" s="20">
        <f>Таблица26[[#This Row],[team-1-win]]+Таблица26[[#This Row],[team-2-win]]</f>
        <v>1</v>
      </c>
      <c r="K17" t="s">
        <v>53</v>
      </c>
      <c r="L17" t="s">
        <v>33</v>
      </c>
      <c r="M17" t="s">
        <v>38</v>
      </c>
      <c r="N1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1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17" s="3">
        <f>IF(Table340[[#This Row],[battles]],Table340[[#This Row],[wins]]/Table340[[#This Row],[battles]],0)</f>
        <v>0</v>
      </c>
    </row>
    <row r="18" spans="1:16" x14ac:dyDescent="0.25">
      <c r="A18" t="s">
        <v>53</v>
      </c>
      <c r="B18" t="s">
        <v>56</v>
      </c>
      <c r="C18" t="s">
        <v>33</v>
      </c>
      <c r="D1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8" t="s">
        <v>48</v>
      </c>
      <c r="F18" t="s">
        <v>63</v>
      </c>
      <c r="G18" t="s">
        <v>38</v>
      </c>
      <c r="H1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" s="20">
        <f>Таблица26[[#This Row],[team-1-win]]+Таблица26[[#This Row],[team-2-win]]</f>
        <v>1</v>
      </c>
      <c r="K18" t="s">
        <v>53</v>
      </c>
      <c r="L18" t="s">
        <v>43</v>
      </c>
      <c r="M18" t="s">
        <v>45</v>
      </c>
      <c r="N1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1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18" s="3">
        <f>IF(Table340[[#This Row],[battles]],Table340[[#This Row],[wins]]/Table340[[#This Row],[battles]],0)</f>
        <v>0</v>
      </c>
    </row>
    <row r="19" spans="1:16" x14ac:dyDescent="0.25">
      <c r="A19" t="s">
        <v>53</v>
      </c>
      <c r="B19" t="s">
        <v>56</v>
      </c>
      <c r="C19" t="s">
        <v>33</v>
      </c>
      <c r="D1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" t="s">
        <v>43</v>
      </c>
      <c r="F19" t="s">
        <v>45</v>
      </c>
      <c r="G19" t="s">
        <v>63</v>
      </c>
      <c r="H1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9" s="20">
        <f>Таблица26[[#This Row],[team-1-win]]+Таблица26[[#This Row],[team-2-win]]</f>
        <v>1</v>
      </c>
      <c r="K19" t="s">
        <v>53</v>
      </c>
      <c r="L19" t="s">
        <v>43</v>
      </c>
      <c r="M19" t="s">
        <v>63</v>
      </c>
      <c r="N19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19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19" s="3">
        <f>IF(Table340[[#This Row],[battles]],Table340[[#This Row],[wins]]/Table340[[#This Row],[battles]],0)</f>
        <v>0</v>
      </c>
    </row>
    <row r="20" spans="1:16" x14ac:dyDescent="0.25">
      <c r="A20" t="s">
        <v>53</v>
      </c>
      <c r="B20" t="s">
        <v>56</v>
      </c>
      <c r="C20" t="s">
        <v>33</v>
      </c>
      <c r="D2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0" t="s">
        <v>43</v>
      </c>
      <c r="F20" t="s">
        <v>45</v>
      </c>
      <c r="G20" t="s">
        <v>38</v>
      </c>
      <c r="H2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0" s="20">
        <f>Таблица26[[#This Row],[team-1-win]]+Таблица26[[#This Row],[team-2-win]]</f>
        <v>1</v>
      </c>
      <c r="K20" t="s">
        <v>53</v>
      </c>
      <c r="L20" t="s">
        <v>43</v>
      </c>
      <c r="M20" t="s">
        <v>38</v>
      </c>
      <c r="N20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20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20" s="3">
        <f>IF(Table340[[#This Row],[battles]],Table340[[#This Row],[wins]]/Table340[[#This Row],[battles]],0)</f>
        <v>0</v>
      </c>
    </row>
    <row r="21" spans="1:16" x14ac:dyDescent="0.25">
      <c r="A21" t="s">
        <v>53</v>
      </c>
      <c r="B21" t="s">
        <v>56</v>
      </c>
      <c r="C21" t="s">
        <v>33</v>
      </c>
      <c r="D2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1" t="s">
        <v>43</v>
      </c>
      <c r="F21" t="s">
        <v>63</v>
      </c>
      <c r="G21" t="s">
        <v>38</v>
      </c>
      <c r="H2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" s="20">
        <f>Таблица26[[#This Row],[team-1-win]]+Таблица26[[#This Row],[team-2-win]]</f>
        <v>1</v>
      </c>
      <c r="K21" t="s">
        <v>53</v>
      </c>
      <c r="L21" t="s">
        <v>45</v>
      </c>
      <c r="M21" t="s">
        <v>63</v>
      </c>
      <c r="N21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21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21" s="3">
        <f>IF(Table340[[#This Row],[battles]],Table340[[#This Row],[wins]]/Table340[[#This Row],[battles]],0)</f>
        <v>0</v>
      </c>
    </row>
    <row r="22" spans="1:16" x14ac:dyDescent="0.25">
      <c r="A22" t="s">
        <v>53</v>
      </c>
      <c r="B22" t="s">
        <v>56</v>
      </c>
      <c r="C22" t="s">
        <v>33</v>
      </c>
      <c r="D2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" t="s">
        <v>45</v>
      </c>
      <c r="F22" t="s">
        <v>63</v>
      </c>
      <c r="G22" t="s">
        <v>38</v>
      </c>
      <c r="H2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2" s="20">
        <f>Таблица26[[#This Row],[team-1-win]]+Таблица26[[#This Row],[team-2-win]]</f>
        <v>1</v>
      </c>
      <c r="K22" t="s">
        <v>53</v>
      </c>
      <c r="L22" t="s">
        <v>45</v>
      </c>
      <c r="M22" t="s">
        <v>38</v>
      </c>
      <c r="N22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22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22" s="3">
        <f>IF(Table340[[#This Row],[battles]],Table340[[#This Row],[wins]]/Table340[[#This Row],[battles]],0)</f>
        <v>0</v>
      </c>
    </row>
    <row r="23" spans="1:16" x14ac:dyDescent="0.25">
      <c r="A23" t="s">
        <v>53</v>
      </c>
      <c r="B23" t="s">
        <v>56</v>
      </c>
      <c r="C23" t="s">
        <v>43</v>
      </c>
      <c r="D2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" t="s">
        <v>48</v>
      </c>
      <c r="F23" t="s">
        <v>33</v>
      </c>
      <c r="G23" t="s">
        <v>45</v>
      </c>
      <c r="H2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3" s="20">
        <f>Таблица26[[#This Row],[team-1-win]]+Таблица26[[#This Row],[team-2-win]]</f>
        <v>1</v>
      </c>
      <c r="K23" t="s">
        <v>53</v>
      </c>
      <c r="L23" t="s">
        <v>63</v>
      </c>
      <c r="M23" t="s">
        <v>38</v>
      </c>
      <c r="N23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23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23" s="3">
        <f>IF(Table340[[#This Row],[battles]],Table340[[#This Row],[wins]]/Table340[[#This Row],[battles]],0)</f>
        <v>0</v>
      </c>
    </row>
    <row r="24" spans="1:16" x14ac:dyDescent="0.25">
      <c r="A24" t="s">
        <v>53</v>
      </c>
      <c r="B24" t="s">
        <v>56</v>
      </c>
      <c r="C24" t="s">
        <v>43</v>
      </c>
      <c r="D2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4" t="s">
        <v>48</v>
      </c>
      <c r="F24" t="s">
        <v>33</v>
      </c>
      <c r="G24" t="s">
        <v>63</v>
      </c>
      <c r="H2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" s="20">
        <f>Таблица26[[#This Row],[team-1-win]]+Таблица26[[#This Row],[team-2-win]]</f>
        <v>1</v>
      </c>
      <c r="K24" t="s">
        <v>56</v>
      </c>
      <c r="L24" t="s">
        <v>48</v>
      </c>
      <c r="M24" t="s">
        <v>33</v>
      </c>
      <c r="N2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2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24" s="3">
        <f>IF(Table340[[#This Row],[battles]],Table340[[#This Row],[wins]]/Table340[[#This Row],[battles]],0)</f>
        <v>0</v>
      </c>
    </row>
    <row r="25" spans="1:16" x14ac:dyDescent="0.25">
      <c r="A25" t="s">
        <v>53</v>
      </c>
      <c r="B25" t="s">
        <v>56</v>
      </c>
      <c r="C25" t="s">
        <v>43</v>
      </c>
      <c r="D2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5" t="s">
        <v>48</v>
      </c>
      <c r="F25" t="s">
        <v>33</v>
      </c>
      <c r="G25" t="s">
        <v>38</v>
      </c>
      <c r="H2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" s="20">
        <f>Таблица26[[#This Row],[team-1-win]]+Таблица26[[#This Row],[team-2-win]]</f>
        <v>1</v>
      </c>
      <c r="K25" t="s">
        <v>56</v>
      </c>
      <c r="L25" t="s">
        <v>48</v>
      </c>
      <c r="M25" t="s">
        <v>43</v>
      </c>
      <c r="N2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2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25" s="3">
        <f>IF(Table340[[#This Row],[battles]],Table340[[#This Row],[wins]]/Table340[[#This Row],[battles]],0)</f>
        <v>0</v>
      </c>
    </row>
    <row r="26" spans="1:16" x14ac:dyDescent="0.25">
      <c r="A26" t="s">
        <v>53</v>
      </c>
      <c r="B26" t="s">
        <v>56</v>
      </c>
      <c r="C26" t="s">
        <v>43</v>
      </c>
      <c r="D2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6" t="s">
        <v>48</v>
      </c>
      <c r="F26" t="s">
        <v>45</v>
      </c>
      <c r="G26" t="s">
        <v>63</v>
      </c>
      <c r="H2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" s="20">
        <f>Таблица26[[#This Row],[team-1-win]]+Таблица26[[#This Row],[team-2-win]]</f>
        <v>1</v>
      </c>
      <c r="K26" t="s">
        <v>56</v>
      </c>
      <c r="L26" t="s">
        <v>48</v>
      </c>
      <c r="M26" t="s">
        <v>45</v>
      </c>
      <c r="N2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2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26" s="3">
        <f>IF(Table340[[#This Row],[battles]],Table340[[#This Row],[wins]]/Table340[[#This Row],[battles]],0)</f>
        <v>0</v>
      </c>
    </row>
    <row r="27" spans="1:16" x14ac:dyDescent="0.25">
      <c r="A27" t="s">
        <v>53</v>
      </c>
      <c r="B27" t="s">
        <v>56</v>
      </c>
      <c r="C27" t="s">
        <v>43</v>
      </c>
      <c r="D2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7" t="s">
        <v>48</v>
      </c>
      <c r="F27" t="s">
        <v>45</v>
      </c>
      <c r="G27" t="s">
        <v>38</v>
      </c>
      <c r="H2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" s="20">
        <f>Таблица26[[#This Row],[team-1-win]]+Таблица26[[#This Row],[team-2-win]]</f>
        <v>1</v>
      </c>
      <c r="K27" t="s">
        <v>56</v>
      </c>
      <c r="L27" t="s">
        <v>48</v>
      </c>
      <c r="M27" t="s">
        <v>63</v>
      </c>
      <c r="N2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2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27" s="3">
        <f>IF(Table340[[#This Row],[battles]],Table340[[#This Row],[wins]]/Table340[[#This Row],[battles]],0)</f>
        <v>0</v>
      </c>
    </row>
    <row r="28" spans="1:16" x14ac:dyDescent="0.25">
      <c r="A28" t="s">
        <v>53</v>
      </c>
      <c r="B28" t="s">
        <v>56</v>
      </c>
      <c r="C28" t="s">
        <v>43</v>
      </c>
      <c r="D2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8" t="s">
        <v>48</v>
      </c>
      <c r="F28" t="s">
        <v>63</v>
      </c>
      <c r="G28" t="s">
        <v>38</v>
      </c>
      <c r="H2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8" s="20">
        <f>Таблица26[[#This Row],[team-1-win]]+Таблица26[[#This Row],[team-2-win]]</f>
        <v>1</v>
      </c>
      <c r="K28" t="s">
        <v>56</v>
      </c>
      <c r="L28" t="s">
        <v>48</v>
      </c>
      <c r="M28" t="s">
        <v>38</v>
      </c>
      <c r="N2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0</v>
      </c>
      <c r="O2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28" s="3">
        <f>IF(Table340[[#This Row],[battles]],Table340[[#This Row],[wins]]/Table340[[#This Row],[battles]],0)</f>
        <v>0</v>
      </c>
    </row>
    <row r="29" spans="1:16" x14ac:dyDescent="0.25">
      <c r="A29" t="s">
        <v>53</v>
      </c>
      <c r="B29" t="s">
        <v>56</v>
      </c>
      <c r="C29" t="s">
        <v>43</v>
      </c>
      <c r="D2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9" t="s">
        <v>33</v>
      </c>
      <c r="F29" t="s">
        <v>45</v>
      </c>
      <c r="G29" t="s">
        <v>63</v>
      </c>
      <c r="H2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9" s="20">
        <f>Таблица26[[#This Row],[team-1-win]]+Таблица26[[#This Row],[team-2-win]]</f>
        <v>1</v>
      </c>
      <c r="K29" t="s">
        <v>56</v>
      </c>
      <c r="L29" t="s">
        <v>33</v>
      </c>
      <c r="M29" t="s">
        <v>43</v>
      </c>
      <c r="N29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</v>
      </c>
      <c r="O29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29" s="3">
        <f>IF(Table340[[#This Row],[battles]],Table340[[#This Row],[wins]]/Table340[[#This Row],[battles]],0)</f>
        <v>0</v>
      </c>
    </row>
    <row r="30" spans="1:16" x14ac:dyDescent="0.25">
      <c r="A30" t="s">
        <v>53</v>
      </c>
      <c r="B30" t="s">
        <v>56</v>
      </c>
      <c r="C30" t="s">
        <v>43</v>
      </c>
      <c r="D3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0" t="s">
        <v>33</v>
      </c>
      <c r="F30" t="s">
        <v>45</v>
      </c>
      <c r="G30" t="s">
        <v>38</v>
      </c>
      <c r="H3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0" s="20">
        <f>Таблица26[[#This Row],[team-1-win]]+Таблица26[[#This Row],[team-2-win]]</f>
        <v>1</v>
      </c>
      <c r="K30" t="s">
        <v>56</v>
      </c>
      <c r="L30" t="s">
        <v>33</v>
      </c>
      <c r="M30" t="s">
        <v>45</v>
      </c>
      <c r="N30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</v>
      </c>
      <c r="O30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30" s="3">
        <f>IF(Table340[[#This Row],[battles]],Table340[[#This Row],[wins]]/Table340[[#This Row],[battles]],0)</f>
        <v>0</v>
      </c>
    </row>
    <row r="31" spans="1:16" x14ac:dyDescent="0.25">
      <c r="A31" t="s">
        <v>53</v>
      </c>
      <c r="B31" t="s">
        <v>56</v>
      </c>
      <c r="C31" t="s">
        <v>43</v>
      </c>
      <c r="D3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1" t="s">
        <v>33</v>
      </c>
      <c r="F31" t="s">
        <v>63</v>
      </c>
      <c r="G31" t="s">
        <v>38</v>
      </c>
      <c r="H3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1" s="20">
        <f>Таблица26[[#This Row],[team-1-win]]+Таблица26[[#This Row],[team-2-win]]</f>
        <v>1</v>
      </c>
      <c r="K31" t="s">
        <v>56</v>
      </c>
      <c r="L31" t="s">
        <v>33</v>
      </c>
      <c r="M31" t="s">
        <v>63</v>
      </c>
      <c r="N31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2</v>
      </c>
      <c r="O31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1</v>
      </c>
      <c r="P31" s="3">
        <f>IF(Table340[[#This Row],[battles]],Table340[[#This Row],[wins]]/Table340[[#This Row],[battles]],0)</f>
        <v>0.5</v>
      </c>
    </row>
    <row r="32" spans="1:16" x14ac:dyDescent="0.25">
      <c r="A32" t="s">
        <v>53</v>
      </c>
      <c r="B32" t="s">
        <v>56</v>
      </c>
      <c r="C32" t="s">
        <v>43</v>
      </c>
      <c r="D3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32" t="s">
        <v>45</v>
      </c>
      <c r="F32" t="s">
        <v>63</v>
      </c>
      <c r="G32" t="s">
        <v>38</v>
      </c>
      <c r="H3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32" s="20">
        <f>Таблица26[[#This Row],[team-1-win]]+Таблица26[[#This Row],[team-2-win]]</f>
        <v>1</v>
      </c>
      <c r="K32" t="s">
        <v>56</v>
      </c>
      <c r="L32" t="s">
        <v>33</v>
      </c>
      <c r="M32" t="s">
        <v>38</v>
      </c>
      <c r="N32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2</v>
      </c>
      <c r="O32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32" s="3">
        <f>IF(Table340[[#This Row],[battles]],Table340[[#This Row],[wins]]/Table340[[#This Row],[battles]],0)</f>
        <v>0</v>
      </c>
    </row>
    <row r="33" spans="1:16" x14ac:dyDescent="0.25">
      <c r="A33" t="s">
        <v>53</v>
      </c>
      <c r="B33" t="s">
        <v>56</v>
      </c>
      <c r="C33" t="s">
        <v>45</v>
      </c>
      <c r="D3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33" t="s">
        <v>48</v>
      </c>
      <c r="F33" t="s">
        <v>33</v>
      </c>
      <c r="G33" t="s">
        <v>43</v>
      </c>
      <c r="H3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33" s="20">
        <f>Таблица26[[#This Row],[team-1-win]]+Таблица26[[#This Row],[team-2-win]]</f>
        <v>1</v>
      </c>
      <c r="K33" t="s">
        <v>56</v>
      </c>
      <c r="L33" t="s">
        <v>43</v>
      </c>
      <c r="M33" t="s">
        <v>45</v>
      </c>
      <c r="N33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</v>
      </c>
      <c r="O33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33" s="3">
        <f>IF(Table340[[#This Row],[battles]],Table340[[#This Row],[wins]]/Table340[[#This Row],[battles]],0)</f>
        <v>0</v>
      </c>
    </row>
    <row r="34" spans="1:16" x14ac:dyDescent="0.25">
      <c r="A34" t="s">
        <v>53</v>
      </c>
      <c r="B34" t="s">
        <v>56</v>
      </c>
      <c r="C34" t="s">
        <v>45</v>
      </c>
      <c r="D3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4" t="s">
        <v>48</v>
      </c>
      <c r="F34" t="s">
        <v>33</v>
      </c>
      <c r="G34" t="s">
        <v>63</v>
      </c>
      <c r="H3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4" s="20">
        <f>Таблица26[[#This Row],[team-1-win]]+Таблица26[[#This Row],[team-2-win]]</f>
        <v>1</v>
      </c>
      <c r="K34" t="s">
        <v>56</v>
      </c>
      <c r="L34" t="s">
        <v>43</v>
      </c>
      <c r="M34" t="s">
        <v>63</v>
      </c>
      <c r="N3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2</v>
      </c>
      <c r="O3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1</v>
      </c>
      <c r="P34" s="3">
        <f>IF(Table340[[#This Row],[battles]],Table340[[#This Row],[wins]]/Table340[[#This Row],[battles]],0)</f>
        <v>0.5</v>
      </c>
    </row>
    <row r="35" spans="1:16" x14ac:dyDescent="0.25">
      <c r="A35" t="s">
        <v>53</v>
      </c>
      <c r="B35" t="s">
        <v>56</v>
      </c>
      <c r="C35" t="s">
        <v>45</v>
      </c>
      <c r="D3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35" t="s">
        <v>48</v>
      </c>
      <c r="F35" t="s">
        <v>33</v>
      </c>
      <c r="G35" t="s">
        <v>38</v>
      </c>
      <c r="H3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35" s="20">
        <f>Таблица26[[#This Row],[team-1-win]]+Таблица26[[#This Row],[team-2-win]]</f>
        <v>1</v>
      </c>
      <c r="K35" t="s">
        <v>56</v>
      </c>
      <c r="L35" t="s">
        <v>43</v>
      </c>
      <c r="M35" t="s">
        <v>38</v>
      </c>
      <c r="N3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2</v>
      </c>
      <c r="O3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1</v>
      </c>
      <c r="P35" s="3">
        <f>IF(Table340[[#This Row],[battles]],Table340[[#This Row],[wins]]/Table340[[#This Row],[battles]],0)</f>
        <v>0.5</v>
      </c>
    </row>
    <row r="36" spans="1:16" x14ac:dyDescent="0.25">
      <c r="A36" t="s">
        <v>53</v>
      </c>
      <c r="B36" t="s">
        <v>56</v>
      </c>
      <c r="C36" t="s">
        <v>45</v>
      </c>
      <c r="D3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6" t="s">
        <v>48</v>
      </c>
      <c r="F36" t="s">
        <v>43</v>
      </c>
      <c r="G36" t="s">
        <v>63</v>
      </c>
      <c r="H3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6" s="20">
        <f>Таблица26[[#This Row],[team-1-win]]+Таблица26[[#This Row],[team-2-win]]</f>
        <v>1</v>
      </c>
      <c r="K36" t="s">
        <v>56</v>
      </c>
      <c r="L36" t="s">
        <v>45</v>
      </c>
      <c r="M36" t="s">
        <v>63</v>
      </c>
      <c r="N3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2</v>
      </c>
      <c r="O3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36" s="3">
        <f>IF(Table340[[#This Row],[battles]],Table340[[#This Row],[wins]]/Table340[[#This Row],[battles]],0)</f>
        <v>0</v>
      </c>
    </row>
    <row r="37" spans="1:16" x14ac:dyDescent="0.25">
      <c r="A37" t="s">
        <v>53</v>
      </c>
      <c r="B37" t="s">
        <v>56</v>
      </c>
      <c r="C37" t="s">
        <v>45</v>
      </c>
      <c r="D3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7" t="s">
        <v>48</v>
      </c>
      <c r="F37" t="s">
        <v>43</v>
      </c>
      <c r="G37" t="s">
        <v>38</v>
      </c>
      <c r="H3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7" s="20">
        <f>Таблица26[[#This Row],[team-1-win]]+Таблица26[[#This Row],[team-2-win]]</f>
        <v>1</v>
      </c>
      <c r="K37" t="s">
        <v>56</v>
      </c>
      <c r="L37" t="s">
        <v>45</v>
      </c>
      <c r="M37" t="s">
        <v>38</v>
      </c>
      <c r="N3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2</v>
      </c>
      <c r="O3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37" s="3">
        <f>IF(Table340[[#This Row],[battles]],Table340[[#This Row],[wins]]/Table340[[#This Row],[battles]],0)</f>
        <v>0</v>
      </c>
    </row>
    <row r="38" spans="1:16" x14ac:dyDescent="0.25">
      <c r="A38" t="s">
        <v>53</v>
      </c>
      <c r="B38" t="s">
        <v>56</v>
      </c>
      <c r="C38" t="s">
        <v>45</v>
      </c>
      <c r="D3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38" t="s">
        <v>48</v>
      </c>
      <c r="F38" t="s">
        <v>63</v>
      </c>
      <c r="G38" t="s">
        <v>38</v>
      </c>
      <c r="H3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38" s="20">
        <f>Таблица26[[#This Row],[team-1-win]]+Таблица26[[#This Row],[team-2-win]]</f>
        <v>1</v>
      </c>
      <c r="K38" t="s">
        <v>56</v>
      </c>
      <c r="L38" t="s">
        <v>63</v>
      </c>
      <c r="M38" t="s">
        <v>38</v>
      </c>
      <c r="N3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3</v>
      </c>
      <c r="O3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1</v>
      </c>
      <c r="P38" s="3">
        <f>IF(Table340[[#This Row],[battles]],Table340[[#This Row],[wins]]/Table340[[#This Row],[battles]],0)</f>
        <v>0.33333333333333331</v>
      </c>
    </row>
    <row r="39" spans="1:16" x14ac:dyDescent="0.25">
      <c r="A39" t="s">
        <v>53</v>
      </c>
      <c r="B39" t="s">
        <v>56</v>
      </c>
      <c r="C39" t="s">
        <v>45</v>
      </c>
      <c r="D3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9" t="s">
        <v>33</v>
      </c>
      <c r="F39" t="s">
        <v>43</v>
      </c>
      <c r="G39" t="s">
        <v>63</v>
      </c>
      <c r="H3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9" s="20">
        <f>Таблица26[[#This Row],[team-1-win]]+Таблица26[[#This Row],[team-2-win]]</f>
        <v>1</v>
      </c>
      <c r="K39" t="s">
        <v>48</v>
      </c>
      <c r="L39" t="s">
        <v>33</v>
      </c>
      <c r="M39" t="s">
        <v>43</v>
      </c>
      <c r="N39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3</v>
      </c>
      <c r="O39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1</v>
      </c>
      <c r="P39" s="3">
        <f>IF(Table340[[#This Row],[battles]],Table340[[#This Row],[wins]]/Table340[[#This Row],[battles]],0)</f>
        <v>0.33333333333333331</v>
      </c>
    </row>
    <row r="40" spans="1:16" x14ac:dyDescent="0.25">
      <c r="A40" t="s">
        <v>53</v>
      </c>
      <c r="B40" t="s">
        <v>56</v>
      </c>
      <c r="C40" t="s">
        <v>45</v>
      </c>
      <c r="D4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0" t="s">
        <v>33</v>
      </c>
      <c r="F40" t="s">
        <v>43</v>
      </c>
      <c r="G40" t="s">
        <v>38</v>
      </c>
      <c r="H4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0" s="20">
        <f>Таблица26[[#This Row],[team-1-win]]+Таблица26[[#This Row],[team-2-win]]</f>
        <v>1</v>
      </c>
      <c r="K40" t="s">
        <v>48</v>
      </c>
      <c r="L40" t="s">
        <v>33</v>
      </c>
      <c r="M40" t="s">
        <v>45</v>
      </c>
      <c r="N40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3</v>
      </c>
      <c r="O40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1</v>
      </c>
      <c r="P40" s="3">
        <f>IF(Table340[[#This Row],[battles]],Table340[[#This Row],[wins]]/Table340[[#This Row],[battles]],0)</f>
        <v>0.33333333333333331</v>
      </c>
    </row>
    <row r="41" spans="1:16" x14ac:dyDescent="0.25">
      <c r="A41" t="s">
        <v>53</v>
      </c>
      <c r="B41" t="s">
        <v>56</v>
      </c>
      <c r="C41" t="s">
        <v>45</v>
      </c>
      <c r="D4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1" t="s">
        <v>33</v>
      </c>
      <c r="F41" t="s">
        <v>63</v>
      </c>
      <c r="G41" t="s">
        <v>38</v>
      </c>
      <c r="H4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1" s="20">
        <f>Таблица26[[#This Row],[team-1-win]]+Таблица26[[#This Row],[team-2-win]]</f>
        <v>1</v>
      </c>
      <c r="K41" t="s">
        <v>48</v>
      </c>
      <c r="L41" t="s">
        <v>33</v>
      </c>
      <c r="M41" t="s">
        <v>63</v>
      </c>
      <c r="N41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3</v>
      </c>
      <c r="O41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41" s="3">
        <f>IF(Table340[[#This Row],[battles]],Table340[[#This Row],[wins]]/Table340[[#This Row],[battles]],0)</f>
        <v>0</v>
      </c>
    </row>
    <row r="42" spans="1:16" x14ac:dyDescent="0.25">
      <c r="A42" t="s">
        <v>53</v>
      </c>
      <c r="B42" t="s">
        <v>56</v>
      </c>
      <c r="C42" t="s">
        <v>45</v>
      </c>
      <c r="D4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2" t="s">
        <v>43</v>
      </c>
      <c r="F42" t="s">
        <v>63</v>
      </c>
      <c r="G42" t="s">
        <v>38</v>
      </c>
      <c r="H4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2" s="20">
        <f>Таблица26[[#This Row],[team-1-win]]+Таблица26[[#This Row],[team-2-win]]</f>
        <v>1</v>
      </c>
      <c r="K42" t="s">
        <v>48</v>
      </c>
      <c r="L42" t="s">
        <v>33</v>
      </c>
      <c r="M42" t="s">
        <v>38</v>
      </c>
      <c r="N42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3</v>
      </c>
      <c r="O42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1</v>
      </c>
      <c r="P42" s="3">
        <f>IF(Table340[[#This Row],[battles]],Table340[[#This Row],[wins]]/Table340[[#This Row],[battles]],0)</f>
        <v>0.33333333333333331</v>
      </c>
    </row>
    <row r="43" spans="1:16" x14ac:dyDescent="0.25">
      <c r="A43" t="s">
        <v>53</v>
      </c>
      <c r="B43" t="s">
        <v>56</v>
      </c>
      <c r="C43" t="s">
        <v>63</v>
      </c>
      <c r="D4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3" t="s">
        <v>48</v>
      </c>
      <c r="F43" t="s">
        <v>33</v>
      </c>
      <c r="G43" t="s">
        <v>43</v>
      </c>
      <c r="H4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3" s="20">
        <f>Таблица26[[#This Row],[team-1-win]]+Таблица26[[#This Row],[team-2-win]]</f>
        <v>1</v>
      </c>
      <c r="K43" t="s">
        <v>48</v>
      </c>
      <c r="L43" t="s">
        <v>43</v>
      </c>
      <c r="M43" t="s">
        <v>45</v>
      </c>
      <c r="N43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3</v>
      </c>
      <c r="O43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43" s="3">
        <f>IF(Table340[[#This Row],[battles]],Table340[[#This Row],[wins]]/Table340[[#This Row],[battles]],0)</f>
        <v>0</v>
      </c>
    </row>
    <row r="44" spans="1:16" x14ac:dyDescent="0.25">
      <c r="A44" t="s">
        <v>53</v>
      </c>
      <c r="B44" t="s">
        <v>56</v>
      </c>
      <c r="C44" t="s">
        <v>63</v>
      </c>
      <c r="D4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4" t="s">
        <v>48</v>
      </c>
      <c r="F44" t="s">
        <v>33</v>
      </c>
      <c r="G44" t="s">
        <v>45</v>
      </c>
      <c r="H4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4" s="20">
        <f>Таблица26[[#This Row],[team-1-win]]+Таблица26[[#This Row],[team-2-win]]</f>
        <v>1</v>
      </c>
      <c r="K44" t="s">
        <v>48</v>
      </c>
      <c r="L44" t="s">
        <v>43</v>
      </c>
      <c r="M44" t="s">
        <v>63</v>
      </c>
      <c r="N4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3</v>
      </c>
      <c r="O4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1</v>
      </c>
      <c r="P44" s="3">
        <f>IF(Table340[[#This Row],[battles]],Table340[[#This Row],[wins]]/Table340[[#This Row],[battles]],0)</f>
        <v>0.33333333333333331</v>
      </c>
    </row>
    <row r="45" spans="1:16" x14ac:dyDescent="0.25">
      <c r="A45" t="s">
        <v>53</v>
      </c>
      <c r="B45" t="s">
        <v>56</v>
      </c>
      <c r="C45" t="s">
        <v>63</v>
      </c>
      <c r="D4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5" t="s">
        <v>48</v>
      </c>
      <c r="F45" t="s">
        <v>33</v>
      </c>
      <c r="G45" t="s">
        <v>38</v>
      </c>
      <c r="H4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5" s="20">
        <f>Таблица26[[#This Row],[team-1-win]]+Таблица26[[#This Row],[team-2-win]]</f>
        <v>1</v>
      </c>
      <c r="K45" t="s">
        <v>48</v>
      </c>
      <c r="L45" t="s">
        <v>43</v>
      </c>
      <c r="M45" t="s">
        <v>38</v>
      </c>
      <c r="N4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3</v>
      </c>
      <c r="O4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1</v>
      </c>
      <c r="P45" s="3">
        <f>IF(Table340[[#This Row],[battles]],Table340[[#This Row],[wins]]/Table340[[#This Row],[battles]],0)</f>
        <v>0.33333333333333331</v>
      </c>
    </row>
    <row r="46" spans="1:16" x14ac:dyDescent="0.25">
      <c r="A46" t="s">
        <v>53</v>
      </c>
      <c r="B46" t="s">
        <v>56</v>
      </c>
      <c r="C46" t="s">
        <v>63</v>
      </c>
      <c r="D4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6" t="s">
        <v>48</v>
      </c>
      <c r="F46" t="s">
        <v>43</v>
      </c>
      <c r="G46" t="s">
        <v>45</v>
      </c>
      <c r="H4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6" s="20">
        <f>Таблица26[[#This Row],[team-1-win]]+Таблица26[[#This Row],[team-2-win]]</f>
        <v>1</v>
      </c>
      <c r="K46" t="s">
        <v>48</v>
      </c>
      <c r="L46" t="s">
        <v>45</v>
      </c>
      <c r="M46" t="s">
        <v>63</v>
      </c>
      <c r="N4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3</v>
      </c>
      <c r="O4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46" s="3">
        <f>IF(Table340[[#This Row],[battles]],Table340[[#This Row],[wins]]/Table340[[#This Row],[battles]],0)</f>
        <v>0</v>
      </c>
    </row>
    <row r="47" spans="1:16" x14ac:dyDescent="0.25">
      <c r="A47" t="s">
        <v>53</v>
      </c>
      <c r="B47" t="s">
        <v>56</v>
      </c>
      <c r="C47" t="s">
        <v>63</v>
      </c>
      <c r="D4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47" t="s">
        <v>48</v>
      </c>
      <c r="F47" t="s">
        <v>43</v>
      </c>
      <c r="G47" t="s">
        <v>38</v>
      </c>
      <c r="H4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47" s="20">
        <f>Таблица26[[#This Row],[team-1-win]]+Таблица26[[#This Row],[team-2-win]]</f>
        <v>1</v>
      </c>
      <c r="K47" t="s">
        <v>48</v>
      </c>
      <c r="L47" t="s">
        <v>45</v>
      </c>
      <c r="M47" t="s">
        <v>38</v>
      </c>
      <c r="N4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3</v>
      </c>
      <c r="O4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2</v>
      </c>
      <c r="P47" s="3">
        <f>IF(Table340[[#This Row],[battles]],Table340[[#This Row],[wins]]/Table340[[#This Row],[battles]],0)</f>
        <v>0.66666666666666663</v>
      </c>
    </row>
    <row r="48" spans="1:16" x14ac:dyDescent="0.25">
      <c r="A48" t="s">
        <v>53</v>
      </c>
      <c r="B48" t="s">
        <v>56</v>
      </c>
      <c r="C48" t="s">
        <v>63</v>
      </c>
      <c r="D4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48" t="s">
        <v>48</v>
      </c>
      <c r="F48" t="s">
        <v>45</v>
      </c>
      <c r="G48" t="s">
        <v>38</v>
      </c>
      <c r="H4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48" s="20">
        <f>Таблица26[[#This Row],[team-1-win]]+Таблица26[[#This Row],[team-2-win]]</f>
        <v>1</v>
      </c>
      <c r="K48" t="s">
        <v>48</v>
      </c>
      <c r="L48" t="s">
        <v>63</v>
      </c>
      <c r="M48" t="s">
        <v>38</v>
      </c>
      <c r="N4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3</v>
      </c>
      <c r="O4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2</v>
      </c>
      <c r="P48" s="3">
        <f>IF(Table340[[#This Row],[battles]],Table340[[#This Row],[wins]]/Table340[[#This Row],[battles]],0)</f>
        <v>0.66666666666666663</v>
      </c>
    </row>
    <row r="49" spans="1:16" x14ac:dyDescent="0.25">
      <c r="A49" t="s">
        <v>53</v>
      </c>
      <c r="B49" t="s">
        <v>56</v>
      </c>
      <c r="C49" t="s">
        <v>63</v>
      </c>
      <c r="D4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9" t="s">
        <v>33</v>
      </c>
      <c r="F49" t="s">
        <v>43</v>
      </c>
      <c r="G49" t="s">
        <v>45</v>
      </c>
      <c r="H4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9" s="20">
        <f>Таблица26[[#This Row],[team-1-win]]+Таблица26[[#This Row],[team-2-win]]</f>
        <v>1</v>
      </c>
      <c r="K49" t="s">
        <v>33</v>
      </c>
      <c r="L49" t="s">
        <v>43</v>
      </c>
      <c r="M49" t="s">
        <v>45</v>
      </c>
      <c r="N49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3</v>
      </c>
      <c r="O49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49" s="3">
        <f>IF(Table340[[#This Row],[battles]],Table340[[#This Row],[wins]]/Table340[[#This Row],[battles]],0)</f>
        <v>0</v>
      </c>
    </row>
    <row r="50" spans="1:16" x14ac:dyDescent="0.25">
      <c r="A50" t="s">
        <v>53</v>
      </c>
      <c r="B50" t="s">
        <v>56</v>
      </c>
      <c r="C50" t="s">
        <v>63</v>
      </c>
      <c r="D5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0" t="s">
        <v>33</v>
      </c>
      <c r="F50" t="s">
        <v>43</v>
      </c>
      <c r="G50" t="s">
        <v>38</v>
      </c>
      <c r="H5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0" s="20">
        <f>Таблица26[[#This Row],[team-1-win]]+Таблица26[[#This Row],[team-2-win]]</f>
        <v>1</v>
      </c>
      <c r="K50" t="s">
        <v>33</v>
      </c>
      <c r="L50" t="s">
        <v>43</v>
      </c>
      <c r="M50" t="s">
        <v>63</v>
      </c>
      <c r="N50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3</v>
      </c>
      <c r="O50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50" s="3">
        <f>IF(Table340[[#This Row],[battles]],Table340[[#This Row],[wins]]/Table340[[#This Row],[battles]],0)</f>
        <v>0</v>
      </c>
    </row>
    <row r="51" spans="1:16" x14ac:dyDescent="0.25">
      <c r="A51" t="s">
        <v>53</v>
      </c>
      <c r="B51" t="s">
        <v>56</v>
      </c>
      <c r="C51" t="s">
        <v>63</v>
      </c>
      <c r="D5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1" t="s">
        <v>33</v>
      </c>
      <c r="F51" t="s">
        <v>45</v>
      </c>
      <c r="G51" t="s">
        <v>38</v>
      </c>
      <c r="H5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1" s="20">
        <f>Таблица26[[#This Row],[team-1-win]]+Таблица26[[#This Row],[team-2-win]]</f>
        <v>1</v>
      </c>
      <c r="K51" t="s">
        <v>33</v>
      </c>
      <c r="L51" t="s">
        <v>43</v>
      </c>
      <c r="M51" t="s">
        <v>38</v>
      </c>
      <c r="N51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3</v>
      </c>
      <c r="O51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51" s="3">
        <f>IF(Table340[[#This Row],[battles]],Table340[[#This Row],[wins]]/Table340[[#This Row],[battles]],0)</f>
        <v>0</v>
      </c>
    </row>
    <row r="52" spans="1:16" x14ac:dyDescent="0.25">
      <c r="A52" t="s">
        <v>53</v>
      </c>
      <c r="B52" t="s">
        <v>56</v>
      </c>
      <c r="C52" t="s">
        <v>63</v>
      </c>
      <c r="D5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52" t="s">
        <v>43</v>
      </c>
      <c r="F52" t="s">
        <v>45</v>
      </c>
      <c r="G52" t="s">
        <v>38</v>
      </c>
      <c r="H5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52" s="20">
        <f>Таблица26[[#This Row],[team-1-win]]+Таблица26[[#This Row],[team-2-win]]</f>
        <v>1</v>
      </c>
      <c r="K52" t="s">
        <v>33</v>
      </c>
      <c r="L52" t="s">
        <v>45</v>
      </c>
      <c r="M52" t="s">
        <v>63</v>
      </c>
      <c r="N52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4</v>
      </c>
      <c r="O52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1</v>
      </c>
      <c r="P52" s="3">
        <f>IF(Table340[[#This Row],[battles]],Table340[[#This Row],[wins]]/Table340[[#This Row],[battles]],0)</f>
        <v>0.25</v>
      </c>
    </row>
    <row r="53" spans="1:16" x14ac:dyDescent="0.25">
      <c r="A53" t="s">
        <v>53</v>
      </c>
      <c r="B53" t="s">
        <v>56</v>
      </c>
      <c r="C53" t="s">
        <v>38</v>
      </c>
      <c r="D5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3" t="s">
        <v>48</v>
      </c>
      <c r="F53" t="s">
        <v>33</v>
      </c>
      <c r="G53" t="s">
        <v>43</v>
      </c>
      <c r="H5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3" s="20">
        <f>Таблица26[[#This Row],[team-1-win]]+Таблица26[[#This Row],[team-2-win]]</f>
        <v>1</v>
      </c>
      <c r="K53" t="s">
        <v>33</v>
      </c>
      <c r="L53" t="s">
        <v>45</v>
      </c>
      <c r="M53" t="s">
        <v>38</v>
      </c>
      <c r="N53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4</v>
      </c>
      <c r="O53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1</v>
      </c>
      <c r="P53" s="3">
        <f>IF(Table340[[#This Row],[battles]],Table340[[#This Row],[wins]]/Table340[[#This Row],[battles]],0)</f>
        <v>0.25</v>
      </c>
    </row>
    <row r="54" spans="1:16" x14ac:dyDescent="0.25">
      <c r="A54" t="s">
        <v>53</v>
      </c>
      <c r="B54" t="s">
        <v>56</v>
      </c>
      <c r="C54" t="s">
        <v>38</v>
      </c>
      <c r="D5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4" t="s">
        <v>48</v>
      </c>
      <c r="F54" t="s">
        <v>33</v>
      </c>
      <c r="G54" t="s">
        <v>45</v>
      </c>
      <c r="H5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4" s="20">
        <f>Таблица26[[#This Row],[team-1-win]]+Таблица26[[#This Row],[team-2-win]]</f>
        <v>1</v>
      </c>
      <c r="K54" t="s">
        <v>33</v>
      </c>
      <c r="L54" t="s">
        <v>63</v>
      </c>
      <c r="M54" t="s">
        <v>38</v>
      </c>
      <c r="N5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4</v>
      </c>
      <c r="O5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1</v>
      </c>
      <c r="P54" s="3">
        <f>IF(Table340[[#This Row],[battles]],Table340[[#This Row],[wins]]/Table340[[#This Row],[battles]],0)</f>
        <v>0.25</v>
      </c>
    </row>
    <row r="55" spans="1:16" x14ac:dyDescent="0.25">
      <c r="A55" t="s">
        <v>53</v>
      </c>
      <c r="B55" t="s">
        <v>56</v>
      </c>
      <c r="C55" t="s">
        <v>38</v>
      </c>
      <c r="D5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5" t="s">
        <v>48</v>
      </c>
      <c r="F55" t="s">
        <v>33</v>
      </c>
      <c r="G55" t="s">
        <v>63</v>
      </c>
      <c r="H5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5" s="20">
        <f>Таблица26[[#This Row],[team-1-win]]+Таблица26[[#This Row],[team-2-win]]</f>
        <v>1</v>
      </c>
      <c r="K55" t="s">
        <v>43</v>
      </c>
      <c r="L55" t="s">
        <v>45</v>
      </c>
      <c r="M55" t="s">
        <v>63</v>
      </c>
      <c r="N5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4</v>
      </c>
      <c r="O5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1</v>
      </c>
      <c r="P55" s="3">
        <f>IF(Table340[[#This Row],[battles]],Table340[[#This Row],[wins]]/Table340[[#This Row],[battles]],0)</f>
        <v>0.25</v>
      </c>
    </row>
    <row r="56" spans="1:16" x14ac:dyDescent="0.25">
      <c r="A56" t="s">
        <v>53</v>
      </c>
      <c r="B56" t="s">
        <v>56</v>
      </c>
      <c r="C56" t="s">
        <v>38</v>
      </c>
      <c r="D5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6" t="s">
        <v>48</v>
      </c>
      <c r="F56" t="s">
        <v>43</v>
      </c>
      <c r="G56" t="s">
        <v>45</v>
      </c>
      <c r="H5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6" s="20">
        <f>Таблица26[[#This Row],[team-1-win]]+Таблица26[[#This Row],[team-2-win]]</f>
        <v>1</v>
      </c>
      <c r="K56" t="s">
        <v>43</v>
      </c>
      <c r="L56" t="s">
        <v>45</v>
      </c>
      <c r="M56" t="s">
        <v>38</v>
      </c>
      <c r="N5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4</v>
      </c>
      <c r="O5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3</v>
      </c>
      <c r="P56" s="3">
        <f>IF(Table340[[#This Row],[battles]],Table340[[#This Row],[wins]]/Table340[[#This Row],[battles]],0)</f>
        <v>0.75</v>
      </c>
    </row>
    <row r="57" spans="1:16" x14ac:dyDescent="0.25">
      <c r="A57" t="s">
        <v>53</v>
      </c>
      <c r="B57" t="s">
        <v>56</v>
      </c>
      <c r="C57" t="s">
        <v>38</v>
      </c>
      <c r="D5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7" t="s">
        <v>48</v>
      </c>
      <c r="F57" t="s">
        <v>43</v>
      </c>
      <c r="G57" t="s">
        <v>63</v>
      </c>
      <c r="H5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7" s="20">
        <f>Таблица26[[#This Row],[team-1-win]]+Таблица26[[#This Row],[team-2-win]]</f>
        <v>1</v>
      </c>
      <c r="K57" t="s">
        <v>43</v>
      </c>
      <c r="L57" t="s">
        <v>63</v>
      </c>
      <c r="M57" t="s">
        <v>38</v>
      </c>
      <c r="N5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4</v>
      </c>
      <c r="O5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1</v>
      </c>
      <c r="P57" s="3">
        <f>IF(Table340[[#This Row],[battles]],Table340[[#This Row],[wins]]/Table340[[#This Row],[battles]],0)</f>
        <v>0.25</v>
      </c>
    </row>
    <row r="58" spans="1:16" x14ac:dyDescent="0.25">
      <c r="A58" t="s">
        <v>53</v>
      </c>
      <c r="B58" t="s">
        <v>56</v>
      </c>
      <c r="C58" t="s">
        <v>38</v>
      </c>
      <c r="D5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8" t="s">
        <v>48</v>
      </c>
      <c r="F58" t="s">
        <v>45</v>
      </c>
      <c r="G58" t="s">
        <v>63</v>
      </c>
      <c r="H5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8" s="20">
        <f>Таблица26[[#This Row],[team-1-win]]+Таблица26[[#This Row],[team-2-win]]</f>
        <v>1</v>
      </c>
      <c r="K58" t="s">
        <v>45</v>
      </c>
      <c r="L58" t="s">
        <v>63</v>
      </c>
      <c r="M58" t="s">
        <v>38</v>
      </c>
      <c r="N5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5</v>
      </c>
      <c r="O5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3</v>
      </c>
      <c r="P58" s="3">
        <f>IF(Table340[[#This Row],[battles]],Table340[[#This Row],[wins]]/Table340[[#This Row],[battles]],0)</f>
        <v>0.6</v>
      </c>
    </row>
    <row r="59" spans="1:16" x14ac:dyDescent="0.25">
      <c r="A59" t="s">
        <v>53</v>
      </c>
      <c r="B59" t="s">
        <v>56</v>
      </c>
      <c r="C59" t="s">
        <v>38</v>
      </c>
      <c r="D5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9" t="s">
        <v>33</v>
      </c>
      <c r="F59" t="s">
        <v>43</v>
      </c>
      <c r="G59" t="s">
        <v>45</v>
      </c>
      <c r="H5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9" s="20">
        <f>Таблица26[[#This Row],[team-1-win]]+Таблица26[[#This Row],[team-2-win]]</f>
        <v>1</v>
      </c>
    </row>
    <row r="60" spans="1:16" x14ac:dyDescent="0.25">
      <c r="A60" t="s">
        <v>53</v>
      </c>
      <c r="B60" t="s">
        <v>56</v>
      </c>
      <c r="C60" t="s">
        <v>38</v>
      </c>
      <c r="D6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0" t="s">
        <v>33</v>
      </c>
      <c r="F60" t="s">
        <v>43</v>
      </c>
      <c r="G60" t="s">
        <v>63</v>
      </c>
      <c r="H6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0" s="20">
        <f>Таблица26[[#This Row],[team-1-win]]+Таблица26[[#This Row],[team-2-win]]</f>
        <v>1</v>
      </c>
    </row>
    <row r="61" spans="1:16" x14ac:dyDescent="0.25">
      <c r="A61" t="s">
        <v>53</v>
      </c>
      <c r="B61" t="s">
        <v>56</v>
      </c>
      <c r="C61" t="s">
        <v>38</v>
      </c>
      <c r="D6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1" t="s">
        <v>33</v>
      </c>
      <c r="F61" t="s">
        <v>45</v>
      </c>
      <c r="G61" t="s">
        <v>63</v>
      </c>
      <c r="H6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1" s="20">
        <f>Таблица26[[#This Row],[team-1-win]]+Таблица26[[#This Row],[team-2-win]]</f>
        <v>1</v>
      </c>
    </row>
    <row r="62" spans="1:16" x14ac:dyDescent="0.25">
      <c r="A62" t="s">
        <v>53</v>
      </c>
      <c r="B62" t="s">
        <v>56</v>
      </c>
      <c r="C62" t="s">
        <v>38</v>
      </c>
      <c r="D6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2" t="s">
        <v>43</v>
      </c>
      <c r="F62" t="s">
        <v>45</v>
      </c>
      <c r="G62" t="s">
        <v>63</v>
      </c>
      <c r="H6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2" s="20">
        <f>Таблица26[[#This Row],[team-1-win]]+Таблица26[[#This Row],[team-2-win]]</f>
        <v>1</v>
      </c>
    </row>
    <row r="63" spans="1:16" x14ac:dyDescent="0.25">
      <c r="A63" t="s">
        <v>53</v>
      </c>
      <c r="B63" t="s">
        <v>48</v>
      </c>
      <c r="C63" t="s">
        <v>33</v>
      </c>
      <c r="D6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3" t="s">
        <v>56</v>
      </c>
      <c r="F63" t="s">
        <v>43</v>
      </c>
      <c r="G63" t="s">
        <v>45</v>
      </c>
      <c r="H6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3" s="20">
        <f>Таблица26[[#This Row],[team-1-win]]+Таблица26[[#This Row],[team-2-win]]</f>
        <v>1</v>
      </c>
    </row>
    <row r="64" spans="1:16" x14ac:dyDescent="0.25">
      <c r="A64" t="s">
        <v>53</v>
      </c>
      <c r="B64" t="s">
        <v>48</v>
      </c>
      <c r="C64" t="s">
        <v>33</v>
      </c>
      <c r="D6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4" t="s">
        <v>56</v>
      </c>
      <c r="F64" t="s">
        <v>43</v>
      </c>
      <c r="G64" t="s">
        <v>63</v>
      </c>
      <c r="H6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4" s="20">
        <f>Таблица26[[#This Row],[team-1-win]]+Таблица26[[#This Row],[team-2-win]]</f>
        <v>1</v>
      </c>
    </row>
    <row r="65" spans="1:9" x14ac:dyDescent="0.25">
      <c r="A65" t="s">
        <v>53</v>
      </c>
      <c r="B65" t="s">
        <v>48</v>
      </c>
      <c r="C65" t="s">
        <v>33</v>
      </c>
      <c r="D6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5" t="s">
        <v>56</v>
      </c>
      <c r="F65" t="s">
        <v>43</v>
      </c>
      <c r="G65" t="s">
        <v>38</v>
      </c>
      <c r="H6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5" s="20">
        <f>Таблица26[[#This Row],[team-1-win]]+Таблица26[[#This Row],[team-2-win]]</f>
        <v>1</v>
      </c>
    </row>
    <row r="66" spans="1:9" x14ac:dyDescent="0.25">
      <c r="A66" t="s">
        <v>53</v>
      </c>
      <c r="B66" t="s">
        <v>48</v>
      </c>
      <c r="C66" t="s">
        <v>33</v>
      </c>
      <c r="D6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6" t="s">
        <v>56</v>
      </c>
      <c r="F66" t="s">
        <v>45</v>
      </c>
      <c r="G66" t="s">
        <v>63</v>
      </c>
      <c r="H6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6" s="20">
        <f>Таблица26[[#This Row],[team-1-win]]+Таблица26[[#This Row],[team-2-win]]</f>
        <v>1</v>
      </c>
    </row>
    <row r="67" spans="1:9" x14ac:dyDescent="0.25">
      <c r="A67" t="s">
        <v>53</v>
      </c>
      <c r="B67" t="s">
        <v>48</v>
      </c>
      <c r="C67" t="s">
        <v>33</v>
      </c>
      <c r="D6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7" t="s">
        <v>56</v>
      </c>
      <c r="F67" t="s">
        <v>45</v>
      </c>
      <c r="G67" t="s">
        <v>38</v>
      </c>
      <c r="H6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7" s="20">
        <f>Таблица26[[#This Row],[team-1-win]]+Таблица26[[#This Row],[team-2-win]]</f>
        <v>1</v>
      </c>
    </row>
    <row r="68" spans="1:9" x14ac:dyDescent="0.25">
      <c r="A68" t="s">
        <v>53</v>
      </c>
      <c r="B68" t="s">
        <v>48</v>
      </c>
      <c r="C68" t="s">
        <v>33</v>
      </c>
      <c r="D6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68" t="s">
        <v>56</v>
      </c>
      <c r="F68" t="s">
        <v>63</v>
      </c>
      <c r="G68" t="s">
        <v>38</v>
      </c>
      <c r="H6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68" s="20">
        <f>Таблица26[[#This Row],[team-1-win]]+Таблица26[[#This Row],[team-2-win]]</f>
        <v>1</v>
      </c>
    </row>
    <row r="69" spans="1:9" x14ac:dyDescent="0.25">
      <c r="A69" t="s">
        <v>53</v>
      </c>
      <c r="B69" t="s">
        <v>48</v>
      </c>
      <c r="C69" t="s">
        <v>33</v>
      </c>
      <c r="D6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9" t="s">
        <v>43</v>
      </c>
      <c r="F69" t="s">
        <v>45</v>
      </c>
      <c r="G69" t="s">
        <v>63</v>
      </c>
      <c r="H6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9" s="20">
        <f>Таблица26[[#This Row],[team-1-win]]+Таблица26[[#This Row],[team-2-win]]</f>
        <v>1</v>
      </c>
    </row>
    <row r="70" spans="1:9" x14ac:dyDescent="0.25">
      <c r="A70" t="s">
        <v>53</v>
      </c>
      <c r="B70" t="s">
        <v>48</v>
      </c>
      <c r="C70" t="s">
        <v>33</v>
      </c>
      <c r="D7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70" t="s">
        <v>43</v>
      </c>
      <c r="F70" t="s">
        <v>45</v>
      </c>
      <c r="G70" t="s">
        <v>38</v>
      </c>
      <c r="H7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0" s="20">
        <f>Таблица26[[#This Row],[team-1-win]]+Таблица26[[#This Row],[team-2-win]]</f>
        <v>1</v>
      </c>
    </row>
    <row r="71" spans="1:9" x14ac:dyDescent="0.25">
      <c r="A71" t="s">
        <v>53</v>
      </c>
      <c r="B71" t="s">
        <v>48</v>
      </c>
      <c r="C71" t="s">
        <v>33</v>
      </c>
      <c r="D7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71" t="s">
        <v>43</v>
      </c>
      <c r="F71" t="s">
        <v>63</v>
      </c>
      <c r="G71" t="s">
        <v>38</v>
      </c>
      <c r="H7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1" s="20">
        <f>Таблица26[[#This Row],[team-1-win]]+Таблица26[[#This Row],[team-2-win]]</f>
        <v>1</v>
      </c>
    </row>
    <row r="72" spans="1:9" x14ac:dyDescent="0.25">
      <c r="A72" t="s">
        <v>53</v>
      </c>
      <c r="B72" t="s">
        <v>48</v>
      </c>
      <c r="C72" t="s">
        <v>33</v>
      </c>
      <c r="D7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72" t="s">
        <v>45</v>
      </c>
      <c r="F72" t="s">
        <v>63</v>
      </c>
      <c r="G72" t="s">
        <v>38</v>
      </c>
      <c r="H7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2" s="20">
        <f>Таблица26[[#This Row],[team-1-win]]+Таблица26[[#This Row],[team-2-win]]</f>
        <v>1</v>
      </c>
    </row>
    <row r="73" spans="1:9" x14ac:dyDescent="0.25">
      <c r="A73" t="s">
        <v>53</v>
      </c>
      <c r="B73" t="s">
        <v>48</v>
      </c>
      <c r="C73" t="s">
        <v>43</v>
      </c>
      <c r="D7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73" t="s">
        <v>56</v>
      </c>
      <c r="F73" t="s">
        <v>33</v>
      </c>
      <c r="G73" t="s">
        <v>45</v>
      </c>
      <c r="H7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3" s="20">
        <f>Таблица26[[#This Row],[team-1-win]]+Таблица26[[#This Row],[team-2-win]]</f>
        <v>1</v>
      </c>
    </row>
    <row r="74" spans="1:9" x14ac:dyDescent="0.25">
      <c r="A74" t="s">
        <v>53</v>
      </c>
      <c r="B74" t="s">
        <v>48</v>
      </c>
      <c r="C74" t="s">
        <v>43</v>
      </c>
      <c r="D7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74" t="s">
        <v>56</v>
      </c>
      <c r="F74" t="s">
        <v>33</v>
      </c>
      <c r="G74" t="s">
        <v>63</v>
      </c>
      <c r="H7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4" s="20">
        <f>Таблица26[[#This Row],[team-1-win]]+Таблица26[[#This Row],[team-2-win]]</f>
        <v>1</v>
      </c>
    </row>
    <row r="75" spans="1:9" x14ac:dyDescent="0.25">
      <c r="A75" t="s">
        <v>53</v>
      </c>
      <c r="B75" t="s">
        <v>48</v>
      </c>
      <c r="C75" t="s">
        <v>43</v>
      </c>
      <c r="D7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75" t="s">
        <v>56</v>
      </c>
      <c r="F75" t="s">
        <v>33</v>
      </c>
      <c r="G75" t="s">
        <v>38</v>
      </c>
      <c r="H7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5" s="20">
        <f>Таблица26[[#This Row],[team-1-win]]+Таблица26[[#This Row],[team-2-win]]</f>
        <v>1</v>
      </c>
    </row>
    <row r="76" spans="1:9" x14ac:dyDescent="0.25">
      <c r="A76" t="s">
        <v>53</v>
      </c>
      <c r="B76" t="s">
        <v>48</v>
      </c>
      <c r="C76" t="s">
        <v>43</v>
      </c>
      <c r="D7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76" t="s">
        <v>56</v>
      </c>
      <c r="F76" t="s">
        <v>45</v>
      </c>
      <c r="G76" t="s">
        <v>63</v>
      </c>
      <c r="H7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6" s="20">
        <f>Таблица26[[#This Row],[team-1-win]]+Таблица26[[#This Row],[team-2-win]]</f>
        <v>1</v>
      </c>
    </row>
    <row r="77" spans="1:9" x14ac:dyDescent="0.25">
      <c r="A77" t="s">
        <v>53</v>
      </c>
      <c r="B77" t="s">
        <v>48</v>
      </c>
      <c r="C77" t="s">
        <v>43</v>
      </c>
      <c r="D7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77" t="s">
        <v>56</v>
      </c>
      <c r="F77" t="s">
        <v>45</v>
      </c>
      <c r="G77" t="s">
        <v>38</v>
      </c>
      <c r="H7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7" s="20">
        <f>Таблица26[[#This Row],[team-1-win]]+Таблица26[[#This Row],[team-2-win]]</f>
        <v>1</v>
      </c>
    </row>
    <row r="78" spans="1:9" x14ac:dyDescent="0.25">
      <c r="A78" t="s">
        <v>53</v>
      </c>
      <c r="B78" t="s">
        <v>48</v>
      </c>
      <c r="C78" t="s">
        <v>43</v>
      </c>
      <c r="D7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78" t="s">
        <v>56</v>
      </c>
      <c r="F78" t="s">
        <v>63</v>
      </c>
      <c r="G78" t="s">
        <v>38</v>
      </c>
      <c r="H7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8" s="20">
        <f>Таблица26[[#This Row],[team-1-win]]+Таблица26[[#This Row],[team-2-win]]</f>
        <v>1</v>
      </c>
    </row>
    <row r="79" spans="1:9" x14ac:dyDescent="0.25">
      <c r="A79" t="s">
        <v>53</v>
      </c>
      <c r="B79" t="s">
        <v>48</v>
      </c>
      <c r="C79" t="s">
        <v>43</v>
      </c>
      <c r="D7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9" t="s">
        <v>33</v>
      </c>
      <c r="F79" t="s">
        <v>45</v>
      </c>
      <c r="G79" t="s">
        <v>63</v>
      </c>
      <c r="H7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79" s="20">
        <f>Таблица26[[#This Row],[team-1-win]]+Таблица26[[#This Row],[team-2-win]]</f>
        <v>1</v>
      </c>
    </row>
    <row r="80" spans="1:9" x14ac:dyDescent="0.25">
      <c r="A80" t="s">
        <v>53</v>
      </c>
      <c r="B80" t="s">
        <v>48</v>
      </c>
      <c r="C80" t="s">
        <v>43</v>
      </c>
      <c r="D8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80" t="s">
        <v>33</v>
      </c>
      <c r="F80" t="s">
        <v>45</v>
      </c>
      <c r="G80" t="s">
        <v>38</v>
      </c>
      <c r="H8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80" s="20">
        <f>Таблица26[[#This Row],[team-1-win]]+Таблица26[[#This Row],[team-2-win]]</f>
        <v>1</v>
      </c>
    </row>
    <row r="81" spans="1:9" x14ac:dyDescent="0.25">
      <c r="A81" t="s">
        <v>53</v>
      </c>
      <c r="B81" t="s">
        <v>48</v>
      </c>
      <c r="C81" t="s">
        <v>43</v>
      </c>
      <c r="D8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81" t="s">
        <v>33</v>
      </c>
      <c r="F81" t="s">
        <v>63</v>
      </c>
      <c r="G81" t="s">
        <v>38</v>
      </c>
      <c r="H8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81" s="20">
        <f>Таблица26[[#This Row],[team-1-win]]+Таблица26[[#This Row],[team-2-win]]</f>
        <v>1</v>
      </c>
    </row>
    <row r="82" spans="1:9" x14ac:dyDescent="0.25">
      <c r="A82" t="s">
        <v>53</v>
      </c>
      <c r="B82" t="s">
        <v>48</v>
      </c>
      <c r="C82" t="s">
        <v>43</v>
      </c>
      <c r="D8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82" t="s">
        <v>45</v>
      </c>
      <c r="F82" t="s">
        <v>63</v>
      </c>
      <c r="G82" t="s">
        <v>38</v>
      </c>
      <c r="H8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2" s="20">
        <f>Таблица26[[#This Row],[team-1-win]]+Таблица26[[#This Row],[team-2-win]]</f>
        <v>1</v>
      </c>
    </row>
    <row r="83" spans="1:9" x14ac:dyDescent="0.25">
      <c r="A83" t="s">
        <v>53</v>
      </c>
      <c r="B83" t="s">
        <v>48</v>
      </c>
      <c r="C83" t="s">
        <v>45</v>
      </c>
      <c r="D8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83" t="s">
        <v>56</v>
      </c>
      <c r="F83" t="s">
        <v>33</v>
      </c>
      <c r="G83" t="s">
        <v>43</v>
      </c>
      <c r="H8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3" s="20">
        <f>Таблица26[[#This Row],[team-1-win]]+Таблица26[[#This Row],[team-2-win]]</f>
        <v>1</v>
      </c>
    </row>
    <row r="84" spans="1:9" x14ac:dyDescent="0.25">
      <c r="A84" t="s">
        <v>53</v>
      </c>
      <c r="B84" t="s">
        <v>48</v>
      </c>
      <c r="C84" t="s">
        <v>45</v>
      </c>
      <c r="D8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84" t="s">
        <v>56</v>
      </c>
      <c r="F84" t="s">
        <v>33</v>
      </c>
      <c r="G84" t="s">
        <v>63</v>
      </c>
      <c r="H8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84" s="20">
        <f>Таблица26[[#This Row],[team-1-win]]+Таблица26[[#This Row],[team-2-win]]</f>
        <v>1</v>
      </c>
    </row>
    <row r="85" spans="1:9" x14ac:dyDescent="0.25">
      <c r="A85" t="s">
        <v>53</v>
      </c>
      <c r="B85" t="s">
        <v>48</v>
      </c>
      <c r="C85" t="s">
        <v>45</v>
      </c>
      <c r="D8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85" t="s">
        <v>56</v>
      </c>
      <c r="F85" t="s">
        <v>33</v>
      </c>
      <c r="G85" t="s">
        <v>38</v>
      </c>
      <c r="H8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5" s="20">
        <f>Таблица26[[#This Row],[team-1-win]]+Таблица26[[#This Row],[team-2-win]]</f>
        <v>1</v>
      </c>
    </row>
    <row r="86" spans="1:9" x14ac:dyDescent="0.25">
      <c r="A86" t="s">
        <v>53</v>
      </c>
      <c r="B86" t="s">
        <v>48</v>
      </c>
      <c r="C86" t="s">
        <v>45</v>
      </c>
      <c r="D8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86" t="s">
        <v>56</v>
      </c>
      <c r="F86" t="s">
        <v>43</v>
      </c>
      <c r="G86" t="s">
        <v>63</v>
      </c>
      <c r="H8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86" s="20">
        <f>Таблица26[[#This Row],[team-1-win]]+Таблица26[[#This Row],[team-2-win]]</f>
        <v>1</v>
      </c>
    </row>
    <row r="87" spans="1:9" x14ac:dyDescent="0.25">
      <c r="A87" t="s">
        <v>53</v>
      </c>
      <c r="B87" t="s">
        <v>48</v>
      </c>
      <c r="C87" t="s">
        <v>45</v>
      </c>
      <c r="D8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87" t="s">
        <v>56</v>
      </c>
      <c r="F87" t="s">
        <v>43</v>
      </c>
      <c r="G87" t="s">
        <v>38</v>
      </c>
      <c r="H8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87" s="20">
        <f>Таблица26[[#This Row],[team-1-win]]+Таблица26[[#This Row],[team-2-win]]</f>
        <v>1</v>
      </c>
    </row>
    <row r="88" spans="1:9" x14ac:dyDescent="0.25">
      <c r="A88" t="s">
        <v>53</v>
      </c>
      <c r="B88" t="s">
        <v>48</v>
      </c>
      <c r="C88" t="s">
        <v>45</v>
      </c>
      <c r="D8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88" t="s">
        <v>56</v>
      </c>
      <c r="F88" t="s">
        <v>63</v>
      </c>
      <c r="G88" t="s">
        <v>38</v>
      </c>
      <c r="H8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8" s="20">
        <f>Таблица26[[#This Row],[team-1-win]]+Таблица26[[#This Row],[team-2-win]]</f>
        <v>1</v>
      </c>
    </row>
    <row r="89" spans="1:9" x14ac:dyDescent="0.25">
      <c r="A89" t="s">
        <v>53</v>
      </c>
      <c r="B89" t="s">
        <v>48</v>
      </c>
      <c r="C89" t="s">
        <v>45</v>
      </c>
      <c r="D8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89" t="s">
        <v>33</v>
      </c>
      <c r="F89" t="s">
        <v>43</v>
      </c>
      <c r="G89" t="s">
        <v>63</v>
      </c>
      <c r="H8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9" s="20">
        <f>Таблица26[[#This Row],[team-1-win]]+Таблица26[[#This Row],[team-2-win]]</f>
        <v>0</v>
      </c>
    </row>
    <row r="90" spans="1:9" x14ac:dyDescent="0.25">
      <c r="A90" t="s">
        <v>53</v>
      </c>
      <c r="B90" t="s">
        <v>48</v>
      </c>
      <c r="C90" t="s">
        <v>45</v>
      </c>
      <c r="D9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0" t="s">
        <v>33</v>
      </c>
      <c r="F90" t="s">
        <v>43</v>
      </c>
      <c r="G90" t="s">
        <v>38</v>
      </c>
      <c r="H9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0" s="20">
        <f>Таблица26[[#This Row],[team-1-win]]+Таблица26[[#This Row],[team-2-win]]</f>
        <v>0</v>
      </c>
    </row>
    <row r="91" spans="1:9" x14ac:dyDescent="0.25">
      <c r="A91" t="s">
        <v>53</v>
      </c>
      <c r="B91" t="s">
        <v>48</v>
      </c>
      <c r="C91" t="s">
        <v>45</v>
      </c>
      <c r="D9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1" t="s">
        <v>33</v>
      </c>
      <c r="F91" t="s">
        <v>63</v>
      </c>
      <c r="G91" t="s">
        <v>38</v>
      </c>
      <c r="H9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1" s="20">
        <f>Таблица26[[#This Row],[team-1-win]]+Таблица26[[#This Row],[team-2-win]]</f>
        <v>0</v>
      </c>
    </row>
    <row r="92" spans="1:9" x14ac:dyDescent="0.25">
      <c r="A92" t="s">
        <v>53</v>
      </c>
      <c r="B92" t="s">
        <v>48</v>
      </c>
      <c r="C92" t="s">
        <v>45</v>
      </c>
      <c r="D9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2" t="s">
        <v>43</v>
      </c>
      <c r="F92" t="s">
        <v>63</v>
      </c>
      <c r="G92" t="s">
        <v>38</v>
      </c>
      <c r="H9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2" s="20">
        <f>Таблица26[[#This Row],[team-1-win]]+Таблица26[[#This Row],[team-2-win]]</f>
        <v>0</v>
      </c>
    </row>
    <row r="93" spans="1:9" x14ac:dyDescent="0.25">
      <c r="A93" t="s">
        <v>53</v>
      </c>
      <c r="B93" t="s">
        <v>48</v>
      </c>
      <c r="C93" t="s">
        <v>63</v>
      </c>
      <c r="D9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3" t="s">
        <v>56</v>
      </c>
      <c r="F93" t="s">
        <v>33</v>
      </c>
      <c r="G93" t="s">
        <v>43</v>
      </c>
      <c r="H9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3" s="20">
        <f>Таблица26[[#This Row],[team-1-win]]+Таблица26[[#This Row],[team-2-win]]</f>
        <v>0</v>
      </c>
    </row>
    <row r="94" spans="1:9" x14ac:dyDescent="0.25">
      <c r="A94" t="s">
        <v>53</v>
      </c>
      <c r="B94" t="s">
        <v>48</v>
      </c>
      <c r="C94" t="s">
        <v>63</v>
      </c>
      <c r="D9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4" t="s">
        <v>56</v>
      </c>
      <c r="F94" t="s">
        <v>33</v>
      </c>
      <c r="G94" t="s">
        <v>45</v>
      </c>
      <c r="H9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4" s="20">
        <f>Таблица26[[#This Row],[team-1-win]]+Таблица26[[#This Row],[team-2-win]]</f>
        <v>0</v>
      </c>
    </row>
    <row r="95" spans="1:9" x14ac:dyDescent="0.25">
      <c r="A95" t="s">
        <v>53</v>
      </c>
      <c r="B95" t="s">
        <v>48</v>
      </c>
      <c r="C95" t="s">
        <v>63</v>
      </c>
      <c r="D9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5" t="s">
        <v>56</v>
      </c>
      <c r="F95" t="s">
        <v>33</v>
      </c>
      <c r="G95" t="s">
        <v>38</v>
      </c>
      <c r="H9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5" s="20">
        <f>Таблица26[[#This Row],[team-1-win]]+Таблица26[[#This Row],[team-2-win]]</f>
        <v>0</v>
      </c>
    </row>
    <row r="96" spans="1:9" x14ac:dyDescent="0.25">
      <c r="A96" t="s">
        <v>53</v>
      </c>
      <c r="B96" t="s">
        <v>48</v>
      </c>
      <c r="C96" t="s">
        <v>63</v>
      </c>
      <c r="D9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6" t="s">
        <v>56</v>
      </c>
      <c r="F96" t="s">
        <v>43</v>
      </c>
      <c r="G96" t="s">
        <v>45</v>
      </c>
      <c r="H9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6" s="20">
        <f>Таблица26[[#This Row],[team-1-win]]+Таблица26[[#This Row],[team-2-win]]</f>
        <v>0</v>
      </c>
    </row>
    <row r="97" spans="1:9" x14ac:dyDescent="0.25">
      <c r="A97" t="s">
        <v>53</v>
      </c>
      <c r="B97" t="s">
        <v>48</v>
      </c>
      <c r="C97" t="s">
        <v>63</v>
      </c>
      <c r="D9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7" t="s">
        <v>56</v>
      </c>
      <c r="F97" t="s">
        <v>43</v>
      </c>
      <c r="G97" t="s">
        <v>38</v>
      </c>
      <c r="H9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7" s="20">
        <f>Таблица26[[#This Row],[team-1-win]]+Таблица26[[#This Row],[team-2-win]]</f>
        <v>0</v>
      </c>
    </row>
    <row r="98" spans="1:9" x14ac:dyDescent="0.25">
      <c r="A98" t="s">
        <v>53</v>
      </c>
      <c r="B98" t="s">
        <v>48</v>
      </c>
      <c r="C98" t="s">
        <v>63</v>
      </c>
      <c r="D9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8" t="s">
        <v>56</v>
      </c>
      <c r="F98" t="s">
        <v>45</v>
      </c>
      <c r="G98" t="s">
        <v>38</v>
      </c>
      <c r="H9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8" s="20">
        <f>Таблица26[[#This Row],[team-1-win]]+Таблица26[[#This Row],[team-2-win]]</f>
        <v>0</v>
      </c>
    </row>
    <row r="99" spans="1:9" x14ac:dyDescent="0.25">
      <c r="A99" t="s">
        <v>53</v>
      </c>
      <c r="B99" t="s">
        <v>48</v>
      </c>
      <c r="C99" t="s">
        <v>63</v>
      </c>
      <c r="D9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9" t="s">
        <v>33</v>
      </c>
      <c r="F99" t="s">
        <v>43</v>
      </c>
      <c r="G99" t="s">
        <v>45</v>
      </c>
      <c r="H9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9" s="20">
        <f>Таблица26[[#This Row],[team-1-win]]+Таблица26[[#This Row],[team-2-win]]</f>
        <v>0</v>
      </c>
    </row>
    <row r="100" spans="1:9" x14ac:dyDescent="0.25">
      <c r="A100" t="s">
        <v>53</v>
      </c>
      <c r="B100" t="s">
        <v>48</v>
      </c>
      <c r="C100" t="s">
        <v>63</v>
      </c>
      <c r="D10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0" t="s">
        <v>33</v>
      </c>
      <c r="F100" t="s">
        <v>43</v>
      </c>
      <c r="G100" t="s">
        <v>38</v>
      </c>
      <c r="H10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0" s="20">
        <f>Таблица26[[#This Row],[team-1-win]]+Таблица26[[#This Row],[team-2-win]]</f>
        <v>0</v>
      </c>
    </row>
    <row r="101" spans="1:9" x14ac:dyDescent="0.25">
      <c r="A101" t="s">
        <v>53</v>
      </c>
      <c r="B101" t="s">
        <v>48</v>
      </c>
      <c r="C101" t="s">
        <v>63</v>
      </c>
      <c r="D10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1" t="s">
        <v>33</v>
      </c>
      <c r="F101" t="s">
        <v>45</v>
      </c>
      <c r="G101" t="s">
        <v>38</v>
      </c>
      <c r="H10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1" s="20">
        <f>Таблица26[[#This Row],[team-1-win]]+Таблица26[[#This Row],[team-2-win]]</f>
        <v>0</v>
      </c>
    </row>
    <row r="102" spans="1:9" x14ac:dyDescent="0.25">
      <c r="A102" t="s">
        <v>53</v>
      </c>
      <c r="B102" t="s">
        <v>48</v>
      </c>
      <c r="C102" t="s">
        <v>63</v>
      </c>
      <c r="D10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2" t="s">
        <v>43</v>
      </c>
      <c r="F102" t="s">
        <v>45</v>
      </c>
      <c r="G102" t="s">
        <v>38</v>
      </c>
      <c r="H10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2" s="20">
        <f>Таблица26[[#This Row],[team-1-win]]+Таблица26[[#This Row],[team-2-win]]</f>
        <v>0</v>
      </c>
    </row>
    <row r="103" spans="1:9" x14ac:dyDescent="0.25">
      <c r="A103" t="s">
        <v>53</v>
      </c>
      <c r="B103" t="s">
        <v>48</v>
      </c>
      <c r="C103" t="s">
        <v>38</v>
      </c>
      <c r="D10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3" t="s">
        <v>56</v>
      </c>
      <c r="F103" t="s">
        <v>33</v>
      </c>
      <c r="G103" t="s">
        <v>43</v>
      </c>
      <c r="H10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3" s="20">
        <f>Таблица26[[#This Row],[team-1-win]]+Таблица26[[#This Row],[team-2-win]]</f>
        <v>0</v>
      </c>
    </row>
    <row r="104" spans="1:9" x14ac:dyDescent="0.25">
      <c r="A104" t="s">
        <v>53</v>
      </c>
      <c r="B104" t="s">
        <v>48</v>
      </c>
      <c r="C104" t="s">
        <v>38</v>
      </c>
      <c r="D10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4" t="s">
        <v>56</v>
      </c>
      <c r="F104" t="s">
        <v>33</v>
      </c>
      <c r="G104" t="s">
        <v>45</v>
      </c>
      <c r="H10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4" s="20">
        <f>Таблица26[[#This Row],[team-1-win]]+Таблица26[[#This Row],[team-2-win]]</f>
        <v>0</v>
      </c>
    </row>
    <row r="105" spans="1:9" x14ac:dyDescent="0.25">
      <c r="A105" t="s">
        <v>53</v>
      </c>
      <c r="B105" t="s">
        <v>48</v>
      </c>
      <c r="C105" t="s">
        <v>38</v>
      </c>
      <c r="D10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5" t="s">
        <v>56</v>
      </c>
      <c r="F105" t="s">
        <v>33</v>
      </c>
      <c r="G105" t="s">
        <v>63</v>
      </c>
      <c r="H10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5" s="20">
        <f>Таблица26[[#This Row],[team-1-win]]+Таблица26[[#This Row],[team-2-win]]</f>
        <v>0</v>
      </c>
    </row>
    <row r="106" spans="1:9" x14ac:dyDescent="0.25">
      <c r="A106" t="s">
        <v>53</v>
      </c>
      <c r="B106" t="s">
        <v>48</v>
      </c>
      <c r="C106" t="s">
        <v>38</v>
      </c>
      <c r="D10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6" t="s">
        <v>56</v>
      </c>
      <c r="F106" t="s">
        <v>43</v>
      </c>
      <c r="G106" t="s">
        <v>45</v>
      </c>
      <c r="H10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6" s="20">
        <f>Таблица26[[#This Row],[team-1-win]]+Таблица26[[#This Row],[team-2-win]]</f>
        <v>0</v>
      </c>
    </row>
    <row r="107" spans="1:9" x14ac:dyDescent="0.25">
      <c r="A107" t="s">
        <v>53</v>
      </c>
      <c r="B107" t="s">
        <v>48</v>
      </c>
      <c r="C107" t="s">
        <v>38</v>
      </c>
      <c r="D10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7" t="s">
        <v>56</v>
      </c>
      <c r="F107" t="s">
        <v>43</v>
      </c>
      <c r="G107" t="s">
        <v>63</v>
      </c>
      <c r="H10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7" s="20">
        <f>Таблица26[[#This Row],[team-1-win]]+Таблица26[[#This Row],[team-2-win]]</f>
        <v>0</v>
      </c>
    </row>
    <row r="108" spans="1:9" x14ac:dyDescent="0.25">
      <c r="A108" t="s">
        <v>53</v>
      </c>
      <c r="B108" t="s">
        <v>48</v>
      </c>
      <c r="C108" t="s">
        <v>38</v>
      </c>
      <c r="D10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8" t="s">
        <v>56</v>
      </c>
      <c r="F108" t="s">
        <v>45</v>
      </c>
      <c r="G108" t="s">
        <v>63</v>
      </c>
      <c r="H10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8" s="20">
        <f>Таблица26[[#This Row],[team-1-win]]+Таблица26[[#This Row],[team-2-win]]</f>
        <v>0</v>
      </c>
    </row>
    <row r="109" spans="1:9" x14ac:dyDescent="0.25">
      <c r="A109" t="s">
        <v>53</v>
      </c>
      <c r="B109" t="s">
        <v>48</v>
      </c>
      <c r="C109" t="s">
        <v>38</v>
      </c>
      <c r="D10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9" t="s">
        <v>33</v>
      </c>
      <c r="F109" t="s">
        <v>43</v>
      </c>
      <c r="G109" t="s">
        <v>45</v>
      </c>
      <c r="H10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9" s="20">
        <f>Таблица26[[#This Row],[team-1-win]]+Таблица26[[#This Row],[team-2-win]]</f>
        <v>0</v>
      </c>
    </row>
    <row r="110" spans="1:9" x14ac:dyDescent="0.25">
      <c r="A110" t="s">
        <v>53</v>
      </c>
      <c r="B110" t="s">
        <v>48</v>
      </c>
      <c r="C110" t="s">
        <v>38</v>
      </c>
      <c r="D11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0" t="s">
        <v>33</v>
      </c>
      <c r="F110" t="s">
        <v>43</v>
      </c>
      <c r="G110" t="s">
        <v>63</v>
      </c>
      <c r="H11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0" s="20">
        <f>Таблица26[[#This Row],[team-1-win]]+Таблица26[[#This Row],[team-2-win]]</f>
        <v>0</v>
      </c>
    </row>
    <row r="111" spans="1:9" x14ac:dyDescent="0.25">
      <c r="A111" t="s">
        <v>53</v>
      </c>
      <c r="B111" t="s">
        <v>48</v>
      </c>
      <c r="C111" t="s">
        <v>38</v>
      </c>
      <c r="D11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1" t="s">
        <v>33</v>
      </c>
      <c r="F111" t="s">
        <v>45</v>
      </c>
      <c r="G111" t="s">
        <v>63</v>
      </c>
      <c r="H11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1" s="20">
        <f>Таблица26[[#This Row],[team-1-win]]+Таблица26[[#This Row],[team-2-win]]</f>
        <v>0</v>
      </c>
    </row>
    <row r="112" spans="1:9" x14ac:dyDescent="0.25">
      <c r="A112" t="s">
        <v>53</v>
      </c>
      <c r="B112" t="s">
        <v>48</v>
      </c>
      <c r="C112" t="s">
        <v>38</v>
      </c>
      <c r="D11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2" t="s">
        <v>43</v>
      </c>
      <c r="F112" t="s">
        <v>45</v>
      </c>
      <c r="G112" t="s">
        <v>63</v>
      </c>
      <c r="H11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2" s="20">
        <f>Таблица26[[#This Row],[team-1-win]]+Таблица26[[#This Row],[team-2-win]]</f>
        <v>0</v>
      </c>
    </row>
    <row r="113" spans="1:9" x14ac:dyDescent="0.25">
      <c r="A113" t="s">
        <v>53</v>
      </c>
      <c r="B113" t="s">
        <v>33</v>
      </c>
      <c r="C113" t="s">
        <v>43</v>
      </c>
      <c r="D11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3" t="s">
        <v>56</v>
      </c>
      <c r="F113" t="s">
        <v>48</v>
      </c>
      <c r="G113" t="s">
        <v>45</v>
      </c>
      <c r="H11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3" s="20">
        <f>Таблица26[[#This Row],[team-1-win]]+Таблица26[[#This Row],[team-2-win]]</f>
        <v>0</v>
      </c>
    </row>
    <row r="114" spans="1:9" x14ac:dyDescent="0.25">
      <c r="A114" t="s">
        <v>53</v>
      </c>
      <c r="B114" t="s">
        <v>33</v>
      </c>
      <c r="C114" t="s">
        <v>43</v>
      </c>
      <c r="D11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4" t="s">
        <v>56</v>
      </c>
      <c r="F114" t="s">
        <v>48</v>
      </c>
      <c r="G114" t="s">
        <v>63</v>
      </c>
      <c r="H11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4" s="20">
        <f>Таблица26[[#This Row],[team-1-win]]+Таблица26[[#This Row],[team-2-win]]</f>
        <v>0</v>
      </c>
    </row>
    <row r="115" spans="1:9" x14ac:dyDescent="0.25">
      <c r="A115" t="s">
        <v>53</v>
      </c>
      <c r="B115" t="s">
        <v>33</v>
      </c>
      <c r="C115" t="s">
        <v>43</v>
      </c>
      <c r="D11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5" t="s">
        <v>56</v>
      </c>
      <c r="F115" t="s">
        <v>48</v>
      </c>
      <c r="G115" t="s">
        <v>38</v>
      </c>
      <c r="H11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5" s="20">
        <f>Таблица26[[#This Row],[team-1-win]]+Таблица26[[#This Row],[team-2-win]]</f>
        <v>0</v>
      </c>
    </row>
    <row r="116" spans="1:9" x14ac:dyDescent="0.25">
      <c r="A116" t="s">
        <v>53</v>
      </c>
      <c r="B116" t="s">
        <v>33</v>
      </c>
      <c r="C116" t="s">
        <v>43</v>
      </c>
      <c r="D11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6" t="s">
        <v>56</v>
      </c>
      <c r="F116" t="s">
        <v>45</v>
      </c>
      <c r="G116" t="s">
        <v>63</v>
      </c>
      <c r="H11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6" s="20">
        <f>Таблица26[[#This Row],[team-1-win]]+Таблица26[[#This Row],[team-2-win]]</f>
        <v>0</v>
      </c>
    </row>
    <row r="117" spans="1:9" x14ac:dyDescent="0.25">
      <c r="A117" t="s">
        <v>53</v>
      </c>
      <c r="B117" t="s">
        <v>33</v>
      </c>
      <c r="C117" t="s">
        <v>43</v>
      </c>
      <c r="D11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7" t="s">
        <v>56</v>
      </c>
      <c r="F117" t="s">
        <v>45</v>
      </c>
      <c r="G117" t="s">
        <v>38</v>
      </c>
      <c r="H11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7" s="20">
        <f>Таблица26[[#This Row],[team-1-win]]+Таблица26[[#This Row],[team-2-win]]</f>
        <v>0</v>
      </c>
    </row>
    <row r="118" spans="1:9" x14ac:dyDescent="0.25">
      <c r="A118" t="s">
        <v>53</v>
      </c>
      <c r="B118" t="s">
        <v>33</v>
      </c>
      <c r="C118" t="s">
        <v>43</v>
      </c>
      <c r="D11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8" t="s">
        <v>56</v>
      </c>
      <c r="F118" t="s">
        <v>63</v>
      </c>
      <c r="G118" t="s">
        <v>38</v>
      </c>
      <c r="H11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8" s="20">
        <f>Таблица26[[#This Row],[team-1-win]]+Таблица26[[#This Row],[team-2-win]]</f>
        <v>0</v>
      </c>
    </row>
    <row r="119" spans="1:9" x14ac:dyDescent="0.25">
      <c r="A119" t="s">
        <v>53</v>
      </c>
      <c r="B119" t="s">
        <v>33</v>
      </c>
      <c r="C119" t="s">
        <v>43</v>
      </c>
      <c r="D11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9" t="s">
        <v>48</v>
      </c>
      <c r="F119" t="s">
        <v>45</v>
      </c>
      <c r="G119" t="s">
        <v>63</v>
      </c>
      <c r="H11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9" s="20">
        <f>Таблица26[[#This Row],[team-1-win]]+Таблица26[[#This Row],[team-2-win]]</f>
        <v>0</v>
      </c>
    </row>
    <row r="120" spans="1:9" x14ac:dyDescent="0.25">
      <c r="A120" t="s">
        <v>53</v>
      </c>
      <c r="B120" t="s">
        <v>33</v>
      </c>
      <c r="C120" t="s">
        <v>43</v>
      </c>
      <c r="D12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0" t="s">
        <v>48</v>
      </c>
      <c r="F120" t="s">
        <v>45</v>
      </c>
      <c r="G120" t="s">
        <v>38</v>
      </c>
      <c r="H12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0" s="20">
        <f>Таблица26[[#This Row],[team-1-win]]+Таблица26[[#This Row],[team-2-win]]</f>
        <v>0</v>
      </c>
    </row>
    <row r="121" spans="1:9" x14ac:dyDescent="0.25">
      <c r="A121" t="s">
        <v>53</v>
      </c>
      <c r="B121" t="s">
        <v>33</v>
      </c>
      <c r="C121" t="s">
        <v>43</v>
      </c>
      <c r="D12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1" t="s">
        <v>48</v>
      </c>
      <c r="F121" t="s">
        <v>63</v>
      </c>
      <c r="G121" t="s">
        <v>38</v>
      </c>
      <c r="H12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1" s="20">
        <f>Таблица26[[#This Row],[team-1-win]]+Таблица26[[#This Row],[team-2-win]]</f>
        <v>0</v>
      </c>
    </row>
    <row r="122" spans="1:9" x14ac:dyDescent="0.25">
      <c r="A122" t="s">
        <v>53</v>
      </c>
      <c r="B122" t="s">
        <v>33</v>
      </c>
      <c r="C122" t="s">
        <v>43</v>
      </c>
      <c r="D12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2" t="s">
        <v>45</v>
      </c>
      <c r="F122" t="s">
        <v>63</v>
      </c>
      <c r="G122" t="s">
        <v>38</v>
      </c>
      <c r="H12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2" s="20">
        <f>Таблица26[[#This Row],[team-1-win]]+Таблица26[[#This Row],[team-2-win]]</f>
        <v>0</v>
      </c>
    </row>
    <row r="123" spans="1:9" x14ac:dyDescent="0.25">
      <c r="A123" t="s">
        <v>53</v>
      </c>
      <c r="B123" t="s">
        <v>33</v>
      </c>
      <c r="C123" t="s">
        <v>45</v>
      </c>
      <c r="D12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3" t="s">
        <v>56</v>
      </c>
      <c r="F123" t="s">
        <v>48</v>
      </c>
      <c r="G123" t="s">
        <v>43</v>
      </c>
      <c r="H12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3" s="20">
        <f>Таблица26[[#This Row],[team-1-win]]+Таблица26[[#This Row],[team-2-win]]</f>
        <v>0</v>
      </c>
    </row>
    <row r="124" spans="1:9" x14ac:dyDescent="0.25">
      <c r="A124" t="s">
        <v>53</v>
      </c>
      <c r="B124" t="s">
        <v>33</v>
      </c>
      <c r="C124" t="s">
        <v>45</v>
      </c>
      <c r="D12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4" t="s">
        <v>56</v>
      </c>
      <c r="F124" t="s">
        <v>48</v>
      </c>
      <c r="G124" t="s">
        <v>63</v>
      </c>
      <c r="H12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4" s="20">
        <f>Таблица26[[#This Row],[team-1-win]]+Таблица26[[#This Row],[team-2-win]]</f>
        <v>0</v>
      </c>
    </row>
    <row r="125" spans="1:9" x14ac:dyDescent="0.25">
      <c r="A125" t="s">
        <v>53</v>
      </c>
      <c r="B125" t="s">
        <v>33</v>
      </c>
      <c r="C125" t="s">
        <v>45</v>
      </c>
      <c r="D12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5" t="s">
        <v>56</v>
      </c>
      <c r="F125" t="s">
        <v>48</v>
      </c>
      <c r="G125" t="s">
        <v>38</v>
      </c>
      <c r="H12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5" s="20">
        <f>Таблица26[[#This Row],[team-1-win]]+Таблица26[[#This Row],[team-2-win]]</f>
        <v>0</v>
      </c>
    </row>
    <row r="126" spans="1:9" x14ac:dyDescent="0.25">
      <c r="A126" t="s">
        <v>53</v>
      </c>
      <c r="B126" t="s">
        <v>33</v>
      </c>
      <c r="C126" t="s">
        <v>45</v>
      </c>
      <c r="D12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6" t="s">
        <v>56</v>
      </c>
      <c r="F126" t="s">
        <v>43</v>
      </c>
      <c r="G126" t="s">
        <v>63</v>
      </c>
      <c r="H12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6" s="20">
        <f>Таблица26[[#This Row],[team-1-win]]+Таблица26[[#This Row],[team-2-win]]</f>
        <v>0</v>
      </c>
    </row>
    <row r="127" spans="1:9" x14ac:dyDescent="0.25">
      <c r="A127" t="s">
        <v>53</v>
      </c>
      <c r="B127" t="s">
        <v>33</v>
      </c>
      <c r="C127" t="s">
        <v>45</v>
      </c>
      <c r="D12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7" t="s">
        <v>56</v>
      </c>
      <c r="F127" t="s">
        <v>43</v>
      </c>
      <c r="G127" t="s">
        <v>38</v>
      </c>
      <c r="H12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7" s="20">
        <f>Таблица26[[#This Row],[team-1-win]]+Таблица26[[#This Row],[team-2-win]]</f>
        <v>0</v>
      </c>
    </row>
    <row r="128" spans="1:9" x14ac:dyDescent="0.25">
      <c r="A128" t="s">
        <v>53</v>
      </c>
      <c r="B128" t="s">
        <v>33</v>
      </c>
      <c r="C128" t="s">
        <v>45</v>
      </c>
      <c r="D12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8" t="s">
        <v>56</v>
      </c>
      <c r="F128" t="s">
        <v>63</v>
      </c>
      <c r="G128" t="s">
        <v>38</v>
      </c>
      <c r="H12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8" s="20">
        <f>Таблица26[[#This Row],[team-1-win]]+Таблица26[[#This Row],[team-2-win]]</f>
        <v>0</v>
      </c>
    </row>
    <row r="129" spans="1:9" x14ac:dyDescent="0.25">
      <c r="A129" t="s">
        <v>53</v>
      </c>
      <c r="B129" t="s">
        <v>33</v>
      </c>
      <c r="C129" t="s">
        <v>45</v>
      </c>
      <c r="D12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9" t="s">
        <v>48</v>
      </c>
      <c r="F129" t="s">
        <v>43</v>
      </c>
      <c r="G129" t="s">
        <v>63</v>
      </c>
      <c r="H12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9" s="20">
        <f>Таблица26[[#This Row],[team-1-win]]+Таблица26[[#This Row],[team-2-win]]</f>
        <v>0</v>
      </c>
    </row>
    <row r="130" spans="1:9" x14ac:dyDescent="0.25">
      <c r="A130" t="s">
        <v>53</v>
      </c>
      <c r="B130" t="s">
        <v>33</v>
      </c>
      <c r="C130" t="s">
        <v>45</v>
      </c>
      <c r="D13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0" t="s">
        <v>48</v>
      </c>
      <c r="F130" t="s">
        <v>43</v>
      </c>
      <c r="G130" t="s">
        <v>38</v>
      </c>
      <c r="H13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0" s="20">
        <f>Таблица26[[#This Row],[team-1-win]]+Таблица26[[#This Row],[team-2-win]]</f>
        <v>0</v>
      </c>
    </row>
    <row r="131" spans="1:9" x14ac:dyDescent="0.25">
      <c r="A131" t="s">
        <v>53</v>
      </c>
      <c r="B131" t="s">
        <v>33</v>
      </c>
      <c r="C131" t="s">
        <v>45</v>
      </c>
      <c r="D13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1" t="s">
        <v>48</v>
      </c>
      <c r="F131" t="s">
        <v>63</v>
      </c>
      <c r="G131" t="s">
        <v>38</v>
      </c>
      <c r="H13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1" s="20">
        <f>Таблица26[[#This Row],[team-1-win]]+Таблица26[[#This Row],[team-2-win]]</f>
        <v>0</v>
      </c>
    </row>
    <row r="132" spans="1:9" x14ac:dyDescent="0.25">
      <c r="A132" t="s">
        <v>53</v>
      </c>
      <c r="B132" t="s">
        <v>33</v>
      </c>
      <c r="C132" t="s">
        <v>45</v>
      </c>
      <c r="D13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2" t="s">
        <v>43</v>
      </c>
      <c r="F132" t="s">
        <v>63</v>
      </c>
      <c r="G132" t="s">
        <v>38</v>
      </c>
      <c r="H13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2" s="20">
        <f>Таблица26[[#This Row],[team-1-win]]+Таблица26[[#This Row],[team-2-win]]</f>
        <v>0</v>
      </c>
    </row>
    <row r="133" spans="1:9" x14ac:dyDescent="0.25">
      <c r="A133" t="s">
        <v>53</v>
      </c>
      <c r="B133" t="s">
        <v>33</v>
      </c>
      <c r="C133" t="s">
        <v>63</v>
      </c>
      <c r="D13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3" t="s">
        <v>56</v>
      </c>
      <c r="F133" t="s">
        <v>48</v>
      </c>
      <c r="G133" t="s">
        <v>43</v>
      </c>
      <c r="H13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3" s="20">
        <f>Таблица26[[#This Row],[team-1-win]]+Таблица26[[#This Row],[team-2-win]]</f>
        <v>0</v>
      </c>
    </row>
    <row r="134" spans="1:9" x14ac:dyDescent="0.25">
      <c r="A134" t="s">
        <v>53</v>
      </c>
      <c r="B134" t="s">
        <v>33</v>
      </c>
      <c r="C134" t="s">
        <v>63</v>
      </c>
      <c r="D13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4" t="s">
        <v>56</v>
      </c>
      <c r="F134" t="s">
        <v>48</v>
      </c>
      <c r="G134" t="s">
        <v>45</v>
      </c>
      <c r="H13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4" s="20">
        <f>Таблица26[[#This Row],[team-1-win]]+Таблица26[[#This Row],[team-2-win]]</f>
        <v>0</v>
      </c>
    </row>
    <row r="135" spans="1:9" x14ac:dyDescent="0.25">
      <c r="A135" t="s">
        <v>53</v>
      </c>
      <c r="B135" t="s">
        <v>33</v>
      </c>
      <c r="C135" t="s">
        <v>63</v>
      </c>
      <c r="D13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5" t="s">
        <v>56</v>
      </c>
      <c r="F135" t="s">
        <v>48</v>
      </c>
      <c r="G135" t="s">
        <v>38</v>
      </c>
      <c r="H13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5" s="20">
        <f>Таблица26[[#This Row],[team-1-win]]+Таблица26[[#This Row],[team-2-win]]</f>
        <v>0</v>
      </c>
    </row>
    <row r="136" spans="1:9" x14ac:dyDescent="0.25">
      <c r="A136" t="s">
        <v>53</v>
      </c>
      <c r="B136" t="s">
        <v>33</v>
      </c>
      <c r="C136" t="s">
        <v>63</v>
      </c>
      <c r="D13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6" t="s">
        <v>56</v>
      </c>
      <c r="F136" t="s">
        <v>43</v>
      </c>
      <c r="G136" t="s">
        <v>45</v>
      </c>
      <c r="H13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6" s="20">
        <f>Таблица26[[#This Row],[team-1-win]]+Таблица26[[#This Row],[team-2-win]]</f>
        <v>0</v>
      </c>
    </row>
    <row r="137" spans="1:9" x14ac:dyDescent="0.25">
      <c r="A137" t="s">
        <v>53</v>
      </c>
      <c r="B137" t="s">
        <v>33</v>
      </c>
      <c r="C137" t="s">
        <v>63</v>
      </c>
      <c r="D13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7" t="s">
        <v>56</v>
      </c>
      <c r="F137" t="s">
        <v>43</v>
      </c>
      <c r="G137" t="s">
        <v>38</v>
      </c>
      <c r="H13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7" s="20">
        <f>Таблица26[[#This Row],[team-1-win]]+Таблица26[[#This Row],[team-2-win]]</f>
        <v>0</v>
      </c>
    </row>
    <row r="138" spans="1:9" x14ac:dyDescent="0.25">
      <c r="A138" t="s">
        <v>53</v>
      </c>
      <c r="B138" t="s">
        <v>33</v>
      </c>
      <c r="C138" t="s">
        <v>63</v>
      </c>
      <c r="D13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8" t="s">
        <v>56</v>
      </c>
      <c r="F138" t="s">
        <v>45</v>
      </c>
      <c r="G138" t="s">
        <v>38</v>
      </c>
      <c r="H13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8" s="20">
        <f>Таблица26[[#This Row],[team-1-win]]+Таблица26[[#This Row],[team-2-win]]</f>
        <v>0</v>
      </c>
    </row>
    <row r="139" spans="1:9" x14ac:dyDescent="0.25">
      <c r="A139" t="s">
        <v>53</v>
      </c>
      <c r="B139" t="s">
        <v>33</v>
      </c>
      <c r="C139" t="s">
        <v>63</v>
      </c>
      <c r="D13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9" t="s">
        <v>48</v>
      </c>
      <c r="F139" t="s">
        <v>43</v>
      </c>
      <c r="G139" t="s">
        <v>45</v>
      </c>
      <c r="H13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9" s="20">
        <f>Таблица26[[#This Row],[team-1-win]]+Таблица26[[#This Row],[team-2-win]]</f>
        <v>0</v>
      </c>
    </row>
    <row r="140" spans="1:9" x14ac:dyDescent="0.25">
      <c r="A140" t="s">
        <v>53</v>
      </c>
      <c r="B140" t="s">
        <v>33</v>
      </c>
      <c r="C140" t="s">
        <v>63</v>
      </c>
      <c r="D14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0" t="s">
        <v>48</v>
      </c>
      <c r="F140" t="s">
        <v>43</v>
      </c>
      <c r="G140" t="s">
        <v>38</v>
      </c>
      <c r="H14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0" s="20">
        <f>Таблица26[[#This Row],[team-1-win]]+Таблица26[[#This Row],[team-2-win]]</f>
        <v>0</v>
      </c>
    </row>
    <row r="141" spans="1:9" x14ac:dyDescent="0.25">
      <c r="A141" t="s">
        <v>53</v>
      </c>
      <c r="B141" t="s">
        <v>33</v>
      </c>
      <c r="C141" t="s">
        <v>63</v>
      </c>
      <c r="D14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1" t="s">
        <v>48</v>
      </c>
      <c r="F141" t="s">
        <v>45</v>
      </c>
      <c r="G141" t="s">
        <v>38</v>
      </c>
      <c r="H14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1" s="20">
        <f>Таблица26[[#This Row],[team-1-win]]+Таблица26[[#This Row],[team-2-win]]</f>
        <v>0</v>
      </c>
    </row>
    <row r="142" spans="1:9" x14ac:dyDescent="0.25">
      <c r="A142" t="s">
        <v>53</v>
      </c>
      <c r="B142" t="s">
        <v>33</v>
      </c>
      <c r="C142" t="s">
        <v>63</v>
      </c>
      <c r="D14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2" t="s">
        <v>43</v>
      </c>
      <c r="F142" t="s">
        <v>45</v>
      </c>
      <c r="G142" t="s">
        <v>38</v>
      </c>
      <c r="H14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2" s="20">
        <f>Таблица26[[#This Row],[team-1-win]]+Таблица26[[#This Row],[team-2-win]]</f>
        <v>0</v>
      </c>
    </row>
    <row r="143" spans="1:9" x14ac:dyDescent="0.25">
      <c r="A143" t="s">
        <v>53</v>
      </c>
      <c r="B143" t="s">
        <v>33</v>
      </c>
      <c r="C143" t="s">
        <v>38</v>
      </c>
      <c r="D14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3" t="s">
        <v>56</v>
      </c>
      <c r="F143" t="s">
        <v>48</v>
      </c>
      <c r="G143" t="s">
        <v>43</v>
      </c>
      <c r="H14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3" s="20">
        <f>Таблица26[[#This Row],[team-1-win]]+Таблица26[[#This Row],[team-2-win]]</f>
        <v>0</v>
      </c>
    </row>
    <row r="144" spans="1:9" x14ac:dyDescent="0.25">
      <c r="A144" t="s">
        <v>53</v>
      </c>
      <c r="B144" t="s">
        <v>33</v>
      </c>
      <c r="C144" t="s">
        <v>38</v>
      </c>
      <c r="D14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4" t="s">
        <v>56</v>
      </c>
      <c r="F144" t="s">
        <v>48</v>
      </c>
      <c r="G144" t="s">
        <v>45</v>
      </c>
      <c r="H14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4" s="20">
        <f>Таблица26[[#This Row],[team-1-win]]+Таблица26[[#This Row],[team-2-win]]</f>
        <v>0</v>
      </c>
    </row>
    <row r="145" spans="1:9" x14ac:dyDescent="0.25">
      <c r="A145" t="s">
        <v>53</v>
      </c>
      <c r="B145" t="s">
        <v>33</v>
      </c>
      <c r="C145" t="s">
        <v>38</v>
      </c>
      <c r="D14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5" t="s">
        <v>56</v>
      </c>
      <c r="F145" t="s">
        <v>48</v>
      </c>
      <c r="G145" t="s">
        <v>63</v>
      </c>
      <c r="H14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5" s="20">
        <f>Таблица26[[#This Row],[team-1-win]]+Таблица26[[#This Row],[team-2-win]]</f>
        <v>0</v>
      </c>
    </row>
    <row r="146" spans="1:9" x14ac:dyDescent="0.25">
      <c r="A146" t="s">
        <v>53</v>
      </c>
      <c r="B146" t="s">
        <v>33</v>
      </c>
      <c r="C146" t="s">
        <v>38</v>
      </c>
      <c r="D14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6" t="s">
        <v>56</v>
      </c>
      <c r="F146" t="s">
        <v>43</v>
      </c>
      <c r="G146" t="s">
        <v>45</v>
      </c>
      <c r="H14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6" s="20">
        <f>Таблица26[[#This Row],[team-1-win]]+Таблица26[[#This Row],[team-2-win]]</f>
        <v>0</v>
      </c>
    </row>
    <row r="147" spans="1:9" x14ac:dyDescent="0.25">
      <c r="A147" t="s">
        <v>53</v>
      </c>
      <c r="B147" t="s">
        <v>33</v>
      </c>
      <c r="C147" t="s">
        <v>38</v>
      </c>
      <c r="D14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7" t="s">
        <v>56</v>
      </c>
      <c r="F147" t="s">
        <v>43</v>
      </c>
      <c r="G147" t="s">
        <v>63</v>
      </c>
      <c r="H14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7" s="20">
        <f>Таблица26[[#This Row],[team-1-win]]+Таблица26[[#This Row],[team-2-win]]</f>
        <v>0</v>
      </c>
    </row>
    <row r="148" spans="1:9" x14ac:dyDescent="0.25">
      <c r="A148" t="s">
        <v>53</v>
      </c>
      <c r="B148" t="s">
        <v>33</v>
      </c>
      <c r="C148" t="s">
        <v>38</v>
      </c>
      <c r="D14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8" t="s">
        <v>56</v>
      </c>
      <c r="F148" t="s">
        <v>45</v>
      </c>
      <c r="G148" t="s">
        <v>63</v>
      </c>
      <c r="H14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8" s="20">
        <f>Таблица26[[#This Row],[team-1-win]]+Таблица26[[#This Row],[team-2-win]]</f>
        <v>0</v>
      </c>
    </row>
    <row r="149" spans="1:9" x14ac:dyDescent="0.25">
      <c r="A149" t="s">
        <v>53</v>
      </c>
      <c r="B149" t="s">
        <v>33</v>
      </c>
      <c r="C149" t="s">
        <v>38</v>
      </c>
      <c r="D14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9" t="s">
        <v>48</v>
      </c>
      <c r="F149" t="s">
        <v>43</v>
      </c>
      <c r="G149" t="s">
        <v>45</v>
      </c>
      <c r="H14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9" s="20">
        <f>Таблица26[[#This Row],[team-1-win]]+Таблица26[[#This Row],[team-2-win]]</f>
        <v>0</v>
      </c>
    </row>
    <row r="150" spans="1:9" x14ac:dyDescent="0.25">
      <c r="A150" t="s">
        <v>53</v>
      </c>
      <c r="B150" t="s">
        <v>33</v>
      </c>
      <c r="C150" t="s">
        <v>38</v>
      </c>
      <c r="D15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0" t="s">
        <v>48</v>
      </c>
      <c r="F150" t="s">
        <v>43</v>
      </c>
      <c r="G150" t="s">
        <v>63</v>
      </c>
      <c r="H15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0" s="20">
        <f>Таблица26[[#This Row],[team-1-win]]+Таблица26[[#This Row],[team-2-win]]</f>
        <v>0</v>
      </c>
    </row>
    <row r="151" spans="1:9" x14ac:dyDescent="0.25">
      <c r="A151" t="s">
        <v>53</v>
      </c>
      <c r="B151" t="s">
        <v>33</v>
      </c>
      <c r="C151" t="s">
        <v>38</v>
      </c>
      <c r="D15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1" t="s">
        <v>48</v>
      </c>
      <c r="F151" t="s">
        <v>45</v>
      </c>
      <c r="G151" t="s">
        <v>63</v>
      </c>
      <c r="H15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1" s="20">
        <f>Таблица26[[#This Row],[team-1-win]]+Таблица26[[#This Row],[team-2-win]]</f>
        <v>0</v>
      </c>
    </row>
    <row r="152" spans="1:9" x14ac:dyDescent="0.25">
      <c r="A152" t="s">
        <v>53</v>
      </c>
      <c r="B152" t="s">
        <v>33</v>
      </c>
      <c r="C152" t="s">
        <v>38</v>
      </c>
      <c r="D15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2" t="s">
        <v>43</v>
      </c>
      <c r="F152" t="s">
        <v>45</v>
      </c>
      <c r="G152" t="s">
        <v>63</v>
      </c>
      <c r="H15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2" s="20">
        <f>Таблица26[[#This Row],[team-1-win]]+Таблица26[[#This Row],[team-2-win]]</f>
        <v>0</v>
      </c>
    </row>
    <row r="153" spans="1:9" x14ac:dyDescent="0.25">
      <c r="A153" t="s">
        <v>53</v>
      </c>
      <c r="B153" t="s">
        <v>43</v>
      </c>
      <c r="C153" t="s">
        <v>45</v>
      </c>
      <c r="D15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3" t="s">
        <v>56</v>
      </c>
      <c r="F153" t="s">
        <v>48</v>
      </c>
      <c r="G153" t="s">
        <v>33</v>
      </c>
      <c r="H15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3" s="20">
        <f>Таблица26[[#This Row],[team-1-win]]+Таблица26[[#This Row],[team-2-win]]</f>
        <v>0</v>
      </c>
    </row>
    <row r="154" spans="1:9" x14ac:dyDescent="0.25">
      <c r="A154" t="s">
        <v>53</v>
      </c>
      <c r="B154" t="s">
        <v>43</v>
      </c>
      <c r="C154" t="s">
        <v>45</v>
      </c>
      <c r="D15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4" t="s">
        <v>56</v>
      </c>
      <c r="F154" t="s">
        <v>48</v>
      </c>
      <c r="G154" t="s">
        <v>63</v>
      </c>
      <c r="H15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4" s="20">
        <f>Таблица26[[#This Row],[team-1-win]]+Таблица26[[#This Row],[team-2-win]]</f>
        <v>0</v>
      </c>
    </row>
    <row r="155" spans="1:9" x14ac:dyDescent="0.25">
      <c r="A155" t="s">
        <v>53</v>
      </c>
      <c r="B155" t="s">
        <v>43</v>
      </c>
      <c r="C155" t="s">
        <v>45</v>
      </c>
      <c r="D15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5" t="s">
        <v>56</v>
      </c>
      <c r="F155" t="s">
        <v>48</v>
      </c>
      <c r="G155" t="s">
        <v>38</v>
      </c>
      <c r="H15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5" s="20">
        <f>Таблица26[[#This Row],[team-1-win]]+Таблица26[[#This Row],[team-2-win]]</f>
        <v>0</v>
      </c>
    </row>
    <row r="156" spans="1:9" x14ac:dyDescent="0.25">
      <c r="A156" t="s">
        <v>53</v>
      </c>
      <c r="B156" t="s">
        <v>43</v>
      </c>
      <c r="C156" t="s">
        <v>45</v>
      </c>
      <c r="D15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6" t="s">
        <v>56</v>
      </c>
      <c r="F156" t="s">
        <v>33</v>
      </c>
      <c r="G156" t="s">
        <v>63</v>
      </c>
      <c r="H15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6" s="20">
        <f>Таблица26[[#This Row],[team-1-win]]+Таблица26[[#This Row],[team-2-win]]</f>
        <v>0</v>
      </c>
    </row>
    <row r="157" spans="1:9" x14ac:dyDescent="0.25">
      <c r="A157" t="s">
        <v>53</v>
      </c>
      <c r="B157" t="s">
        <v>43</v>
      </c>
      <c r="C157" t="s">
        <v>45</v>
      </c>
      <c r="D15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7" t="s">
        <v>56</v>
      </c>
      <c r="F157" t="s">
        <v>33</v>
      </c>
      <c r="G157" t="s">
        <v>38</v>
      </c>
      <c r="H15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7" s="20">
        <f>Таблица26[[#This Row],[team-1-win]]+Таблица26[[#This Row],[team-2-win]]</f>
        <v>0</v>
      </c>
    </row>
    <row r="158" spans="1:9" x14ac:dyDescent="0.25">
      <c r="A158" t="s">
        <v>53</v>
      </c>
      <c r="B158" t="s">
        <v>43</v>
      </c>
      <c r="C158" t="s">
        <v>45</v>
      </c>
      <c r="D15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8" t="s">
        <v>56</v>
      </c>
      <c r="F158" t="s">
        <v>63</v>
      </c>
      <c r="G158" t="s">
        <v>38</v>
      </c>
      <c r="H15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8" s="20">
        <f>Таблица26[[#This Row],[team-1-win]]+Таблица26[[#This Row],[team-2-win]]</f>
        <v>0</v>
      </c>
    </row>
    <row r="159" spans="1:9" x14ac:dyDescent="0.25">
      <c r="A159" t="s">
        <v>53</v>
      </c>
      <c r="B159" t="s">
        <v>43</v>
      </c>
      <c r="C159" t="s">
        <v>45</v>
      </c>
      <c r="D15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9" t="s">
        <v>48</v>
      </c>
      <c r="F159" t="s">
        <v>33</v>
      </c>
      <c r="G159" t="s">
        <v>63</v>
      </c>
      <c r="H15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9" s="20">
        <f>Таблица26[[#This Row],[team-1-win]]+Таблица26[[#This Row],[team-2-win]]</f>
        <v>0</v>
      </c>
    </row>
    <row r="160" spans="1:9" x14ac:dyDescent="0.25">
      <c r="A160" t="s">
        <v>53</v>
      </c>
      <c r="B160" t="s">
        <v>43</v>
      </c>
      <c r="C160" t="s">
        <v>45</v>
      </c>
      <c r="D16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0" t="s">
        <v>48</v>
      </c>
      <c r="F160" t="s">
        <v>33</v>
      </c>
      <c r="G160" t="s">
        <v>38</v>
      </c>
      <c r="H16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0" s="20">
        <f>Таблица26[[#This Row],[team-1-win]]+Таблица26[[#This Row],[team-2-win]]</f>
        <v>0</v>
      </c>
    </row>
    <row r="161" spans="1:9" x14ac:dyDescent="0.25">
      <c r="A161" t="s">
        <v>53</v>
      </c>
      <c r="B161" t="s">
        <v>43</v>
      </c>
      <c r="C161" t="s">
        <v>45</v>
      </c>
      <c r="D16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1" t="s">
        <v>48</v>
      </c>
      <c r="F161" t="s">
        <v>63</v>
      </c>
      <c r="G161" t="s">
        <v>38</v>
      </c>
      <c r="H16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1" s="20">
        <f>Таблица26[[#This Row],[team-1-win]]+Таблица26[[#This Row],[team-2-win]]</f>
        <v>0</v>
      </c>
    </row>
    <row r="162" spans="1:9" x14ac:dyDescent="0.25">
      <c r="A162" t="s">
        <v>53</v>
      </c>
      <c r="B162" t="s">
        <v>43</v>
      </c>
      <c r="C162" t="s">
        <v>45</v>
      </c>
      <c r="D16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2" t="s">
        <v>33</v>
      </c>
      <c r="F162" t="s">
        <v>63</v>
      </c>
      <c r="G162" t="s">
        <v>38</v>
      </c>
      <c r="H16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2" s="20">
        <f>Таблица26[[#This Row],[team-1-win]]+Таблица26[[#This Row],[team-2-win]]</f>
        <v>0</v>
      </c>
    </row>
    <row r="163" spans="1:9" x14ac:dyDescent="0.25">
      <c r="A163" t="s">
        <v>53</v>
      </c>
      <c r="B163" t="s">
        <v>43</v>
      </c>
      <c r="C163" t="s">
        <v>63</v>
      </c>
      <c r="D16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3" t="s">
        <v>56</v>
      </c>
      <c r="F163" t="s">
        <v>48</v>
      </c>
      <c r="G163" t="s">
        <v>33</v>
      </c>
      <c r="H16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3" s="20">
        <f>Таблица26[[#This Row],[team-1-win]]+Таблица26[[#This Row],[team-2-win]]</f>
        <v>0</v>
      </c>
    </row>
    <row r="164" spans="1:9" x14ac:dyDescent="0.25">
      <c r="A164" t="s">
        <v>53</v>
      </c>
      <c r="B164" t="s">
        <v>43</v>
      </c>
      <c r="C164" t="s">
        <v>63</v>
      </c>
      <c r="D16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4" t="s">
        <v>56</v>
      </c>
      <c r="F164" t="s">
        <v>48</v>
      </c>
      <c r="G164" t="s">
        <v>45</v>
      </c>
      <c r="H16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4" s="20">
        <f>Таблица26[[#This Row],[team-1-win]]+Таблица26[[#This Row],[team-2-win]]</f>
        <v>0</v>
      </c>
    </row>
    <row r="165" spans="1:9" x14ac:dyDescent="0.25">
      <c r="A165" t="s">
        <v>53</v>
      </c>
      <c r="B165" t="s">
        <v>43</v>
      </c>
      <c r="C165" t="s">
        <v>63</v>
      </c>
      <c r="D16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5" t="s">
        <v>56</v>
      </c>
      <c r="F165" t="s">
        <v>48</v>
      </c>
      <c r="G165" t="s">
        <v>38</v>
      </c>
      <c r="H16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5" s="20">
        <f>Таблица26[[#This Row],[team-1-win]]+Таблица26[[#This Row],[team-2-win]]</f>
        <v>0</v>
      </c>
    </row>
    <row r="166" spans="1:9" x14ac:dyDescent="0.25">
      <c r="A166" t="s">
        <v>53</v>
      </c>
      <c r="B166" t="s">
        <v>43</v>
      </c>
      <c r="C166" t="s">
        <v>63</v>
      </c>
      <c r="D16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6" t="s">
        <v>56</v>
      </c>
      <c r="F166" t="s">
        <v>33</v>
      </c>
      <c r="G166" t="s">
        <v>45</v>
      </c>
      <c r="H16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6" s="20">
        <f>Таблица26[[#This Row],[team-1-win]]+Таблица26[[#This Row],[team-2-win]]</f>
        <v>0</v>
      </c>
    </row>
    <row r="167" spans="1:9" x14ac:dyDescent="0.25">
      <c r="A167" t="s">
        <v>53</v>
      </c>
      <c r="B167" t="s">
        <v>43</v>
      </c>
      <c r="C167" t="s">
        <v>63</v>
      </c>
      <c r="D16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7" t="s">
        <v>56</v>
      </c>
      <c r="F167" t="s">
        <v>33</v>
      </c>
      <c r="G167" t="s">
        <v>38</v>
      </c>
      <c r="H16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7" s="20">
        <f>Таблица26[[#This Row],[team-1-win]]+Таблица26[[#This Row],[team-2-win]]</f>
        <v>0</v>
      </c>
    </row>
    <row r="168" spans="1:9" x14ac:dyDescent="0.25">
      <c r="A168" t="s">
        <v>53</v>
      </c>
      <c r="B168" t="s">
        <v>43</v>
      </c>
      <c r="C168" t="s">
        <v>63</v>
      </c>
      <c r="D16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8" t="s">
        <v>56</v>
      </c>
      <c r="F168" t="s">
        <v>45</v>
      </c>
      <c r="G168" t="s">
        <v>38</v>
      </c>
      <c r="H16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8" s="20">
        <f>Таблица26[[#This Row],[team-1-win]]+Таблица26[[#This Row],[team-2-win]]</f>
        <v>0</v>
      </c>
    </row>
    <row r="169" spans="1:9" x14ac:dyDescent="0.25">
      <c r="A169" t="s">
        <v>53</v>
      </c>
      <c r="B169" t="s">
        <v>43</v>
      </c>
      <c r="C169" t="s">
        <v>63</v>
      </c>
      <c r="D16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9" t="s">
        <v>48</v>
      </c>
      <c r="F169" t="s">
        <v>33</v>
      </c>
      <c r="G169" t="s">
        <v>45</v>
      </c>
      <c r="H16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9" s="20">
        <f>Таблица26[[#This Row],[team-1-win]]+Таблица26[[#This Row],[team-2-win]]</f>
        <v>0</v>
      </c>
    </row>
    <row r="170" spans="1:9" x14ac:dyDescent="0.25">
      <c r="A170" t="s">
        <v>53</v>
      </c>
      <c r="B170" t="s">
        <v>43</v>
      </c>
      <c r="C170" t="s">
        <v>63</v>
      </c>
      <c r="D17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0" t="s">
        <v>48</v>
      </c>
      <c r="F170" t="s">
        <v>33</v>
      </c>
      <c r="G170" t="s">
        <v>38</v>
      </c>
      <c r="H17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0" s="20">
        <f>Таблица26[[#This Row],[team-1-win]]+Таблица26[[#This Row],[team-2-win]]</f>
        <v>0</v>
      </c>
    </row>
    <row r="171" spans="1:9" x14ac:dyDescent="0.25">
      <c r="A171" t="s">
        <v>53</v>
      </c>
      <c r="B171" t="s">
        <v>43</v>
      </c>
      <c r="C171" t="s">
        <v>63</v>
      </c>
      <c r="D17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1" t="s">
        <v>48</v>
      </c>
      <c r="F171" t="s">
        <v>45</v>
      </c>
      <c r="G171" t="s">
        <v>38</v>
      </c>
      <c r="H17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1" s="20">
        <f>Таблица26[[#This Row],[team-1-win]]+Таблица26[[#This Row],[team-2-win]]</f>
        <v>0</v>
      </c>
    </row>
    <row r="172" spans="1:9" x14ac:dyDescent="0.25">
      <c r="A172" t="s">
        <v>53</v>
      </c>
      <c r="B172" t="s">
        <v>43</v>
      </c>
      <c r="C172" t="s">
        <v>63</v>
      </c>
      <c r="D17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2" t="s">
        <v>33</v>
      </c>
      <c r="F172" t="s">
        <v>45</v>
      </c>
      <c r="G172" t="s">
        <v>38</v>
      </c>
      <c r="H17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2" s="20">
        <f>Таблица26[[#This Row],[team-1-win]]+Таблица26[[#This Row],[team-2-win]]</f>
        <v>0</v>
      </c>
    </row>
    <row r="173" spans="1:9" x14ac:dyDescent="0.25">
      <c r="A173" t="s">
        <v>53</v>
      </c>
      <c r="B173" t="s">
        <v>43</v>
      </c>
      <c r="C173" t="s">
        <v>38</v>
      </c>
      <c r="D17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3" t="s">
        <v>56</v>
      </c>
      <c r="F173" t="s">
        <v>48</v>
      </c>
      <c r="G173" t="s">
        <v>33</v>
      </c>
      <c r="H17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3" s="20">
        <f>Таблица26[[#This Row],[team-1-win]]+Таблица26[[#This Row],[team-2-win]]</f>
        <v>0</v>
      </c>
    </row>
    <row r="174" spans="1:9" x14ac:dyDescent="0.25">
      <c r="A174" t="s">
        <v>53</v>
      </c>
      <c r="B174" t="s">
        <v>43</v>
      </c>
      <c r="C174" t="s">
        <v>38</v>
      </c>
      <c r="D17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4" t="s">
        <v>56</v>
      </c>
      <c r="F174" t="s">
        <v>48</v>
      </c>
      <c r="G174" t="s">
        <v>45</v>
      </c>
      <c r="H17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4" s="20">
        <f>Таблица26[[#This Row],[team-1-win]]+Таблица26[[#This Row],[team-2-win]]</f>
        <v>0</v>
      </c>
    </row>
    <row r="175" spans="1:9" x14ac:dyDescent="0.25">
      <c r="A175" t="s">
        <v>53</v>
      </c>
      <c r="B175" t="s">
        <v>43</v>
      </c>
      <c r="C175" t="s">
        <v>38</v>
      </c>
      <c r="D17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5" t="s">
        <v>56</v>
      </c>
      <c r="F175" t="s">
        <v>48</v>
      </c>
      <c r="G175" t="s">
        <v>63</v>
      </c>
      <c r="H17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5" s="20">
        <f>Таблица26[[#This Row],[team-1-win]]+Таблица26[[#This Row],[team-2-win]]</f>
        <v>0</v>
      </c>
    </row>
    <row r="176" spans="1:9" x14ac:dyDescent="0.25">
      <c r="A176" t="s">
        <v>53</v>
      </c>
      <c r="B176" t="s">
        <v>43</v>
      </c>
      <c r="C176" t="s">
        <v>38</v>
      </c>
      <c r="D17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6" t="s">
        <v>56</v>
      </c>
      <c r="F176" t="s">
        <v>33</v>
      </c>
      <c r="G176" t="s">
        <v>45</v>
      </c>
      <c r="H17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6" s="20">
        <f>Таблица26[[#This Row],[team-1-win]]+Таблица26[[#This Row],[team-2-win]]</f>
        <v>0</v>
      </c>
    </row>
    <row r="177" spans="1:9" x14ac:dyDescent="0.25">
      <c r="A177" t="s">
        <v>53</v>
      </c>
      <c r="B177" t="s">
        <v>43</v>
      </c>
      <c r="C177" t="s">
        <v>38</v>
      </c>
      <c r="D17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7" t="s">
        <v>56</v>
      </c>
      <c r="F177" t="s">
        <v>33</v>
      </c>
      <c r="G177" t="s">
        <v>63</v>
      </c>
      <c r="H17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7" s="20">
        <f>Таблица26[[#This Row],[team-1-win]]+Таблица26[[#This Row],[team-2-win]]</f>
        <v>0</v>
      </c>
    </row>
    <row r="178" spans="1:9" x14ac:dyDescent="0.25">
      <c r="A178" t="s">
        <v>53</v>
      </c>
      <c r="B178" t="s">
        <v>43</v>
      </c>
      <c r="C178" t="s">
        <v>38</v>
      </c>
      <c r="D17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8" t="s">
        <v>56</v>
      </c>
      <c r="F178" t="s">
        <v>45</v>
      </c>
      <c r="G178" t="s">
        <v>63</v>
      </c>
      <c r="H17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8" s="20">
        <f>Таблица26[[#This Row],[team-1-win]]+Таблица26[[#This Row],[team-2-win]]</f>
        <v>0</v>
      </c>
    </row>
    <row r="179" spans="1:9" x14ac:dyDescent="0.25">
      <c r="A179" t="s">
        <v>53</v>
      </c>
      <c r="B179" t="s">
        <v>43</v>
      </c>
      <c r="C179" t="s">
        <v>38</v>
      </c>
      <c r="D17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9" t="s">
        <v>48</v>
      </c>
      <c r="F179" t="s">
        <v>33</v>
      </c>
      <c r="G179" t="s">
        <v>45</v>
      </c>
      <c r="H17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9" s="20">
        <f>Таблица26[[#This Row],[team-1-win]]+Таблица26[[#This Row],[team-2-win]]</f>
        <v>0</v>
      </c>
    </row>
    <row r="180" spans="1:9" x14ac:dyDescent="0.25">
      <c r="A180" t="s">
        <v>53</v>
      </c>
      <c r="B180" t="s">
        <v>43</v>
      </c>
      <c r="C180" t="s">
        <v>38</v>
      </c>
      <c r="D18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0" t="s">
        <v>48</v>
      </c>
      <c r="F180" t="s">
        <v>33</v>
      </c>
      <c r="G180" t="s">
        <v>63</v>
      </c>
      <c r="H18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0" s="20">
        <f>Таблица26[[#This Row],[team-1-win]]+Таблица26[[#This Row],[team-2-win]]</f>
        <v>0</v>
      </c>
    </row>
    <row r="181" spans="1:9" x14ac:dyDescent="0.25">
      <c r="A181" t="s">
        <v>53</v>
      </c>
      <c r="B181" t="s">
        <v>43</v>
      </c>
      <c r="C181" t="s">
        <v>38</v>
      </c>
      <c r="D18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1" t="s">
        <v>48</v>
      </c>
      <c r="F181" t="s">
        <v>45</v>
      </c>
      <c r="G181" t="s">
        <v>63</v>
      </c>
      <c r="H18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1" s="20">
        <f>Таблица26[[#This Row],[team-1-win]]+Таблица26[[#This Row],[team-2-win]]</f>
        <v>0</v>
      </c>
    </row>
    <row r="182" spans="1:9" x14ac:dyDescent="0.25">
      <c r="A182" t="s">
        <v>53</v>
      </c>
      <c r="B182" t="s">
        <v>43</v>
      </c>
      <c r="C182" t="s">
        <v>38</v>
      </c>
      <c r="D18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2" t="s">
        <v>33</v>
      </c>
      <c r="F182" t="s">
        <v>45</v>
      </c>
      <c r="G182" t="s">
        <v>63</v>
      </c>
      <c r="H18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2" s="20">
        <f>Таблица26[[#This Row],[team-1-win]]+Таблица26[[#This Row],[team-2-win]]</f>
        <v>0</v>
      </c>
    </row>
    <row r="183" spans="1:9" x14ac:dyDescent="0.25">
      <c r="A183" t="s">
        <v>53</v>
      </c>
      <c r="B183" t="s">
        <v>45</v>
      </c>
      <c r="C183" t="s">
        <v>63</v>
      </c>
      <c r="D18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3" t="s">
        <v>56</v>
      </c>
      <c r="F183" t="s">
        <v>48</v>
      </c>
      <c r="G183" t="s">
        <v>33</v>
      </c>
      <c r="H18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3" s="20">
        <f>Таблица26[[#This Row],[team-1-win]]+Таблица26[[#This Row],[team-2-win]]</f>
        <v>0</v>
      </c>
    </row>
    <row r="184" spans="1:9" x14ac:dyDescent="0.25">
      <c r="A184" t="s">
        <v>53</v>
      </c>
      <c r="B184" t="s">
        <v>45</v>
      </c>
      <c r="C184" t="s">
        <v>63</v>
      </c>
      <c r="D18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4" t="s">
        <v>56</v>
      </c>
      <c r="F184" t="s">
        <v>48</v>
      </c>
      <c r="G184" t="s">
        <v>43</v>
      </c>
      <c r="H18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4" s="20">
        <f>Таблица26[[#This Row],[team-1-win]]+Таблица26[[#This Row],[team-2-win]]</f>
        <v>0</v>
      </c>
    </row>
    <row r="185" spans="1:9" x14ac:dyDescent="0.25">
      <c r="A185" t="s">
        <v>53</v>
      </c>
      <c r="B185" t="s">
        <v>45</v>
      </c>
      <c r="C185" t="s">
        <v>63</v>
      </c>
      <c r="D18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5" t="s">
        <v>56</v>
      </c>
      <c r="F185" t="s">
        <v>48</v>
      </c>
      <c r="G185" t="s">
        <v>38</v>
      </c>
      <c r="H18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5" s="20">
        <f>Таблица26[[#This Row],[team-1-win]]+Таблица26[[#This Row],[team-2-win]]</f>
        <v>0</v>
      </c>
    </row>
    <row r="186" spans="1:9" x14ac:dyDescent="0.25">
      <c r="A186" t="s">
        <v>53</v>
      </c>
      <c r="B186" t="s">
        <v>45</v>
      </c>
      <c r="C186" t="s">
        <v>63</v>
      </c>
      <c r="D18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6" t="s">
        <v>56</v>
      </c>
      <c r="F186" t="s">
        <v>33</v>
      </c>
      <c r="G186" t="s">
        <v>43</v>
      </c>
      <c r="H18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6" s="20">
        <f>Таблица26[[#This Row],[team-1-win]]+Таблица26[[#This Row],[team-2-win]]</f>
        <v>0</v>
      </c>
    </row>
    <row r="187" spans="1:9" x14ac:dyDescent="0.25">
      <c r="A187" t="s">
        <v>53</v>
      </c>
      <c r="B187" t="s">
        <v>45</v>
      </c>
      <c r="C187" t="s">
        <v>63</v>
      </c>
      <c r="D18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7" t="s">
        <v>56</v>
      </c>
      <c r="F187" t="s">
        <v>33</v>
      </c>
      <c r="G187" t="s">
        <v>38</v>
      </c>
      <c r="H18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7" s="20">
        <f>Таблица26[[#This Row],[team-1-win]]+Таблица26[[#This Row],[team-2-win]]</f>
        <v>0</v>
      </c>
    </row>
    <row r="188" spans="1:9" x14ac:dyDescent="0.25">
      <c r="A188" t="s">
        <v>53</v>
      </c>
      <c r="B188" t="s">
        <v>45</v>
      </c>
      <c r="C188" t="s">
        <v>63</v>
      </c>
      <c r="D18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8" t="s">
        <v>56</v>
      </c>
      <c r="F188" t="s">
        <v>43</v>
      </c>
      <c r="G188" t="s">
        <v>38</v>
      </c>
      <c r="H18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8" s="20">
        <f>Таблица26[[#This Row],[team-1-win]]+Таблица26[[#This Row],[team-2-win]]</f>
        <v>0</v>
      </c>
    </row>
    <row r="189" spans="1:9" x14ac:dyDescent="0.25">
      <c r="A189" t="s">
        <v>53</v>
      </c>
      <c r="B189" t="s">
        <v>45</v>
      </c>
      <c r="C189" t="s">
        <v>63</v>
      </c>
      <c r="D18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9" t="s">
        <v>48</v>
      </c>
      <c r="F189" t="s">
        <v>33</v>
      </c>
      <c r="G189" t="s">
        <v>43</v>
      </c>
      <c r="H18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9" s="20">
        <f>Таблица26[[#This Row],[team-1-win]]+Таблица26[[#This Row],[team-2-win]]</f>
        <v>0</v>
      </c>
    </row>
    <row r="190" spans="1:9" x14ac:dyDescent="0.25">
      <c r="A190" t="s">
        <v>53</v>
      </c>
      <c r="B190" t="s">
        <v>45</v>
      </c>
      <c r="C190" t="s">
        <v>63</v>
      </c>
      <c r="D19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0" t="s">
        <v>48</v>
      </c>
      <c r="F190" t="s">
        <v>33</v>
      </c>
      <c r="G190" t="s">
        <v>38</v>
      </c>
      <c r="H19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0" s="20">
        <f>Таблица26[[#This Row],[team-1-win]]+Таблица26[[#This Row],[team-2-win]]</f>
        <v>0</v>
      </c>
    </row>
    <row r="191" spans="1:9" x14ac:dyDescent="0.25">
      <c r="A191" t="s">
        <v>53</v>
      </c>
      <c r="B191" t="s">
        <v>45</v>
      </c>
      <c r="C191" t="s">
        <v>63</v>
      </c>
      <c r="D19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1" t="s">
        <v>48</v>
      </c>
      <c r="F191" t="s">
        <v>43</v>
      </c>
      <c r="G191" t="s">
        <v>38</v>
      </c>
      <c r="H19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1" s="20">
        <f>Таблица26[[#This Row],[team-1-win]]+Таблица26[[#This Row],[team-2-win]]</f>
        <v>0</v>
      </c>
    </row>
    <row r="192" spans="1:9" x14ac:dyDescent="0.25">
      <c r="A192" t="s">
        <v>53</v>
      </c>
      <c r="B192" t="s">
        <v>45</v>
      </c>
      <c r="C192" t="s">
        <v>63</v>
      </c>
      <c r="D19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2" t="s">
        <v>33</v>
      </c>
      <c r="F192" t="s">
        <v>43</v>
      </c>
      <c r="G192" t="s">
        <v>38</v>
      </c>
      <c r="H19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2" s="20">
        <f>Таблица26[[#This Row],[team-1-win]]+Таблица26[[#This Row],[team-2-win]]</f>
        <v>0</v>
      </c>
    </row>
    <row r="193" spans="1:9" x14ac:dyDescent="0.25">
      <c r="A193" t="s">
        <v>53</v>
      </c>
      <c r="B193" t="s">
        <v>45</v>
      </c>
      <c r="C193" t="s">
        <v>38</v>
      </c>
      <c r="D19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3" t="s">
        <v>56</v>
      </c>
      <c r="F193" t="s">
        <v>48</v>
      </c>
      <c r="G193" t="s">
        <v>33</v>
      </c>
      <c r="H19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3" s="20">
        <f>Таблица26[[#This Row],[team-1-win]]+Таблица26[[#This Row],[team-2-win]]</f>
        <v>0</v>
      </c>
    </row>
    <row r="194" spans="1:9" x14ac:dyDescent="0.25">
      <c r="A194" t="s">
        <v>53</v>
      </c>
      <c r="B194" t="s">
        <v>45</v>
      </c>
      <c r="C194" t="s">
        <v>38</v>
      </c>
      <c r="D19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4" t="s">
        <v>56</v>
      </c>
      <c r="F194" t="s">
        <v>48</v>
      </c>
      <c r="G194" t="s">
        <v>43</v>
      </c>
      <c r="H19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4" s="20">
        <f>Таблица26[[#This Row],[team-1-win]]+Таблица26[[#This Row],[team-2-win]]</f>
        <v>0</v>
      </c>
    </row>
    <row r="195" spans="1:9" x14ac:dyDescent="0.25">
      <c r="A195" t="s">
        <v>53</v>
      </c>
      <c r="B195" t="s">
        <v>45</v>
      </c>
      <c r="C195" t="s">
        <v>38</v>
      </c>
      <c r="D19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5" t="s">
        <v>56</v>
      </c>
      <c r="F195" t="s">
        <v>48</v>
      </c>
      <c r="G195" t="s">
        <v>63</v>
      </c>
      <c r="H19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5" s="20">
        <f>Таблица26[[#This Row],[team-1-win]]+Таблица26[[#This Row],[team-2-win]]</f>
        <v>0</v>
      </c>
    </row>
    <row r="196" spans="1:9" x14ac:dyDescent="0.25">
      <c r="A196" t="s">
        <v>53</v>
      </c>
      <c r="B196" t="s">
        <v>45</v>
      </c>
      <c r="C196" t="s">
        <v>38</v>
      </c>
      <c r="D19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6" t="s">
        <v>56</v>
      </c>
      <c r="F196" t="s">
        <v>33</v>
      </c>
      <c r="G196" t="s">
        <v>43</v>
      </c>
      <c r="H19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6" s="20">
        <f>Таблица26[[#This Row],[team-1-win]]+Таблица26[[#This Row],[team-2-win]]</f>
        <v>0</v>
      </c>
    </row>
    <row r="197" spans="1:9" x14ac:dyDescent="0.25">
      <c r="A197" t="s">
        <v>53</v>
      </c>
      <c r="B197" t="s">
        <v>45</v>
      </c>
      <c r="C197" t="s">
        <v>38</v>
      </c>
      <c r="D19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7" t="s">
        <v>56</v>
      </c>
      <c r="F197" t="s">
        <v>33</v>
      </c>
      <c r="G197" t="s">
        <v>63</v>
      </c>
      <c r="H19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7" s="20">
        <f>Таблица26[[#This Row],[team-1-win]]+Таблица26[[#This Row],[team-2-win]]</f>
        <v>0</v>
      </c>
    </row>
    <row r="198" spans="1:9" x14ac:dyDescent="0.25">
      <c r="A198" t="s">
        <v>53</v>
      </c>
      <c r="B198" t="s">
        <v>45</v>
      </c>
      <c r="C198" t="s">
        <v>38</v>
      </c>
      <c r="D19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8" t="s">
        <v>56</v>
      </c>
      <c r="F198" t="s">
        <v>43</v>
      </c>
      <c r="G198" t="s">
        <v>63</v>
      </c>
      <c r="H19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8" s="20">
        <f>Таблица26[[#This Row],[team-1-win]]+Таблица26[[#This Row],[team-2-win]]</f>
        <v>0</v>
      </c>
    </row>
    <row r="199" spans="1:9" x14ac:dyDescent="0.25">
      <c r="A199" t="s">
        <v>53</v>
      </c>
      <c r="B199" t="s">
        <v>45</v>
      </c>
      <c r="C199" t="s">
        <v>38</v>
      </c>
      <c r="D19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9" t="s">
        <v>48</v>
      </c>
      <c r="F199" t="s">
        <v>33</v>
      </c>
      <c r="G199" t="s">
        <v>43</v>
      </c>
      <c r="H19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9" s="20">
        <f>Таблица26[[#This Row],[team-1-win]]+Таблица26[[#This Row],[team-2-win]]</f>
        <v>0</v>
      </c>
    </row>
    <row r="200" spans="1:9" x14ac:dyDescent="0.25">
      <c r="A200" t="s">
        <v>53</v>
      </c>
      <c r="B200" t="s">
        <v>45</v>
      </c>
      <c r="C200" t="s">
        <v>38</v>
      </c>
      <c r="D20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00" t="s">
        <v>48</v>
      </c>
      <c r="F200" t="s">
        <v>33</v>
      </c>
      <c r="G200" t="s">
        <v>63</v>
      </c>
      <c r="H20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0" s="20">
        <f>Таблица26[[#This Row],[team-1-win]]+Таблица26[[#This Row],[team-2-win]]</f>
        <v>0</v>
      </c>
    </row>
    <row r="201" spans="1:9" x14ac:dyDescent="0.25">
      <c r="A201" t="s">
        <v>53</v>
      </c>
      <c r="B201" t="s">
        <v>45</v>
      </c>
      <c r="C201" t="s">
        <v>38</v>
      </c>
      <c r="D20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01" t="s">
        <v>48</v>
      </c>
      <c r="F201" t="s">
        <v>43</v>
      </c>
      <c r="G201" t="s">
        <v>63</v>
      </c>
      <c r="H20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1" s="20">
        <f>Таблица26[[#This Row],[team-1-win]]+Таблица26[[#This Row],[team-2-win]]</f>
        <v>0</v>
      </c>
    </row>
    <row r="202" spans="1:9" x14ac:dyDescent="0.25">
      <c r="A202" t="s">
        <v>53</v>
      </c>
      <c r="B202" t="s">
        <v>45</v>
      </c>
      <c r="C202" t="s">
        <v>38</v>
      </c>
      <c r="D20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02" t="s">
        <v>33</v>
      </c>
      <c r="F202" t="s">
        <v>43</v>
      </c>
      <c r="G202" t="s">
        <v>63</v>
      </c>
      <c r="H20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2" s="20">
        <f>Таблица26[[#This Row],[team-1-win]]+Таблица26[[#This Row],[team-2-win]]</f>
        <v>0</v>
      </c>
    </row>
    <row r="203" spans="1:9" x14ac:dyDescent="0.25">
      <c r="A203" t="s">
        <v>53</v>
      </c>
      <c r="B203" t="s">
        <v>63</v>
      </c>
      <c r="C203" t="s">
        <v>38</v>
      </c>
      <c r="D20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03" t="s">
        <v>56</v>
      </c>
      <c r="F203" t="s">
        <v>48</v>
      </c>
      <c r="G203" t="s">
        <v>33</v>
      </c>
      <c r="H20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3" s="20">
        <f>Таблица26[[#This Row],[team-1-win]]+Таблица26[[#This Row],[team-2-win]]</f>
        <v>0</v>
      </c>
    </row>
    <row r="204" spans="1:9" x14ac:dyDescent="0.25">
      <c r="A204" t="s">
        <v>53</v>
      </c>
      <c r="B204" t="s">
        <v>63</v>
      </c>
      <c r="C204" t="s">
        <v>38</v>
      </c>
      <c r="D20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04" t="s">
        <v>56</v>
      </c>
      <c r="F204" t="s">
        <v>48</v>
      </c>
      <c r="G204" t="s">
        <v>43</v>
      </c>
      <c r="H20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4" s="20">
        <f>Таблица26[[#This Row],[team-1-win]]+Таблица26[[#This Row],[team-2-win]]</f>
        <v>0</v>
      </c>
    </row>
    <row r="205" spans="1:9" x14ac:dyDescent="0.25">
      <c r="A205" t="s">
        <v>53</v>
      </c>
      <c r="B205" t="s">
        <v>63</v>
      </c>
      <c r="C205" t="s">
        <v>38</v>
      </c>
      <c r="D20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05" t="s">
        <v>56</v>
      </c>
      <c r="F205" t="s">
        <v>48</v>
      </c>
      <c r="G205" t="s">
        <v>45</v>
      </c>
      <c r="H20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5" s="20">
        <f>Таблица26[[#This Row],[team-1-win]]+Таблица26[[#This Row],[team-2-win]]</f>
        <v>0</v>
      </c>
    </row>
    <row r="206" spans="1:9" x14ac:dyDescent="0.25">
      <c r="A206" t="s">
        <v>53</v>
      </c>
      <c r="B206" t="s">
        <v>63</v>
      </c>
      <c r="C206" t="s">
        <v>38</v>
      </c>
      <c r="D20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06" t="s">
        <v>56</v>
      </c>
      <c r="F206" t="s">
        <v>33</v>
      </c>
      <c r="G206" t="s">
        <v>43</v>
      </c>
      <c r="H20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6" s="20">
        <f>Таблица26[[#This Row],[team-1-win]]+Таблица26[[#This Row],[team-2-win]]</f>
        <v>0</v>
      </c>
    </row>
    <row r="207" spans="1:9" x14ac:dyDescent="0.25">
      <c r="A207" t="s">
        <v>53</v>
      </c>
      <c r="B207" t="s">
        <v>63</v>
      </c>
      <c r="C207" t="s">
        <v>38</v>
      </c>
      <c r="D20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07" t="s">
        <v>56</v>
      </c>
      <c r="F207" t="s">
        <v>33</v>
      </c>
      <c r="G207" t="s">
        <v>45</v>
      </c>
      <c r="H20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7" s="20">
        <f>Таблица26[[#This Row],[team-1-win]]+Таблица26[[#This Row],[team-2-win]]</f>
        <v>0</v>
      </c>
    </row>
    <row r="208" spans="1:9" x14ac:dyDescent="0.25">
      <c r="A208" t="s">
        <v>53</v>
      </c>
      <c r="B208" t="s">
        <v>63</v>
      </c>
      <c r="C208" t="s">
        <v>38</v>
      </c>
      <c r="D20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08" t="s">
        <v>56</v>
      </c>
      <c r="F208" t="s">
        <v>43</v>
      </c>
      <c r="G208" t="s">
        <v>45</v>
      </c>
      <c r="H20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8" s="20">
        <f>Таблица26[[#This Row],[team-1-win]]+Таблица26[[#This Row],[team-2-win]]</f>
        <v>0</v>
      </c>
    </row>
    <row r="209" spans="1:9" x14ac:dyDescent="0.25">
      <c r="A209" t="s">
        <v>53</v>
      </c>
      <c r="B209" t="s">
        <v>63</v>
      </c>
      <c r="C209" t="s">
        <v>38</v>
      </c>
      <c r="D20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09" t="s">
        <v>48</v>
      </c>
      <c r="F209" t="s">
        <v>33</v>
      </c>
      <c r="G209" t="s">
        <v>43</v>
      </c>
      <c r="H20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9" s="20">
        <f>Таблица26[[#This Row],[team-1-win]]+Таблица26[[#This Row],[team-2-win]]</f>
        <v>0</v>
      </c>
    </row>
    <row r="210" spans="1:9" x14ac:dyDescent="0.25">
      <c r="A210" t="s">
        <v>53</v>
      </c>
      <c r="B210" t="s">
        <v>63</v>
      </c>
      <c r="C210" t="s">
        <v>38</v>
      </c>
      <c r="D21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0" t="s">
        <v>48</v>
      </c>
      <c r="F210" t="s">
        <v>33</v>
      </c>
      <c r="G210" t="s">
        <v>45</v>
      </c>
      <c r="H21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0" s="20">
        <f>Таблица26[[#This Row],[team-1-win]]+Таблица26[[#This Row],[team-2-win]]</f>
        <v>0</v>
      </c>
    </row>
    <row r="211" spans="1:9" x14ac:dyDescent="0.25">
      <c r="A211" t="s">
        <v>53</v>
      </c>
      <c r="B211" t="s">
        <v>63</v>
      </c>
      <c r="C211" t="s">
        <v>38</v>
      </c>
      <c r="D21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1" t="s">
        <v>48</v>
      </c>
      <c r="F211" t="s">
        <v>43</v>
      </c>
      <c r="G211" t="s">
        <v>45</v>
      </c>
      <c r="H21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1" s="20">
        <f>Таблица26[[#This Row],[team-1-win]]+Таблица26[[#This Row],[team-2-win]]</f>
        <v>0</v>
      </c>
    </row>
    <row r="212" spans="1:9" x14ac:dyDescent="0.25">
      <c r="A212" t="s">
        <v>53</v>
      </c>
      <c r="B212" t="s">
        <v>63</v>
      </c>
      <c r="C212" t="s">
        <v>38</v>
      </c>
      <c r="D21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2" t="s">
        <v>33</v>
      </c>
      <c r="F212" t="s">
        <v>43</v>
      </c>
      <c r="G212" t="s">
        <v>45</v>
      </c>
      <c r="H21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2" s="20">
        <f>Таблица26[[#This Row],[team-1-win]]+Таблица26[[#This Row],[team-2-win]]</f>
        <v>0</v>
      </c>
    </row>
    <row r="213" spans="1:9" x14ac:dyDescent="0.25">
      <c r="A213" t="s">
        <v>56</v>
      </c>
      <c r="B213" t="s">
        <v>48</v>
      </c>
      <c r="C213" t="s">
        <v>33</v>
      </c>
      <c r="D21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3" t="s">
        <v>43</v>
      </c>
      <c r="F213" t="s">
        <v>45</v>
      </c>
      <c r="G213" t="s">
        <v>63</v>
      </c>
      <c r="H21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3" s="20">
        <f>Таблица26[[#This Row],[team-1-win]]+Таблица26[[#This Row],[team-2-win]]</f>
        <v>0</v>
      </c>
    </row>
    <row r="214" spans="1:9" x14ac:dyDescent="0.25">
      <c r="A214" t="s">
        <v>56</v>
      </c>
      <c r="B214" t="s">
        <v>48</v>
      </c>
      <c r="C214" t="s">
        <v>33</v>
      </c>
      <c r="D21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4" t="s">
        <v>43</v>
      </c>
      <c r="F214" t="s">
        <v>45</v>
      </c>
      <c r="G214" t="s">
        <v>38</v>
      </c>
      <c r="H21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4" s="20">
        <f>Таблица26[[#This Row],[team-1-win]]+Таблица26[[#This Row],[team-2-win]]</f>
        <v>0</v>
      </c>
    </row>
    <row r="215" spans="1:9" x14ac:dyDescent="0.25">
      <c r="A215" t="s">
        <v>56</v>
      </c>
      <c r="B215" t="s">
        <v>48</v>
      </c>
      <c r="C215" t="s">
        <v>33</v>
      </c>
      <c r="D21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5" t="s">
        <v>43</v>
      </c>
      <c r="F215" t="s">
        <v>63</v>
      </c>
      <c r="G215" t="s">
        <v>38</v>
      </c>
      <c r="H21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5" s="20">
        <f>Таблица26[[#This Row],[team-1-win]]+Таблица26[[#This Row],[team-2-win]]</f>
        <v>0</v>
      </c>
    </row>
    <row r="216" spans="1:9" x14ac:dyDescent="0.25">
      <c r="A216" t="s">
        <v>56</v>
      </c>
      <c r="B216" t="s">
        <v>48</v>
      </c>
      <c r="C216" t="s">
        <v>33</v>
      </c>
      <c r="D21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6" t="s">
        <v>45</v>
      </c>
      <c r="F216" t="s">
        <v>63</v>
      </c>
      <c r="G216" t="s">
        <v>38</v>
      </c>
      <c r="H21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6" s="20">
        <f>Таблица26[[#This Row],[team-1-win]]+Таблица26[[#This Row],[team-2-win]]</f>
        <v>0</v>
      </c>
    </row>
    <row r="217" spans="1:9" x14ac:dyDescent="0.25">
      <c r="A217" t="s">
        <v>56</v>
      </c>
      <c r="B217" t="s">
        <v>48</v>
      </c>
      <c r="C217" t="s">
        <v>43</v>
      </c>
      <c r="D21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7" t="s">
        <v>33</v>
      </c>
      <c r="F217" t="s">
        <v>45</v>
      </c>
      <c r="G217" t="s">
        <v>63</v>
      </c>
      <c r="H21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7" s="20">
        <f>Таблица26[[#This Row],[team-1-win]]+Таблица26[[#This Row],[team-2-win]]</f>
        <v>0</v>
      </c>
    </row>
    <row r="218" spans="1:9" x14ac:dyDescent="0.25">
      <c r="A218" t="s">
        <v>56</v>
      </c>
      <c r="B218" t="s">
        <v>48</v>
      </c>
      <c r="C218" t="s">
        <v>43</v>
      </c>
      <c r="D21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8" t="s">
        <v>33</v>
      </c>
      <c r="F218" t="s">
        <v>45</v>
      </c>
      <c r="G218" t="s">
        <v>38</v>
      </c>
      <c r="H21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8" s="20">
        <f>Таблица26[[#This Row],[team-1-win]]+Таблица26[[#This Row],[team-2-win]]</f>
        <v>0</v>
      </c>
    </row>
    <row r="219" spans="1:9" x14ac:dyDescent="0.25">
      <c r="A219" t="s">
        <v>56</v>
      </c>
      <c r="B219" t="s">
        <v>48</v>
      </c>
      <c r="C219" t="s">
        <v>43</v>
      </c>
      <c r="D21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9" t="s">
        <v>33</v>
      </c>
      <c r="F219" t="s">
        <v>63</v>
      </c>
      <c r="G219" t="s">
        <v>38</v>
      </c>
      <c r="H21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9" s="20">
        <f>Таблица26[[#This Row],[team-1-win]]+Таблица26[[#This Row],[team-2-win]]</f>
        <v>0</v>
      </c>
    </row>
    <row r="220" spans="1:9" x14ac:dyDescent="0.25">
      <c r="A220" t="s">
        <v>56</v>
      </c>
      <c r="B220" t="s">
        <v>48</v>
      </c>
      <c r="C220" t="s">
        <v>43</v>
      </c>
      <c r="D22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0" t="s">
        <v>45</v>
      </c>
      <c r="F220" t="s">
        <v>63</v>
      </c>
      <c r="G220" t="s">
        <v>38</v>
      </c>
      <c r="H22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0" s="20">
        <f>Таблица26[[#This Row],[team-1-win]]+Таблица26[[#This Row],[team-2-win]]</f>
        <v>0</v>
      </c>
    </row>
    <row r="221" spans="1:9" x14ac:dyDescent="0.25">
      <c r="A221" t="s">
        <v>56</v>
      </c>
      <c r="B221" t="s">
        <v>48</v>
      </c>
      <c r="C221" t="s">
        <v>45</v>
      </c>
      <c r="D22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1" t="s">
        <v>33</v>
      </c>
      <c r="F221" t="s">
        <v>43</v>
      </c>
      <c r="G221" t="s">
        <v>63</v>
      </c>
      <c r="H22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1" s="20">
        <f>Таблица26[[#This Row],[team-1-win]]+Таблица26[[#This Row],[team-2-win]]</f>
        <v>0</v>
      </c>
    </row>
    <row r="222" spans="1:9" x14ac:dyDescent="0.25">
      <c r="A222" t="s">
        <v>56</v>
      </c>
      <c r="B222" t="s">
        <v>48</v>
      </c>
      <c r="C222" t="s">
        <v>45</v>
      </c>
      <c r="D22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2" t="s">
        <v>33</v>
      </c>
      <c r="F222" t="s">
        <v>43</v>
      </c>
      <c r="G222" t="s">
        <v>38</v>
      </c>
      <c r="H22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2" s="20">
        <f>Таблица26[[#This Row],[team-1-win]]+Таблица26[[#This Row],[team-2-win]]</f>
        <v>0</v>
      </c>
    </row>
    <row r="223" spans="1:9" x14ac:dyDescent="0.25">
      <c r="A223" t="s">
        <v>56</v>
      </c>
      <c r="B223" t="s">
        <v>48</v>
      </c>
      <c r="C223" t="s">
        <v>45</v>
      </c>
      <c r="D22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3" t="s">
        <v>33</v>
      </c>
      <c r="F223" t="s">
        <v>63</v>
      </c>
      <c r="G223" t="s">
        <v>38</v>
      </c>
      <c r="H22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3" s="20">
        <f>Таблица26[[#This Row],[team-1-win]]+Таблица26[[#This Row],[team-2-win]]</f>
        <v>0</v>
      </c>
    </row>
    <row r="224" spans="1:9" x14ac:dyDescent="0.25">
      <c r="A224" t="s">
        <v>56</v>
      </c>
      <c r="B224" t="s">
        <v>48</v>
      </c>
      <c r="C224" t="s">
        <v>45</v>
      </c>
      <c r="D22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4" t="s">
        <v>43</v>
      </c>
      <c r="F224" t="s">
        <v>63</v>
      </c>
      <c r="G224" t="s">
        <v>38</v>
      </c>
      <c r="H22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4" s="20">
        <f>Таблица26[[#This Row],[team-1-win]]+Таблица26[[#This Row],[team-2-win]]</f>
        <v>0</v>
      </c>
    </row>
    <row r="225" spans="1:9" x14ac:dyDescent="0.25">
      <c r="A225" t="s">
        <v>56</v>
      </c>
      <c r="B225" t="s">
        <v>48</v>
      </c>
      <c r="C225" t="s">
        <v>63</v>
      </c>
      <c r="D22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5" t="s">
        <v>33</v>
      </c>
      <c r="F225" t="s">
        <v>43</v>
      </c>
      <c r="G225" t="s">
        <v>45</v>
      </c>
      <c r="H22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5" s="20">
        <f>Таблица26[[#This Row],[team-1-win]]+Таблица26[[#This Row],[team-2-win]]</f>
        <v>0</v>
      </c>
    </row>
    <row r="226" spans="1:9" x14ac:dyDescent="0.25">
      <c r="A226" t="s">
        <v>56</v>
      </c>
      <c r="B226" t="s">
        <v>48</v>
      </c>
      <c r="C226" t="s">
        <v>63</v>
      </c>
      <c r="D22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6" t="s">
        <v>33</v>
      </c>
      <c r="F226" t="s">
        <v>43</v>
      </c>
      <c r="G226" t="s">
        <v>38</v>
      </c>
      <c r="H22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6" s="20">
        <f>Таблица26[[#This Row],[team-1-win]]+Таблица26[[#This Row],[team-2-win]]</f>
        <v>0</v>
      </c>
    </row>
    <row r="227" spans="1:9" x14ac:dyDescent="0.25">
      <c r="A227" t="s">
        <v>56</v>
      </c>
      <c r="B227" t="s">
        <v>48</v>
      </c>
      <c r="C227" t="s">
        <v>63</v>
      </c>
      <c r="D22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7" t="s">
        <v>33</v>
      </c>
      <c r="F227" t="s">
        <v>45</v>
      </c>
      <c r="G227" t="s">
        <v>38</v>
      </c>
      <c r="H22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7" s="20">
        <f>Таблица26[[#This Row],[team-1-win]]+Таблица26[[#This Row],[team-2-win]]</f>
        <v>0</v>
      </c>
    </row>
    <row r="228" spans="1:9" x14ac:dyDescent="0.25">
      <c r="A228" t="s">
        <v>56</v>
      </c>
      <c r="B228" t="s">
        <v>48</v>
      </c>
      <c r="C228" t="s">
        <v>63</v>
      </c>
      <c r="D22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8" t="s">
        <v>43</v>
      </c>
      <c r="F228" t="s">
        <v>45</v>
      </c>
      <c r="G228" t="s">
        <v>38</v>
      </c>
      <c r="H22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8" s="20">
        <f>Таблица26[[#This Row],[team-1-win]]+Таблица26[[#This Row],[team-2-win]]</f>
        <v>0</v>
      </c>
    </row>
    <row r="229" spans="1:9" x14ac:dyDescent="0.25">
      <c r="A229" t="s">
        <v>56</v>
      </c>
      <c r="B229" t="s">
        <v>48</v>
      </c>
      <c r="C229" t="s">
        <v>38</v>
      </c>
      <c r="D22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9" t="s">
        <v>33</v>
      </c>
      <c r="F229" t="s">
        <v>43</v>
      </c>
      <c r="G229" t="s">
        <v>45</v>
      </c>
      <c r="H22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9" s="20">
        <f>Таблица26[[#This Row],[team-1-win]]+Таблица26[[#This Row],[team-2-win]]</f>
        <v>0</v>
      </c>
    </row>
    <row r="230" spans="1:9" x14ac:dyDescent="0.25">
      <c r="A230" t="s">
        <v>56</v>
      </c>
      <c r="B230" t="s">
        <v>48</v>
      </c>
      <c r="C230" t="s">
        <v>38</v>
      </c>
      <c r="D23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0" t="s">
        <v>33</v>
      </c>
      <c r="F230" t="s">
        <v>43</v>
      </c>
      <c r="G230" t="s">
        <v>63</v>
      </c>
      <c r="H23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0" s="20">
        <f>Таблица26[[#This Row],[team-1-win]]+Таблица26[[#This Row],[team-2-win]]</f>
        <v>0</v>
      </c>
    </row>
    <row r="231" spans="1:9" x14ac:dyDescent="0.25">
      <c r="A231" t="s">
        <v>56</v>
      </c>
      <c r="B231" t="s">
        <v>48</v>
      </c>
      <c r="C231" t="s">
        <v>38</v>
      </c>
      <c r="D23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1" t="s">
        <v>33</v>
      </c>
      <c r="F231" t="s">
        <v>45</v>
      </c>
      <c r="G231" t="s">
        <v>63</v>
      </c>
      <c r="H23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1" s="20">
        <f>Таблица26[[#This Row],[team-1-win]]+Таблица26[[#This Row],[team-2-win]]</f>
        <v>0</v>
      </c>
    </row>
    <row r="232" spans="1:9" x14ac:dyDescent="0.25">
      <c r="A232" t="s">
        <v>56</v>
      </c>
      <c r="B232" t="s">
        <v>48</v>
      </c>
      <c r="C232" t="s">
        <v>38</v>
      </c>
      <c r="D23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2" t="s">
        <v>43</v>
      </c>
      <c r="F232" t="s">
        <v>45</v>
      </c>
      <c r="G232" t="s">
        <v>63</v>
      </c>
      <c r="H23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2" s="20">
        <f>Таблица26[[#This Row],[team-1-win]]+Таблица26[[#This Row],[team-2-win]]</f>
        <v>0</v>
      </c>
    </row>
    <row r="233" spans="1:9" x14ac:dyDescent="0.25">
      <c r="A233" t="s">
        <v>56</v>
      </c>
      <c r="B233" t="s">
        <v>33</v>
      </c>
      <c r="C233" t="s">
        <v>43</v>
      </c>
      <c r="D23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3" t="s">
        <v>48</v>
      </c>
      <c r="F233" t="s">
        <v>45</v>
      </c>
      <c r="G233" t="s">
        <v>63</v>
      </c>
      <c r="H23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3" s="20">
        <f>Таблица26[[#This Row],[team-1-win]]+Таблица26[[#This Row],[team-2-win]]</f>
        <v>0</v>
      </c>
    </row>
    <row r="234" spans="1:9" x14ac:dyDescent="0.25">
      <c r="A234" t="s">
        <v>56</v>
      </c>
      <c r="B234" t="s">
        <v>33</v>
      </c>
      <c r="C234" t="s">
        <v>43</v>
      </c>
      <c r="D23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4" t="s">
        <v>48</v>
      </c>
      <c r="F234" t="s">
        <v>45</v>
      </c>
      <c r="G234" t="s">
        <v>38</v>
      </c>
      <c r="H23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4" s="20">
        <f>Таблица26[[#This Row],[team-1-win]]+Таблица26[[#This Row],[team-2-win]]</f>
        <v>0</v>
      </c>
    </row>
    <row r="235" spans="1:9" x14ac:dyDescent="0.25">
      <c r="A235" t="s">
        <v>56</v>
      </c>
      <c r="B235" t="s">
        <v>33</v>
      </c>
      <c r="C235" t="s">
        <v>43</v>
      </c>
      <c r="D23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5" t="s">
        <v>48</v>
      </c>
      <c r="F235" t="s">
        <v>63</v>
      </c>
      <c r="G235" t="s">
        <v>38</v>
      </c>
      <c r="H23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5" s="20">
        <f>Таблица26[[#This Row],[team-1-win]]+Таблица26[[#This Row],[team-2-win]]</f>
        <v>0</v>
      </c>
    </row>
    <row r="236" spans="1:9" x14ac:dyDescent="0.25">
      <c r="A236" t="s">
        <v>56</v>
      </c>
      <c r="B236" t="s">
        <v>33</v>
      </c>
      <c r="C236" t="s">
        <v>43</v>
      </c>
      <c r="D23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6" t="s">
        <v>45</v>
      </c>
      <c r="F236" t="s">
        <v>63</v>
      </c>
      <c r="G236" t="s">
        <v>38</v>
      </c>
      <c r="H23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6" s="20">
        <f>Таблица26[[#This Row],[team-1-win]]+Таблица26[[#This Row],[team-2-win]]</f>
        <v>0</v>
      </c>
    </row>
    <row r="237" spans="1:9" x14ac:dyDescent="0.25">
      <c r="A237" t="s">
        <v>56</v>
      </c>
      <c r="B237" t="s">
        <v>33</v>
      </c>
      <c r="C237" t="s">
        <v>45</v>
      </c>
      <c r="D23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7" t="s">
        <v>48</v>
      </c>
      <c r="F237" t="s">
        <v>43</v>
      </c>
      <c r="G237" t="s">
        <v>63</v>
      </c>
      <c r="H23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7" s="20">
        <f>Таблица26[[#This Row],[team-1-win]]+Таблица26[[#This Row],[team-2-win]]</f>
        <v>0</v>
      </c>
    </row>
    <row r="238" spans="1:9" x14ac:dyDescent="0.25">
      <c r="A238" t="s">
        <v>56</v>
      </c>
      <c r="B238" t="s">
        <v>33</v>
      </c>
      <c r="C238" t="s">
        <v>45</v>
      </c>
      <c r="D23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8" t="s">
        <v>48</v>
      </c>
      <c r="F238" t="s">
        <v>43</v>
      </c>
      <c r="G238" t="s">
        <v>38</v>
      </c>
      <c r="H23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8" s="20">
        <f>Таблица26[[#This Row],[team-1-win]]+Таблица26[[#This Row],[team-2-win]]</f>
        <v>0</v>
      </c>
    </row>
    <row r="239" spans="1:9" x14ac:dyDescent="0.25">
      <c r="A239" t="s">
        <v>56</v>
      </c>
      <c r="B239" t="s">
        <v>33</v>
      </c>
      <c r="C239" t="s">
        <v>45</v>
      </c>
      <c r="D23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9" t="s">
        <v>48</v>
      </c>
      <c r="F239" t="s">
        <v>63</v>
      </c>
      <c r="G239" t="s">
        <v>38</v>
      </c>
      <c r="H23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9" s="20">
        <f>Таблица26[[#This Row],[team-1-win]]+Таблица26[[#This Row],[team-2-win]]</f>
        <v>0</v>
      </c>
    </row>
    <row r="240" spans="1:9" x14ac:dyDescent="0.25">
      <c r="A240" t="s">
        <v>56</v>
      </c>
      <c r="B240" t="s">
        <v>33</v>
      </c>
      <c r="C240" t="s">
        <v>45</v>
      </c>
      <c r="D24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0" t="s">
        <v>43</v>
      </c>
      <c r="F240" t="s">
        <v>63</v>
      </c>
      <c r="G240" t="s">
        <v>38</v>
      </c>
      <c r="H24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0" s="20">
        <f>Таблица26[[#This Row],[team-1-win]]+Таблица26[[#This Row],[team-2-win]]</f>
        <v>0</v>
      </c>
    </row>
    <row r="241" spans="1:9" x14ac:dyDescent="0.25">
      <c r="A241" t="s">
        <v>56</v>
      </c>
      <c r="B241" t="s">
        <v>33</v>
      </c>
      <c r="C241" t="s">
        <v>63</v>
      </c>
      <c r="D24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1" t="s">
        <v>48</v>
      </c>
      <c r="F241" t="s">
        <v>43</v>
      </c>
      <c r="G241" t="s">
        <v>45</v>
      </c>
      <c r="H24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1" s="20">
        <f>Таблица26[[#This Row],[team-1-win]]+Таблица26[[#This Row],[team-2-win]]</f>
        <v>0</v>
      </c>
    </row>
    <row r="242" spans="1:9" x14ac:dyDescent="0.25">
      <c r="A242" t="s">
        <v>56</v>
      </c>
      <c r="B242" t="s">
        <v>33</v>
      </c>
      <c r="C242" t="s">
        <v>63</v>
      </c>
      <c r="D24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2" t="s">
        <v>48</v>
      </c>
      <c r="F242" t="s">
        <v>43</v>
      </c>
      <c r="G242" t="s">
        <v>38</v>
      </c>
      <c r="H24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2" s="20">
        <f>Таблица26[[#This Row],[team-1-win]]+Таблица26[[#This Row],[team-2-win]]</f>
        <v>0</v>
      </c>
    </row>
    <row r="243" spans="1:9" x14ac:dyDescent="0.25">
      <c r="A243" t="s">
        <v>56</v>
      </c>
      <c r="B243" t="s">
        <v>33</v>
      </c>
      <c r="C243" t="s">
        <v>63</v>
      </c>
      <c r="D24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3" t="s">
        <v>48</v>
      </c>
      <c r="F243" t="s">
        <v>45</v>
      </c>
      <c r="G243" t="s">
        <v>38</v>
      </c>
      <c r="H24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3" s="20">
        <f>Таблица26[[#This Row],[team-1-win]]+Таблица26[[#This Row],[team-2-win]]</f>
        <v>0</v>
      </c>
    </row>
    <row r="244" spans="1:9" x14ac:dyDescent="0.25">
      <c r="A244" t="s">
        <v>56</v>
      </c>
      <c r="B244" t="s">
        <v>33</v>
      </c>
      <c r="C244" t="s">
        <v>63</v>
      </c>
      <c r="D24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4" t="s">
        <v>43</v>
      </c>
      <c r="F244" t="s">
        <v>45</v>
      </c>
      <c r="G244" t="s">
        <v>38</v>
      </c>
      <c r="H24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4" s="20">
        <f>Таблица26[[#This Row],[team-1-win]]+Таблица26[[#This Row],[team-2-win]]</f>
        <v>0</v>
      </c>
    </row>
    <row r="245" spans="1:9" x14ac:dyDescent="0.25">
      <c r="A245" t="s">
        <v>56</v>
      </c>
      <c r="B245" t="s">
        <v>33</v>
      </c>
      <c r="C245" t="s">
        <v>38</v>
      </c>
      <c r="D24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5" t="s">
        <v>48</v>
      </c>
      <c r="F245" t="s">
        <v>43</v>
      </c>
      <c r="G245" t="s">
        <v>45</v>
      </c>
      <c r="H24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5" s="20">
        <f>Таблица26[[#This Row],[team-1-win]]+Таблица26[[#This Row],[team-2-win]]</f>
        <v>0</v>
      </c>
    </row>
    <row r="246" spans="1:9" x14ac:dyDescent="0.25">
      <c r="A246" t="s">
        <v>56</v>
      </c>
      <c r="B246" t="s">
        <v>33</v>
      </c>
      <c r="C246" t="s">
        <v>38</v>
      </c>
      <c r="D24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6" t="s">
        <v>48</v>
      </c>
      <c r="F246" t="s">
        <v>43</v>
      </c>
      <c r="G246" t="s">
        <v>63</v>
      </c>
      <c r="H24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6" s="20">
        <f>Таблица26[[#This Row],[team-1-win]]+Таблица26[[#This Row],[team-2-win]]</f>
        <v>0</v>
      </c>
    </row>
    <row r="247" spans="1:9" x14ac:dyDescent="0.25">
      <c r="A247" t="s">
        <v>56</v>
      </c>
      <c r="B247" t="s">
        <v>33</v>
      </c>
      <c r="C247" t="s">
        <v>38</v>
      </c>
      <c r="D24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7" t="s">
        <v>48</v>
      </c>
      <c r="F247" t="s">
        <v>45</v>
      </c>
      <c r="G247" t="s">
        <v>63</v>
      </c>
      <c r="H24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7" s="20">
        <f>Таблица26[[#This Row],[team-1-win]]+Таблица26[[#This Row],[team-2-win]]</f>
        <v>0</v>
      </c>
    </row>
    <row r="248" spans="1:9" x14ac:dyDescent="0.25">
      <c r="A248" t="s">
        <v>56</v>
      </c>
      <c r="B248" t="s">
        <v>33</v>
      </c>
      <c r="C248" t="s">
        <v>38</v>
      </c>
      <c r="D24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8" t="s">
        <v>43</v>
      </c>
      <c r="F248" t="s">
        <v>45</v>
      </c>
      <c r="G248" t="s">
        <v>63</v>
      </c>
      <c r="H24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8" s="20">
        <f>Таблица26[[#This Row],[team-1-win]]+Таблица26[[#This Row],[team-2-win]]</f>
        <v>0</v>
      </c>
    </row>
    <row r="249" spans="1:9" x14ac:dyDescent="0.25">
      <c r="A249" t="s">
        <v>56</v>
      </c>
      <c r="B249" t="s">
        <v>43</v>
      </c>
      <c r="C249" t="s">
        <v>45</v>
      </c>
      <c r="D24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9" t="s">
        <v>48</v>
      </c>
      <c r="F249" t="s">
        <v>33</v>
      </c>
      <c r="G249" t="s">
        <v>63</v>
      </c>
      <c r="H24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9" s="20">
        <f>Таблица26[[#This Row],[team-1-win]]+Таблица26[[#This Row],[team-2-win]]</f>
        <v>0</v>
      </c>
    </row>
    <row r="250" spans="1:9" x14ac:dyDescent="0.25">
      <c r="A250" t="s">
        <v>56</v>
      </c>
      <c r="B250" t="s">
        <v>43</v>
      </c>
      <c r="C250" t="s">
        <v>45</v>
      </c>
      <c r="D25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0" t="s">
        <v>48</v>
      </c>
      <c r="F250" t="s">
        <v>33</v>
      </c>
      <c r="G250" t="s">
        <v>38</v>
      </c>
      <c r="H25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0" s="20">
        <f>Таблица26[[#This Row],[team-1-win]]+Таблица26[[#This Row],[team-2-win]]</f>
        <v>0</v>
      </c>
    </row>
    <row r="251" spans="1:9" x14ac:dyDescent="0.25">
      <c r="A251" t="s">
        <v>56</v>
      </c>
      <c r="B251" t="s">
        <v>43</v>
      </c>
      <c r="C251" t="s">
        <v>45</v>
      </c>
      <c r="D25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1" t="s">
        <v>48</v>
      </c>
      <c r="F251" t="s">
        <v>63</v>
      </c>
      <c r="G251" t="s">
        <v>38</v>
      </c>
      <c r="H25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1" s="20">
        <f>Таблица26[[#This Row],[team-1-win]]+Таблица26[[#This Row],[team-2-win]]</f>
        <v>0</v>
      </c>
    </row>
    <row r="252" spans="1:9" x14ac:dyDescent="0.25">
      <c r="A252" t="s">
        <v>56</v>
      </c>
      <c r="B252" t="s">
        <v>43</v>
      </c>
      <c r="C252" t="s">
        <v>45</v>
      </c>
      <c r="D25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2" t="s">
        <v>33</v>
      </c>
      <c r="F252" t="s">
        <v>63</v>
      </c>
      <c r="G252" t="s">
        <v>38</v>
      </c>
      <c r="H25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2" s="20">
        <f>Таблица26[[#This Row],[team-1-win]]+Таблица26[[#This Row],[team-2-win]]</f>
        <v>0</v>
      </c>
    </row>
    <row r="253" spans="1:9" x14ac:dyDescent="0.25">
      <c r="A253" t="s">
        <v>56</v>
      </c>
      <c r="B253" t="s">
        <v>43</v>
      </c>
      <c r="C253" t="s">
        <v>63</v>
      </c>
      <c r="D25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3" t="s">
        <v>48</v>
      </c>
      <c r="F253" t="s">
        <v>33</v>
      </c>
      <c r="G253" t="s">
        <v>45</v>
      </c>
      <c r="H25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3" s="20">
        <f>Таблица26[[#This Row],[team-1-win]]+Таблица26[[#This Row],[team-2-win]]</f>
        <v>0</v>
      </c>
    </row>
    <row r="254" spans="1:9" x14ac:dyDescent="0.25">
      <c r="A254" t="s">
        <v>56</v>
      </c>
      <c r="B254" t="s">
        <v>43</v>
      </c>
      <c r="C254" t="s">
        <v>63</v>
      </c>
      <c r="D25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4" t="s">
        <v>48</v>
      </c>
      <c r="F254" t="s">
        <v>33</v>
      </c>
      <c r="G254" t="s">
        <v>38</v>
      </c>
      <c r="H25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4" s="20">
        <f>Таблица26[[#This Row],[team-1-win]]+Таблица26[[#This Row],[team-2-win]]</f>
        <v>0</v>
      </c>
    </row>
    <row r="255" spans="1:9" x14ac:dyDescent="0.25">
      <c r="A255" t="s">
        <v>56</v>
      </c>
      <c r="B255" t="s">
        <v>43</v>
      </c>
      <c r="C255" t="s">
        <v>63</v>
      </c>
      <c r="D25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5" t="s">
        <v>48</v>
      </c>
      <c r="F255" t="s">
        <v>45</v>
      </c>
      <c r="G255" t="s">
        <v>38</v>
      </c>
      <c r="H25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5" s="20">
        <f>Таблица26[[#This Row],[team-1-win]]+Таблица26[[#This Row],[team-2-win]]</f>
        <v>0</v>
      </c>
    </row>
    <row r="256" spans="1:9" x14ac:dyDescent="0.25">
      <c r="A256" t="s">
        <v>56</v>
      </c>
      <c r="B256" t="s">
        <v>43</v>
      </c>
      <c r="C256" t="s">
        <v>63</v>
      </c>
      <c r="D25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6" t="s">
        <v>33</v>
      </c>
      <c r="F256" t="s">
        <v>45</v>
      </c>
      <c r="G256" t="s">
        <v>38</v>
      </c>
      <c r="H25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6" s="20">
        <f>Таблица26[[#This Row],[team-1-win]]+Таблица26[[#This Row],[team-2-win]]</f>
        <v>0</v>
      </c>
    </row>
    <row r="257" spans="1:9" x14ac:dyDescent="0.25">
      <c r="A257" t="s">
        <v>56</v>
      </c>
      <c r="B257" t="s">
        <v>43</v>
      </c>
      <c r="C257" t="s">
        <v>38</v>
      </c>
      <c r="D25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7" t="s">
        <v>48</v>
      </c>
      <c r="F257" t="s">
        <v>33</v>
      </c>
      <c r="G257" t="s">
        <v>45</v>
      </c>
      <c r="H25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7" s="20">
        <f>Таблица26[[#This Row],[team-1-win]]+Таблица26[[#This Row],[team-2-win]]</f>
        <v>0</v>
      </c>
    </row>
    <row r="258" spans="1:9" x14ac:dyDescent="0.25">
      <c r="A258" t="s">
        <v>56</v>
      </c>
      <c r="B258" t="s">
        <v>43</v>
      </c>
      <c r="C258" t="s">
        <v>38</v>
      </c>
      <c r="D25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8" t="s">
        <v>48</v>
      </c>
      <c r="F258" t="s">
        <v>33</v>
      </c>
      <c r="G258" t="s">
        <v>63</v>
      </c>
      <c r="H25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8" s="20">
        <f>Таблица26[[#This Row],[team-1-win]]+Таблица26[[#This Row],[team-2-win]]</f>
        <v>0</v>
      </c>
    </row>
    <row r="259" spans="1:9" x14ac:dyDescent="0.25">
      <c r="A259" t="s">
        <v>56</v>
      </c>
      <c r="B259" t="s">
        <v>43</v>
      </c>
      <c r="C259" t="s">
        <v>38</v>
      </c>
      <c r="D25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9" t="s">
        <v>48</v>
      </c>
      <c r="F259" t="s">
        <v>45</v>
      </c>
      <c r="G259" t="s">
        <v>63</v>
      </c>
      <c r="H25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9" s="20">
        <f>Таблица26[[#This Row],[team-1-win]]+Таблица26[[#This Row],[team-2-win]]</f>
        <v>0</v>
      </c>
    </row>
    <row r="260" spans="1:9" x14ac:dyDescent="0.25">
      <c r="A260" t="s">
        <v>56</v>
      </c>
      <c r="B260" t="s">
        <v>43</v>
      </c>
      <c r="C260" t="s">
        <v>38</v>
      </c>
      <c r="D26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0" t="s">
        <v>33</v>
      </c>
      <c r="F260" t="s">
        <v>45</v>
      </c>
      <c r="G260" t="s">
        <v>63</v>
      </c>
      <c r="H26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0" s="20">
        <f>Таблица26[[#This Row],[team-1-win]]+Таблица26[[#This Row],[team-2-win]]</f>
        <v>0</v>
      </c>
    </row>
    <row r="261" spans="1:9" x14ac:dyDescent="0.25">
      <c r="A261" t="s">
        <v>56</v>
      </c>
      <c r="B261" t="s">
        <v>45</v>
      </c>
      <c r="C261" t="s">
        <v>63</v>
      </c>
      <c r="D26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1" t="s">
        <v>48</v>
      </c>
      <c r="F261" t="s">
        <v>33</v>
      </c>
      <c r="G261" t="s">
        <v>43</v>
      </c>
      <c r="H26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1" s="20">
        <f>Таблица26[[#This Row],[team-1-win]]+Таблица26[[#This Row],[team-2-win]]</f>
        <v>0</v>
      </c>
    </row>
    <row r="262" spans="1:9" x14ac:dyDescent="0.25">
      <c r="A262" t="s">
        <v>56</v>
      </c>
      <c r="B262" t="s">
        <v>45</v>
      </c>
      <c r="C262" t="s">
        <v>63</v>
      </c>
      <c r="D26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2" t="s">
        <v>48</v>
      </c>
      <c r="F262" t="s">
        <v>33</v>
      </c>
      <c r="G262" t="s">
        <v>38</v>
      </c>
      <c r="H26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2" s="20">
        <f>Таблица26[[#This Row],[team-1-win]]+Таблица26[[#This Row],[team-2-win]]</f>
        <v>0</v>
      </c>
    </row>
    <row r="263" spans="1:9" x14ac:dyDescent="0.25">
      <c r="A263" t="s">
        <v>56</v>
      </c>
      <c r="B263" t="s">
        <v>45</v>
      </c>
      <c r="C263" t="s">
        <v>63</v>
      </c>
      <c r="D26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3" t="s">
        <v>48</v>
      </c>
      <c r="F263" t="s">
        <v>43</v>
      </c>
      <c r="G263" t="s">
        <v>38</v>
      </c>
      <c r="H26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3" s="20">
        <f>Таблица26[[#This Row],[team-1-win]]+Таблица26[[#This Row],[team-2-win]]</f>
        <v>0</v>
      </c>
    </row>
    <row r="264" spans="1:9" x14ac:dyDescent="0.25">
      <c r="A264" t="s">
        <v>56</v>
      </c>
      <c r="B264" t="s">
        <v>45</v>
      </c>
      <c r="C264" t="s">
        <v>63</v>
      </c>
      <c r="D26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4" t="s">
        <v>33</v>
      </c>
      <c r="F264" t="s">
        <v>43</v>
      </c>
      <c r="G264" t="s">
        <v>38</v>
      </c>
      <c r="H26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4" s="20">
        <f>Таблица26[[#This Row],[team-1-win]]+Таблица26[[#This Row],[team-2-win]]</f>
        <v>0</v>
      </c>
    </row>
    <row r="265" spans="1:9" x14ac:dyDescent="0.25">
      <c r="A265" t="s">
        <v>56</v>
      </c>
      <c r="B265" t="s">
        <v>45</v>
      </c>
      <c r="C265" t="s">
        <v>38</v>
      </c>
      <c r="D26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5" t="s">
        <v>48</v>
      </c>
      <c r="F265" t="s">
        <v>33</v>
      </c>
      <c r="G265" t="s">
        <v>43</v>
      </c>
      <c r="H26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5" s="20">
        <f>Таблица26[[#This Row],[team-1-win]]+Таблица26[[#This Row],[team-2-win]]</f>
        <v>0</v>
      </c>
    </row>
    <row r="266" spans="1:9" x14ac:dyDescent="0.25">
      <c r="A266" t="s">
        <v>56</v>
      </c>
      <c r="B266" t="s">
        <v>45</v>
      </c>
      <c r="C266" t="s">
        <v>38</v>
      </c>
      <c r="D26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6" t="s">
        <v>48</v>
      </c>
      <c r="F266" t="s">
        <v>33</v>
      </c>
      <c r="G266" t="s">
        <v>63</v>
      </c>
      <c r="H26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6" s="20">
        <f>Таблица26[[#This Row],[team-1-win]]+Таблица26[[#This Row],[team-2-win]]</f>
        <v>0</v>
      </c>
    </row>
    <row r="267" spans="1:9" x14ac:dyDescent="0.25">
      <c r="A267" t="s">
        <v>56</v>
      </c>
      <c r="B267" t="s">
        <v>45</v>
      </c>
      <c r="C267" t="s">
        <v>38</v>
      </c>
      <c r="D26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7" t="s">
        <v>48</v>
      </c>
      <c r="F267" t="s">
        <v>43</v>
      </c>
      <c r="G267" t="s">
        <v>63</v>
      </c>
      <c r="H26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7" s="20">
        <f>Таблица26[[#This Row],[team-1-win]]+Таблица26[[#This Row],[team-2-win]]</f>
        <v>0</v>
      </c>
    </row>
    <row r="268" spans="1:9" x14ac:dyDescent="0.25">
      <c r="A268" t="s">
        <v>56</v>
      </c>
      <c r="B268" t="s">
        <v>45</v>
      </c>
      <c r="C268" t="s">
        <v>38</v>
      </c>
      <c r="D26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8" t="s">
        <v>33</v>
      </c>
      <c r="F268" t="s">
        <v>43</v>
      </c>
      <c r="G268" t="s">
        <v>63</v>
      </c>
      <c r="H26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8" s="20">
        <f>Таблица26[[#This Row],[team-1-win]]+Таблица26[[#This Row],[team-2-win]]</f>
        <v>0</v>
      </c>
    </row>
    <row r="269" spans="1:9" x14ac:dyDescent="0.25">
      <c r="A269" t="s">
        <v>56</v>
      </c>
      <c r="B269" t="s">
        <v>63</v>
      </c>
      <c r="C269" t="s">
        <v>38</v>
      </c>
      <c r="D26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9" t="s">
        <v>48</v>
      </c>
      <c r="F269" t="s">
        <v>33</v>
      </c>
      <c r="G269" t="s">
        <v>43</v>
      </c>
      <c r="H26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9" s="20">
        <f>Таблица26[[#This Row],[team-1-win]]+Таблица26[[#This Row],[team-2-win]]</f>
        <v>0</v>
      </c>
    </row>
    <row r="270" spans="1:9" x14ac:dyDescent="0.25">
      <c r="A270" t="s">
        <v>56</v>
      </c>
      <c r="B270" t="s">
        <v>63</v>
      </c>
      <c r="C270" t="s">
        <v>38</v>
      </c>
      <c r="D27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0" t="s">
        <v>48</v>
      </c>
      <c r="F270" t="s">
        <v>33</v>
      </c>
      <c r="G270" t="s">
        <v>45</v>
      </c>
      <c r="H27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0" s="20">
        <f>Таблица26[[#This Row],[team-1-win]]+Таблица26[[#This Row],[team-2-win]]</f>
        <v>0</v>
      </c>
    </row>
    <row r="271" spans="1:9" x14ac:dyDescent="0.25">
      <c r="A271" t="s">
        <v>56</v>
      </c>
      <c r="B271" t="s">
        <v>63</v>
      </c>
      <c r="C271" t="s">
        <v>38</v>
      </c>
      <c r="D27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1" t="s">
        <v>48</v>
      </c>
      <c r="F271" t="s">
        <v>43</v>
      </c>
      <c r="G271" t="s">
        <v>45</v>
      </c>
      <c r="H27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1" s="20">
        <f>Таблица26[[#This Row],[team-1-win]]+Таблица26[[#This Row],[team-2-win]]</f>
        <v>0</v>
      </c>
    </row>
    <row r="272" spans="1:9" x14ac:dyDescent="0.25">
      <c r="A272" t="s">
        <v>56</v>
      </c>
      <c r="B272" t="s">
        <v>63</v>
      </c>
      <c r="C272" t="s">
        <v>38</v>
      </c>
      <c r="D27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2" t="s">
        <v>33</v>
      </c>
      <c r="F272" t="s">
        <v>43</v>
      </c>
      <c r="G272" t="s">
        <v>45</v>
      </c>
      <c r="H27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2" s="20">
        <f>Таблица26[[#This Row],[team-1-win]]+Таблица26[[#This Row],[team-2-win]]</f>
        <v>0</v>
      </c>
    </row>
    <row r="273" spans="1:9" x14ac:dyDescent="0.25">
      <c r="A273" t="s">
        <v>48</v>
      </c>
      <c r="B273" t="s">
        <v>33</v>
      </c>
      <c r="C273" t="s">
        <v>43</v>
      </c>
      <c r="D27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3" t="s">
        <v>45</v>
      </c>
      <c r="F273" t="s">
        <v>63</v>
      </c>
      <c r="G273" t="s">
        <v>38</v>
      </c>
      <c r="H27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3" s="20">
        <f>Таблица26[[#This Row],[team-1-win]]+Таблица26[[#This Row],[team-2-win]]</f>
        <v>0</v>
      </c>
    </row>
    <row r="274" spans="1:9" x14ac:dyDescent="0.25">
      <c r="A274" t="s">
        <v>48</v>
      </c>
      <c r="B274" t="s">
        <v>33</v>
      </c>
      <c r="C274" t="s">
        <v>45</v>
      </c>
      <c r="D27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4" t="s">
        <v>43</v>
      </c>
      <c r="F274" t="s">
        <v>63</v>
      </c>
      <c r="G274" t="s">
        <v>38</v>
      </c>
      <c r="H27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4" s="20">
        <f>Таблица26[[#This Row],[team-1-win]]+Таблица26[[#This Row],[team-2-win]]</f>
        <v>0</v>
      </c>
    </row>
    <row r="275" spans="1:9" x14ac:dyDescent="0.25">
      <c r="A275" t="s">
        <v>48</v>
      </c>
      <c r="B275" t="s">
        <v>33</v>
      </c>
      <c r="C275" t="s">
        <v>63</v>
      </c>
      <c r="D27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5" t="s">
        <v>43</v>
      </c>
      <c r="F275" t="s">
        <v>45</v>
      </c>
      <c r="G275" t="s">
        <v>38</v>
      </c>
      <c r="H27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5" s="20">
        <f>Таблица26[[#This Row],[team-1-win]]+Таблица26[[#This Row],[team-2-win]]</f>
        <v>0</v>
      </c>
    </row>
    <row r="276" spans="1:9" x14ac:dyDescent="0.25">
      <c r="A276" t="s">
        <v>48</v>
      </c>
      <c r="B276" t="s">
        <v>33</v>
      </c>
      <c r="C276" t="s">
        <v>38</v>
      </c>
      <c r="D27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6" t="s">
        <v>43</v>
      </c>
      <c r="F276" t="s">
        <v>45</v>
      </c>
      <c r="G276" t="s">
        <v>63</v>
      </c>
      <c r="H27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6" s="20">
        <f>Таблица26[[#This Row],[team-1-win]]+Таблица26[[#This Row],[team-2-win]]</f>
        <v>0</v>
      </c>
    </row>
    <row r="277" spans="1:9" x14ac:dyDescent="0.25">
      <c r="A277" t="s">
        <v>48</v>
      </c>
      <c r="B277" t="s">
        <v>43</v>
      </c>
      <c r="C277" t="s">
        <v>45</v>
      </c>
      <c r="D27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7" t="s">
        <v>33</v>
      </c>
      <c r="F277" t="s">
        <v>63</v>
      </c>
      <c r="G277" t="s">
        <v>38</v>
      </c>
      <c r="H27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7" s="20">
        <f>Таблица26[[#This Row],[team-1-win]]+Таблица26[[#This Row],[team-2-win]]</f>
        <v>0</v>
      </c>
    </row>
    <row r="278" spans="1:9" x14ac:dyDescent="0.25">
      <c r="A278" t="s">
        <v>48</v>
      </c>
      <c r="B278" t="s">
        <v>43</v>
      </c>
      <c r="C278" t="s">
        <v>63</v>
      </c>
      <c r="D27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8" t="s">
        <v>33</v>
      </c>
      <c r="F278" t="s">
        <v>45</v>
      </c>
      <c r="G278" t="s">
        <v>38</v>
      </c>
      <c r="H27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8" s="20">
        <f>Таблица26[[#This Row],[team-1-win]]+Таблица26[[#This Row],[team-2-win]]</f>
        <v>0</v>
      </c>
    </row>
    <row r="279" spans="1:9" x14ac:dyDescent="0.25">
      <c r="A279" t="s">
        <v>48</v>
      </c>
      <c r="B279" t="s">
        <v>43</v>
      </c>
      <c r="C279" t="s">
        <v>38</v>
      </c>
      <c r="D27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9" t="s">
        <v>33</v>
      </c>
      <c r="F279" t="s">
        <v>45</v>
      </c>
      <c r="G279" t="s">
        <v>63</v>
      </c>
      <c r="H27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9" s="20">
        <f>Таблица26[[#This Row],[team-1-win]]+Таблица26[[#This Row],[team-2-win]]</f>
        <v>0</v>
      </c>
    </row>
    <row r="280" spans="1:9" x14ac:dyDescent="0.25">
      <c r="A280" t="s">
        <v>48</v>
      </c>
      <c r="B280" t="s">
        <v>45</v>
      </c>
      <c r="C280" t="s">
        <v>63</v>
      </c>
      <c r="D28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80" t="s">
        <v>33</v>
      </c>
      <c r="F280" t="s">
        <v>43</v>
      </c>
      <c r="G280" t="s">
        <v>38</v>
      </c>
      <c r="H28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80" s="20">
        <f>Таблица26[[#This Row],[team-1-win]]+Таблица26[[#This Row],[team-2-win]]</f>
        <v>0</v>
      </c>
    </row>
    <row r="281" spans="1:9" x14ac:dyDescent="0.25">
      <c r="A281" t="s">
        <v>48</v>
      </c>
      <c r="B281" t="s">
        <v>45</v>
      </c>
      <c r="C281" t="s">
        <v>38</v>
      </c>
      <c r="D28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81" t="s">
        <v>33</v>
      </c>
      <c r="F281" t="s">
        <v>43</v>
      </c>
      <c r="G281" t="s">
        <v>63</v>
      </c>
      <c r="H28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81" s="20">
        <f>Таблица26[[#This Row],[team-1-win]]+Таблица26[[#This Row],[team-2-win]]</f>
        <v>0</v>
      </c>
    </row>
    <row r="282" spans="1:9" x14ac:dyDescent="0.25">
      <c r="A282" t="s">
        <v>48</v>
      </c>
      <c r="B282" t="s">
        <v>63</v>
      </c>
      <c r="C282" t="s">
        <v>38</v>
      </c>
      <c r="D28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82" t="s">
        <v>33</v>
      </c>
      <c r="F282" t="s">
        <v>43</v>
      </c>
      <c r="G282" t="s">
        <v>45</v>
      </c>
      <c r="H28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82" s="20">
        <f>Таблица26[[#This Row],[team-1-win]]+Таблица26[[#This Row],[team-2-win]]</f>
        <v>0</v>
      </c>
    </row>
  </sheetData>
  <mergeCells count="2">
    <mergeCell ref="A1:I1"/>
    <mergeCell ref="K1:P1"/>
  </mergeCells>
  <phoneticPr fontId="3" type="noConversion"/>
  <conditionalFormatting sqref="P3:P58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F885E-AA77-4085-866A-0C5D013A86CB}">
  <dimension ref="A1:D9"/>
  <sheetViews>
    <sheetView workbookViewId="0">
      <selection activeCell="F16" sqref="F16"/>
    </sheetView>
  </sheetViews>
  <sheetFormatPr defaultRowHeight="15" x14ac:dyDescent="0.25"/>
  <cols>
    <col min="1" max="1" width="16" bestFit="1" customWidth="1"/>
    <col min="2" max="2" width="9.42578125" bestFit="1" customWidth="1"/>
    <col min="3" max="3" width="7.42578125" bestFit="1" customWidth="1"/>
    <col min="4" max="4" width="10.85546875" style="3" bestFit="1" customWidth="1"/>
    <col min="7" max="7" width="23.140625" bestFit="1" customWidth="1"/>
    <col min="8" max="8" width="8" bestFit="1" customWidth="1"/>
    <col min="9" max="9" width="7.42578125" bestFit="1" customWidth="1"/>
    <col min="10" max="10" width="18.42578125" bestFit="1" customWidth="1"/>
    <col min="11" max="11" width="15.5703125" bestFit="1" customWidth="1"/>
  </cols>
  <sheetData>
    <row r="1" spans="1:4" x14ac:dyDescent="0.25">
      <c r="A1" t="s">
        <v>123</v>
      </c>
      <c r="B1" t="s">
        <v>58</v>
      </c>
      <c r="C1" t="s">
        <v>79</v>
      </c>
      <c r="D1" s="3" t="s">
        <v>80</v>
      </c>
    </row>
    <row r="2" spans="1:4" x14ac:dyDescent="0.25">
      <c r="A2" t="s">
        <v>53</v>
      </c>
      <c r="B2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191</v>
      </c>
      <c r="C2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140</v>
      </c>
      <c r="D2" s="3">
        <f>Table4[[#This Row],[wins]]/Table4[[#This Row],[battles]]</f>
        <v>0.73298429319371727</v>
      </c>
    </row>
    <row r="3" spans="1:4" x14ac:dyDescent="0.25">
      <c r="A3" t="s">
        <v>56</v>
      </c>
      <c r="B3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183</v>
      </c>
      <c r="C3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100</v>
      </c>
      <c r="D3" s="3">
        <f>Table4[[#This Row],[wins]]/Table4[[#This Row],[battles]]</f>
        <v>0.54644808743169404</v>
      </c>
    </row>
    <row r="4" spans="1:4" x14ac:dyDescent="0.25">
      <c r="A4" t="s">
        <v>48</v>
      </c>
      <c r="B4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171</v>
      </c>
      <c r="C4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77</v>
      </c>
      <c r="D4" s="3">
        <f>Table4[[#This Row],[wins]]/Table4[[#This Row],[battles]]</f>
        <v>0.45029239766081869</v>
      </c>
    </row>
    <row r="5" spans="1:4" x14ac:dyDescent="0.25">
      <c r="A5" t="s">
        <v>33</v>
      </c>
      <c r="B5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164</v>
      </c>
      <c r="C5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72</v>
      </c>
      <c r="D5" s="3">
        <f>Table4[[#This Row],[wins]]/Table4[[#This Row],[battles]]</f>
        <v>0.43902439024390244</v>
      </c>
    </row>
    <row r="6" spans="1:4" x14ac:dyDescent="0.25">
      <c r="A6" t="s">
        <v>43</v>
      </c>
      <c r="B6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164</v>
      </c>
      <c r="C6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77</v>
      </c>
      <c r="D6" s="3">
        <f>Table4[[#This Row],[wins]]/Table4[[#This Row],[battles]]</f>
        <v>0.46951219512195119</v>
      </c>
    </row>
    <row r="7" spans="1:4" x14ac:dyDescent="0.25">
      <c r="A7" t="s">
        <v>45</v>
      </c>
      <c r="B7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163</v>
      </c>
      <c r="C7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58</v>
      </c>
      <c r="D7" s="3">
        <f>Table4[[#This Row],[wins]]/Table4[[#This Row],[battles]]</f>
        <v>0.35582822085889571</v>
      </c>
    </row>
    <row r="8" spans="1:4" x14ac:dyDescent="0.25">
      <c r="A8" t="s">
        <v>63</v>
      </c>
      <c r="B8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160</v>
      </c>
      <c r="C8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66</v>
      </c>
      <c r="D8" s="3">
        <f>Table4[[#This Row],[wins]]/Table4[[#This Row],[battles]]</f>
        <v>0.41249999999999998</v>
      </c>
    </row>
    <row r="9" spans="1:4" x14ac:dyDescent="0.25">
      <c r="A9" t="s">
        <v>38</v>
      </c>
      <c r="B9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160</v>
      </c>
      <c r="C9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88</v>
      </c>
      <c r="D9" s="3">
        <f>Table4[[#This Row],[wins]]/Table4[[#This Row],[battles]]</f>
        <v>0.55000000000000004</v>
      </c>
    </row>
  </sheetData>
  <conditionalFormatting sqref="D2:D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B0B43-A2BB-4CF9-9C6C-55527BC15CFA}">
  <dimension ref="A1:J19"/>
  <sheetViews>
    <sheetView workbookViewId="0">
      <selection activeCell="B20" sqref="B20"/>
    </sheetView>
  </sheetViews>
  <sheetFormatPr defaultRowHeight="15" x14ac:dyDescent="0.25"/>
  <cols>
    <col min="1" max="1" width="23.1406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8.140625" bestFit="1" customWidth="1"/>
    <col min="9" max="9" width="8.7109375" bestFit="1" customWidth="1"/>
    <col min="10" max="10" width="12.85546875" bestFit="1" customWidth="1"/>
  </cols>
  <sheetData>
    <row r="1" spans="1:10" x14ac:dyDescent="0.25">
      <c r="A1" t="s">
        <v>130</v>
      </c>
      <c r="B1" t="s">
        <v>131</v>
      </c>
      <c r="C1" t="s">
        <v>79</v>
      </c>
      <c r="D1" s="3" t="s">
        <v>138</v>
      </c>
      <c r="E1" s="3" t="s">
        <v>139</v>
      </c>
      <c r="G1" t="s">
        <v>336</v>
      </c>
      <c r="H1" t="s">
        <v>337</v>
      </c>
      <c r="I1" t="s">
        <v>338</v>
      </c>
      <c r="J1" t="s">
        <v>339</v>
      </c>
    </row>
    <row r="2" spans="1:10" x14ac:dyDescent="0.25">
      <c r="A2" t="s">
        <v>54</v>
      </c>
      <c r="B2">
        <f>COUNTIF(Таблица1[winner1-ability1],Table7[[#This Row],[ability]])+COUNTIF(Таблица1[winner2-ability1],Table7[[#This Row],[ability]])+COUNTIF(Таблица1[loser1-ability1],Table7[[#This Row],[ability]])+COUNTIF(Таблица1[loser2-ability1],Table7[[#This Row],[ability]])+COUNTIF(Table41[winner1-ability1],Table7[[#This Row],[ability]])+COUNTIF(Table41[winner2-ability1],Table7[[#This Row],[ability]])+COUNTIF(Table41[winner3-ability1],Table7[[#This Row],[ability]])+COUNTIF(Table41[loser1-ability1],Table7[[#This Row],[ability]])+COUNTIF(Table41[loser2-ability1],Table7[[#This Row],[ability]])+COUNTIF(Table41[loser3-ability1],Table7[[#This Row],[ability]])</f>
        <v>191</v>
      </c>
      <c r="C2">
        <f>COUNTIF(Таблица1[winner1-ability1],Table7[[#This Row],[ability]])+COUNTIF(Таблица1[winner2-ability1],Table7[[#This Row],[ability]])+COUNTIF(Table41[winner1-ability1],Table7[[#This Row],[ability]])+COUNTIF(Table41[winner2-ability1],Table7[[#This Row],[ability]])+COUNTIF(Table41[winner3-ability1],Table7[[#This Row],[ability]])</f>
        <v>140</v>
      </c>
      <c r="D2" s="3">
        <f>IF(SUM(Table7[[#This Row],[takes]]) &gt; 0,Table7[[#This Row],[takes]]/SUM(Table7[takes]),0)</f>
        <v>1</v>
      </c>
      <c r="E2" s="3">
        <f>IF(Table7[[#This Row],[takes]]&gt;0,Table7[[#This Row],[wins]]/Table7[[#This Row],[takes]],0)</f>
        <v>0.73298429319371727</v>
      </c>
      <c r="G2">
        <v>1</v>
      </c>
      <c r="H2">
        <f>COUNTIFS(Таблица1[winner1],"paragon",Таблица1[winner1-pw],Table42[[#This Row],[level]])+COUNTIFS(Таблица1[winner2],"paragon",Таблица1[winner2-pw],Table42[[#This Row],[level]])+COUNTIFS(Таблица1[loser1],"paragon",Таблица1[loser1-pw],Table42[[#This Row],[level]])+COUNTIFS(Таблица1[loser2],"paragon",Таблица1[loser2-pw],Table42[[#This Row],[level]])+COUNTIFS(Table41[winner1],"paragon",Table41[winner1-pw],Table42[[#This Row],[level]])+COUNTIFS(Table41[winner2],"paragon",Table41[winner2-pw],Table42[[#This Row],[level]])+COUNTIFS(Table41[winner3],"paragon",Table41[winner3-pw],Table42[[#This Row],[level]])+COUNTIFS(Table41[loser1],"paragon",Table41[loser1-pw],Table42[[#This Row],[level]])+COUNTIFS(Table41[loser2],"paragon",Table41[loser2-pw],Table42[[#This Row],[level]])+COUNTIFS(Table41[loser3],"paragon",Table41[loser3-pw],Table42[[#This Row],[level]])</f>
        <v>33</v>
      </c>
      <c r="I2">
        <f>COUNTIFS(Таблица1[winner1],"paragon",Таблица1[winner1-sw],Table42[[#This Row],[level]])+COUNTIFS(Таблица1[winner2],"paragon",Таблица1[winner2-sw],Table42[[#This Row],[level]])+COUNTIFS(Таблица1[loser1],"paragon",Таблица1[loser1-sw],Table42[[#This Row],[level]])+COUNTIFS(Таблица1[loser2],"paragon",Таблица1[loser2-sw],Table42[[#This Row],[level]])+COUNTIFS(Table41[winner1],"paragon",Table41[winner1-sw],Table42[[#This Row],[level]])+COUNTIFS(Table41[winner2],"paragon",Table41[winner2-sw],Table42[[#This Row],[level]])+COUNTIFS(Table41[winner3],"paragon",Table41[winner3-sw],Table42[[#This Row],[level]])+COUNTIFS(Table41[loser1],"paragon",Table41[loser1-sw],Table42[[#This Row],[level]])+COUNTIFS(Table41[loser2],"paragon",Table41[loser2-sw],Table42[[#This Row],[level]])+COUNTIFS(Table41[loser3],"paragon",Table41[loser3-sw],Table42[[#This Row],[level]])</f>
        <v>180</v>
      </c>
      <c r="J2">
        <f>COUNTIFS(Таблица1[winner1],"paragon",Таблица1[winner1-cp],Table42[[#This Row],[level]])+COUNTIFS(Таблица1[winner2],"paragon",Таблица1[winner2-cp],Table42[[#This Row],[level]])+COUNTIFS(Таблица1[loser1],"paragon",Таблица1[loser1-cp],Table42[[#This Row],[level]])+COUNTIFS(Таблица1[loser2],"paragon",Таблица1[loser2-cp],Table42[[#This Row],[level]])+COUNTIFS(Table41[winner1],"paragon",Table41[winner1-cp],Table42[[#This Row],[level]])+COUNTIFS(Table41[winner2],"paragon",Table41[winner2-cp],Table42[[#This Row],[level]])+COUNTIFS(Table41[winner3],"paragon",Table41[winner3-cp],Table42[[#This Row],[level]])+COUNTIFS(Table41[loser1],"paragon",Table41[loser1-cp],Table42[[#This Row],[level]])+COUNTIFS(Table41[loser2],"paragon",Table41[loser2-cp],Table42[[#This Row],[level]])+COUNTIFS(Table41[loser3],"paragon",Table41[loser3-cp],Table42[[#This Row],[level]])</f>
        <v>150</v>
      </c>
    </row>
    <row r="3" spans="1:10" x14ac:dyDescent="0.25">
      <c r="A3" t="s">
        <v>132</v>
      </c>
      <c r="B3">
        <f>COUNTIF(Таблица1[winner1-ability1],Table7[[#This Row],[ability]])+COUNTIF(Таблица1[winner2-ability1],Table7[[#This Row],[ability]])+COUNTIF(Таблица1[loser1-ability1],Table7[[#This Row],[ability]])+COUNTIF(Таблица1[loser2-ability1],Table7[[#This Row],[ability]])+COUNTIF(Table41[winner1-ability1],Table7[[#This Row],[ability]])+COUNTIF(Table41[winner2-ability1],Table7[[#This Row],[ability]])+COUNTIF(Table41[winner3-ability1],Table7[[#This Row],[ability]])+COUNTIF(Table41[loser1-ability1],Table7[[#This Row],[ability]])+COUNTIF(Table41[loser2-ability1],Table7[[#This Row],[ability]])+COUNTIF(Table41[loser3-ability1],Table7[[#This Row],[ability]])</f>
        <v>0</v>
      </c>
      <c r="C3">
        <f>COUNTIF(Таблица1[winner1-ability1],Table7[[#This Row],[ability]])+COUNTIF(Таблица1[winner2-ability1],Table7[[#This Row],[ability]])+COUNTIF(Table41[winner1-ability1],Table7[[#This Row],[ability]])+COUNTIF(Table41[winner2-ability1],Table7[[#This Row],[ability]])+COUNTIF(Table41[winner3-ability1],Table7[[#This Row],[ability]])</f>
        <v>0</v>
      </c>
      <c r="D3" s="3">
        <f>IF(SUM(Table7[[#This Row],[takes]]) &gt; 0,Table7[[#This Row],[takes]]/SUM(Table7[takes]),0)</f>
        <v>0</v>
      </c>
      <c r="E3" s="3">
        <f>IF(Table7[[#This Row],[takes]]&gt;0,Table7[[#This Row],[wins]]/Table7[[#This Row],[takes]],0)</f>
        <v>0</v>
      </c>
      <c r="G3">
        <v>2</v>
      </c>
      <c r="H3">
        <f>COUNTIFS(Таблица1[winner1],"paragon",Таблица1[winner1-pw],Table42[[#This Row],[level]])+COUNTIFS(Таблица1[winner2],"paragon",Таблица1[winner2-pw],Table42[[#This Row],[level]])+COUNTIFS(Таблица1[loser1],"paragon",Таблица1[loser1-pw],Table42[[#This Row],[level]])+COUNTIFS(Таблица1[loser2],"paragon",Таблица1[loser2-pw],Table42[[#This Row],[level]])+COUNTIFS(Table41[winner1],"paragon",Table41[winner1-pw],Table42[[#This Row],[level]])+COUNTIFS(Table41[winner2],"paragon",Table41[winner2-pw],Table42[[#This Row],[level]])+COUNTIFS(Table41[winner3],"paragon",Table41[winner3-pw],Table42[[#This Row],[level]])+COUNTIFS(Table41[loser1],"paragon",Table41[loser1-pw],Table42[[#This Row],[level]])+COUNTIFS(Table41[loser2],"paragon",Table41[loser2-pw],Table42[[#This Row],[level]])+COUNTIFS(Table41[loser3],"paragon",Table41[loser3-pw],Table42[[#This Row],[level]])</f>
        <v>105</v>
      </c>
      <c r="I3">
        <f>COUNTIFS(Таблица1[winner1],"paragon",Таблица1[winner1-sw],Table42[[#This Row],[level]])+COUNTIFS(Таблица1[winner2],"paragon",Таблица1[winner2-sw],Table42[[#This Row],[level]])+COUNTIFS(Таблица1[loser1],"paragon",Таблица1[loser1-sw],Table42[[#This Row],[level]])+COUNTIFS(Таблица1[loser2],"paragon",Таблица1[loser2-sw],Table42[[#This Row],[level]])+COUNTIFS(Table41[winner1],"paragon",Table41[winner1-sw],Table42[[#This Row],[level]])+COUNTIFS(Table41[winner2],"paragon",Table41[winner2-sw],Table42[[#This Row],[level]])+COUNTIFS(Table41[winner3],"paragon",Table41[winner3-sw],Table42[[#This Row],[level]])+COUNTIFS(Table41[loser1],"paragon",Table41[loser1-sw],Table42[[#This Row],[level]])+COUNTIFS(Table41[loser2],"paragon",Table41[loser2-sw],Table42[[#This Row],[level]])+COUNTIFS(Table41[loser3],"paragon",Table41[loser3-sw],Table42[[#This Row],[level]])</f>
        <v>9</v>
      </c>
      <c r="J3">
        <f>COUNTIFS(Таблица1[winner1],"paragon",Таблица1[winner1-cp],Table42[[#This Row],[level]])+COUNTIFS(Таблица1[winner2],"paragon",Таблица1[winner2-cp],Table42[[#This Row],[level]])+COUNTIFS(Таблица1[loser1],"paragon",Таблица1[loser1-cp],Table42[[#This Row],[level]])+COUNTIFS(Таблица1[loser2],"paragon",Таблица1[loser2-cp],Table42[[#This Row],[level]])+COUNTIFS(Table41[winner1],"paragon",Table41[winner1-cp],Table42[[#This Row],[level]])+COUNTIFS(Table41[winner2],"paragon",Table41[winner2-cp],Table42[[#This Row],[level]])+COUNTIFS(Table41[winner3],"paragon",Table41[winner3-cp],Table42[[#This Row],[level]])+COUNTIFS(Table41[loser1],"paragon",Table41[loser1-cp],Table42[[#This Row],[level]])+COUNTIFS(Table41[loser2],"paragon",Table41[loser2-cp],Table42[[#This Row],[level]])+COUNTIFS(Table41[loser3],"paragon",Table41[loser3-cp],Table42[[#This Row],[level]])</f>
        <v>32</v>
      </c>
    </row>
    <row r="4" spans="1:10" x14ac:dyDescent="0.25">
      <c r="A4" t="s">
        <v>133</v>
      </c>
      <c r="B4">
        <f>COUNTIF(Таблица1[winner1-ability1],Table7[[#This Row],[ability]])+COUNTIF(Таблица1[winner2-ability1],Table7[[#This Row],[ability]])+COUNTIF(Таблица1[loser1-ability1],Table7[[#This Row],[ability]])+COUNTIF(Таблица1[loser2-ability1],Table7[[#This Row],[ability]])+COUNTIF(Table41[winner1-ability1],Table7[[#This Row],[ability]])+COUNTIF(Table41[winner2-ability1],Table7[[#This Row],[ability]])+COUNTIF(Table41[winner3-ability1],Table7[[#This Row],[ability]])+COUNTIF(Table41[loser1-ability1],Table7[[#This Row],[ability]])+COUNTIF(Table41[loser2-ability1],Table7[[#This Row],[ability]])+COUNTIF(Table41[loser3-ability1],Table7[[#This Row],[ability]])</f>
        <v>0</v>
      </c>
      <c r="C4">
        <f>COUNTIF(Таблица1[winner1-ability1],Table7[[#This Row],[ability]])+COUNTIF(Таблица1[winner2-ability1],Table7[[#This Row],[ability]])+COUNTIF(Table41[winner1-ability1],Table7[[#This Row],[ability]])+COUNTIF(Table41[winner2-ability1],Table7[[#This Row],[ability]])+COUNTIF(Table41[winner3-ability1],Table7[[#This Row],[ability]])</f>
        <v>0</v>
      </c>
      <c r="D4" s="3">
        <f>IF(SUM(Table7[[#This Row],[takes]]) &gt; 0,Table7[[#This Row],[takes]]/SUM(Table7[takes]),0)</f>
        <v>0</v>
      </c>
      <c r="E4" s="3">
        <f>IF(Table7[[#This Row],[takes]]&gt;0,Table7[[#This Row],[wins]]/Table7[[#This Row],[takes]],0)</f>
        <v>0</v>
      </c>
      <c r="G4">
        <v>3</v>
      </c>
      <c r="H4">
        <f>COUNTIFS(Таблица1[winner1],"paragon",Таблица1[winner1-pw],Table42[[#This Row],[level]])+COUNTIFS(Таблица1[winner2],"paragon",Таблица1[winner2-pw],Table42[[#This Row],[level]])+COUNTIFS(Таблица1[loser1],"paragon",Таблица1[loser1-pw],Table42[[#This Row],[level]])+COUNTIFS(Таблица1[loser2],"paragon",Таблица1[loser2-pw],Table42[[#This Row],[level]])+COUNTIFS(Table41[winner1],"paragon",Table41[winner1-pw],Table42[[#This Row],[level]])+COUNTIFS(Table41[winner2],"paragon",Table41[winner2-pw],Table42[[#This Row],[level]])+COUNTIFS(Table41[winner3],"paragon",Table41[winner3-pw],Table42[[#This Row],[level]])+COUNTIFS(Table41[loser1],"paragon",Table41[loser1-pw],Table42[[#This Row],[level]])+COUNTIFS(Table41[loser2],"paragon",Table41[loser2-pw],Table42[[#This Row],[level]])+COUNTIFS(Table41[loser3],"paragon",Table41[loser3-pw],Table42[[#This Row],[level]])</f>
        <v>53</v>
      </c>
      <c r="I4">
        <f>COUNTIFS(Таблица1[winner1],"paragon",Таблица1[winner1-sw],Table42[[#This Row],[level]])+COUNTIFS(Таблица1[winner2],"paragon",Таблица1[winner2-sw],Table42[[#This Row],[level]])+COUNTIFS(Таблица1[loser1],"paragon",Таблица1[loser1-sw],Table42[[#This Row],[level]])+COUNTIFS(Таблица1[loser2],"paragon",Таблица1[loser2-sw],Table42[[#This Row],[level]])+COUNTIFS(Table41[winner1],"paragon",Table41[winner1-sw],Table42[[#This Row],[level]])+COUNTIFS(Table41[winner2],"paragon",Table41[winner2-sw],Table42[[#This Row],[level]])+COUNTIFS(Table41[winner3],"paragon",Table41[winner3-sw],Table42[[#This Row],[level]])+COUNTIFS(Table41[loser1],"paragon",Table41[loser1-sw],Table42[[#This Row],[level]])+COUNTIFS(Table41[loser2],"paragon",Table41[loser2-sw],Table42[[#This Row],[level]])+COUNTIFS(Table41[loser3],"paragon",Table41[loser3-sw],Table42[[#This Row],[level]])</f>
        <v>2</v>
      </c>
      <c r="J4">
        <f>COUNTIFS(Таблица1[winner1],"paragon",Таблица1[winner1-cp],Table42[[#This Row],[level]])+COUNTIFS(Таблица1[winner2],"paragon",Таблица1[winner2-cp],Table42[[#This Row],[level]])+COUNTIFS(Таблица1[loser1],"paragon",Таблица1[loser1-cp],Table42[[#This Row],[level]])+COUNTIFS(Таблица1[loser2],"paragon",Таблица1[loser2-cp],Table42[[#This Row],[level]])+COUNTIFS(Table41[winner1],"paragon",Table41[winner1-cp],Table42[[#This Row],[level]])+COUNTIFS(Table41[winner2],"paragon",Table41[winner2-cp],Table42[[#This Row],[level]])+COUNTIFS(Table41[winner3],"paragon",Table41[winner3-cp],Table42[[#This Row],[level]])+COUNTIFS(Table41[loser1],"paragon",Table41[loser1-cp],Table42[[#This Row],[level]])+COUNTIFS(Table41[loser2],"paragon",Table41[loser2-cp],Table42[[#This Row],[level]])+COUNTIFS(Table41[loser3],"paragon",Table41[loser3-cp],Table42[[#This Row],[level]])</f>
        <v>9</v>
      </c>
    </row>
    <row r="6" spans="1:10" x14ac:dyDescent="0.25">
      <c r="A6" s="11" t="s">
        <v>130</v>
      </c>
      <c r="B6" s="12" t="s">
        <v>131</v>
      </c>
      <c r="C6" s="12" t="s">
        <v>79</v>
      </c>
      <c r="D6" s="13" t="s">
        <v>138</v>
      </c>
      <c r="E6" s="13" t="s">
        <v>139</v>
      </c>
    </row>
    <row r="7" spans="1:10" x14ac:dyDescent="0.25">
      <c r="A7" s="2" t="s">
        <v>55</v>
      </c>
      <c r="B7" s="2">
        <f>COUNTIF(Таблица1[winner1-ability2],Table8[[#This Row],[ability]])+COUNTIF(Таблица1[winner2-ability2],Table8[[#This Row],[ability]])+COUNTIF(Таблица1[loser1-ability2],Table8[[#This Row],[ability]])+COUNTIF(Таблица1[loser2-ability2],Table8[[#This Row],[ability]])+COUNTIF(Table41[winner1-ability2],Table8[[#This Row],[ability]])+COUNTIF(Table41[winner2-ability2],Table8[[#This Row],[ability]])+COUNTIF(Table41[winner3-ability2],Table8[[#This Row],[ability]])+COUNTIF(Table41[loser1-ability2],Table8[[#This Row],[ability]])+COUNTIF(Table41[loser2-ability2],Table8[[#This Row],[ability]])+COUNTIF(Table41[loser3-ability2],Table8[[#This Row],[ability]])</f>
        <v>42</v>
      </c>
      <c r="C7" s="2">
        <f>COUNTIF(Таблица1[winner1-ability2],Table8[[#This Row],[ability]])+COUNTIF(Таблица1[winner2-ability2],Table8[[#This Row],[ability]])+COUNTIF(Table41[winner1-ability2],Table8[[#This Row],[ability]])+COUNTIF(Table41[winner2-ability2],Table8[[#This Row],[ability]])+COUNTIF(Table41[winner3-ability2],Table8[[#This Row],[ability]])</f>
        <v>37</v>
      </c>
      <c r="D7" s="16">
        <f>IF(SUM(Table8[[#This Row],[takes]]) &gt; 0,Table8[[#This Row],[takes]]/SUM(Table8[takes]),0)</f>
        <v>0.33070866141732286</v>
      </c>
      <c r="E7" s="16">
        <f>IF(Table8[[#This Row],[takes]]&gt;0,Table8[[#This Row],[wins]]/Table8[[#This Row],[takes]],0)</f>
        <v>0.88095238095238093</v>
      </c>
    </row>
    <row r="8" spans="1:10" x14ac:dyDescent="0.25">
      <c r="A8" t="s">
        <v>84</v>
      </c>
      <c r="B8">
        <f>COUNTIF(Таблица1[winner1-ability2],Table8[[#This Row],[ability]])+COUNTIF(Таблица1[winner2-ability2],Table8[[#This Row],[ability]])+COUNTIF(Таблица1[loser1-ability2],Table8[[#This Row],[ability]])+COUNTIF(Таблица1[loser2-ability2],Table8[[#This Row],[ability]])+COUNTIF(Table41[winner1-ability2],Table8[[#This Row],[ability]])+COUNTIF(Table41[winner2-ability2],Table8[[#This Row],[ability]])+COUNTIF(Table41[winner3-ability2],Table8[[#This Row],[ability]])+COUNTIF(Table41[loser1-ability2],Table8[[#This Row],[ability]])+COUNTIF(Table41[loser2-ability2],Table8[[#This Row],[ability]])+COUNTIF(Table41[loser3-ability2],Table8[[#This Row],[ability]])</f>
        <v>80</v>
      </c>
      <c r="C8">
        <f>COUNTIF(Таблица1[winner1-ability2],Table8[[#This Row],[ability]])+COUNTIF(Таблица1[winner2-ability2],Table8[[#This Row],[ability]])+COUNTIF(Table41[winner1-ability2],Table8[[#This Row],[ability]])+COUNTIF(Table41[winner2-ability2],Table8[[#This Row],[ability]])+COUNTIF(Table41[winner3-ability2],Table8[[#This Row],[ability]])</f>
        <v>56</v>
      </c>
      <c r="D8" s="3">
        <f>IF(SUM(Table8[[#This Row],[takes]]) &gt; 0,Table8[[#This Row],[takes]]/SUM(Table8[takes]),0)</f>
        <v>0.62992125984251968</v>
      </c>
      <c r="E8" s="3">
        <f>IF(Table8[[#This Row],[takes]]&gt;0,Table8[[#This Row],[wins]]/Table8[[#This Row],[takes]],0)</f>
        <v>0.7</v>
      </c>
    </row>
    <row r="9" spans="1:10" x14ac:dyDescent="0.25">
      <c r="A9" s="14" t="s">
        <v>134</v>
      </c>
      <c r="B9" s="14">
        <f>COUNTIF(Таблица1[winner1-ability2],Table8[[#This Row],[ability]])+COUNTIF(Таблица1[winner2-ability2],Table8[[#This Row],[ability]])+COUNTIF(Таблица1[loser1-ability2],Table8[[#This Row],[ability]])+COUNTIF(Таблица1[loser2-ability2],Table8[[#This Row],[ability]])+COUNTIF(Table41[winner1-ability2],Table8[[#This Row],[ability]])+COUNTIF(Table41[winner2-ability2],Table8[[#This Row],[ability]])+COUNTIF(Table41[winner3-ability2],Table8[[#This Row],[ability]])+COUNTIF(Table41[loser1-ability2],Table8[[#This Row],[ability]])+COUNTIF(Table41[loser2-ability2],Table8[[#This Row],[ability]])+COUNTIF(Table41[loser3-ability2],Table8[[#This Row],[ability]])</f>
        <v>5</v>
      </c>
      <c r="C9" s="14">
        <f>COUNTIF(Таблица1[winner1-ability2],Table8[[#This Row],[ability]])+COUNTIF(Таблица1[winner2-ability2],Table8[[#This Row],[ability]])+COUNTIF(Table41[winner1-ability2],Table8[[#This Row],[ability]])+COUNTIF(Table41[winner2-ability2],Table8[[#This Row],[ability]])+COUNTIF(Table41[winner3-ability2],Table8[[#This Row],[ability]])</f>
        <v>1</v>
      </c>
      <c r="D9" s="17">
        <f>IF(SUM(Table8[[#This Row],[takes]]) &gt; 0,Table8[[#This Row],[takes]]/SUM(Table8[takes]),0)</f>
        <v>3.937007874015748E-2</v>
      </c>
      <c r="E9" s="17">
        <f>IF(Table8[[#This Row],[takes]]&gt;0,Table8[[#This Row],[wins]]/Table8[[#This Row],[takes]],0)</f>
        <v>0.2</v>
      </c>
    </row>
    <row r="11" spans="1:10" x14ac:dyDescent="0.25">
      <c r="A11" s="11" t="s">
        <v>130</v>
      </c>
      <c r="B11" s="12" t="s">
        <v>131</v>
      </c>
      <c r="C11" s="12" t="s">
        <v>79</v>
      </c>
      <c r="D11" s="13" t="s">
        <v>138</v>
      </c>
      <c r="E11" s="13" t="s">
        <v>139</v>
      </c>
    </row>
    <row r="12" spans="1:10" x14ac:dyDescent="0.25">
      <c r="A12" s="1" t="s">
        <v>135</v>
      </c>
      <c r="B12" s="1">
        <f>COUNTIF(Таблица1[winner1-ability3],Table9[[#This Row],[ability]])+COUNTIF(Таблица1[winner2-ability3],Table9[[#This Row],[ability]])+COUNTIF(Таблица1[loser1-ability3],Table9[[#This Row],[ability]])+COUNTIF(Таблица1[loser2-ability3],Table9[[#This Row],[ability]])+COUNTIF(Table41[winner1-ability3],Table9[[#This Row],[ability]])+COUNTIF(Table41[winner2-ability3],Table9[[#This Row],[ability]])+COUNTIF(Table41[winner3-ability3],Table9[[#This Row],[ability]])+COUNTIF(Table41[loser1-ability3],Table9[[#This Row],[ability]])+COUNTIF(Table41[loser2-ability3],Table9[[#This Row],[ability]])+COUNTIF(Table41[loser3-ability3],Table9[[#This Row],[ability]])</f>
        <v>17</v>
      </c>
      <c r="C12" s="1">
        <f>COUNTIF(Таблица1[winner1-ability3],Table9[[#This Row],[ability]])+COUNTIF(Таблица1[winner2-ability3],Table9[[#This Row],[ability]])+COUNTIF(Table41[winner1-ability3],Table9[[#This Row],[ability]])+COUNTIF(Table41[winner2-ability3],Table9[[#This Row],[ability]])+COUNTIF(Table41[winner3-ability3],Table9[[#This Row],[ability]])</f>
        <v>15</v>
      </c>
      <c r="D12" s="18">
        <f>IF(SUM(Table9[[#This Row],[takes]]) &gt; 0,Table9[[#This Row],[takes]]/SUM(Table9[takes]),0)</f>
        <v>0.42499999999999999</v>
      </c>
      <c r="E12" s="18">
        <f>IF(Table9[[#This Row],[takes]]&gt;0,Table9[[#This Row],[wins]]/Table9[[#This Row],[takes]],0)</f>
        <v>0.88235294117647056</v>
      </c>
    </row>
    <row r="13" spans="1:10" x14ac:dyDescent="0.25">
      <c r="A13" s="2" t="s">
        <v>122</v>
      </c>
      <c r="B13" s="2">
        <f>COUNTIF(Таблица1[winner1-ability3],Table9[[#This Row],[ability]])+COUNTIF(Таблица1[winner2-ability3],Table9[[#This Row],[ability]])+COUNTIF(Таблица1[loser1-ability3],Table9[[#This Row],[ability]])+COUNTIF(Таблица1[loser2-ability3],Table9[[#This Row],[ability]])+COUNTIF(Table41[winner1-ability3],Table9[[#This Row],[ability]])+COUNTIF(Table41[winner2-ability3],Table9[[#This Row],[ability]])+COUNTIF(Table41[winner3-ability3],Table9[[#This Row],[ability]])+COUNTIF(Table41[loser1-ability3],Table9[[#This Row],[ability]])+COUNTIF(Table41[loser2-ability3],Table9[[#This Row],[ability]])+COUNTIF(Table41[loser3-ability3],Table9[[#This Row],[ability]])</f>
        <v>11</v>
      </c>
      <c r="C13" s="2">
        <f>COUNTIF(Таблица1[winner1-ability3],Table9[[#This Row],[ability]])+COUNTIF(Таблица1[winner2-ability3],Table9[[#This Row],[ability]])+COUNTIF(Table41[winner1-ability3],Table9[[#This Row],[ability]])+COUNTIF(Table41[winner2-ability3],Table9[[#This Row],[ability]])+COUNTIF(Table41[winner3-ability3],Table9[[#This Row],[ability]])</f>
        <v>9</v>
      </c>
      <c r="D13" s="16">
        <f>IF(SUM(Table9[[#This Row],[takes]]) &gt; 0,Table9[[#This Row],[takes]]/SUM(Table9[takes]),0)</f>
        <v>0.27500000000000002</v>
      </c>
      <c r="E13" s="16">
        <f>IF(Table9[[#This Row],[takes]]&gt;0,Table9[[#This Row],[wins]]/Table9[[#This Row],[takes]],0)</f>
        <v>0.81818181818181823</v>
      </c>
    </row>
    <row r="14" spans="1:10" x14ac:dyDescent="0.25">
      <c r="A14" s="15" t="s">
        <v>108</v>
      </c>
      <c r="B14" s="15">
        <f>COUNTIF(Таблица1[winner1-ability3],Table9[[#This Row],[ability]])+COUNTIF(Таблица1[winner2-ability3],Table9[[#This Row],[ability]])+COUNTIF(Таблица1[loser1-ability3],Table9[[#This Row],[ability]])+COUNTIF(Таблица1[loser2-ability3],Table9[[#This Row],[ability]])+COUNTIF(Table41[winner1-ability3],Table9[[#This Row],[ability]])+COUNTIF(Table41[winner2-ability3],Table9[[#This Row],[ability]])+COUNTIF(Table41[winner3-ability3],Table9[[#This Row],[ability]])+COUNTIF(Table41[loser1-ability3],Table9[[#This Row],[ability]])+COUNTIF(Table41[loser2-ability3],Table9[[#This Row],[ability]])+COUNTIF(Table41[loser3-ability3],Table9[[#This Row],[ability]])</f>
        <v>12</v>
      </c>
      <c r="C14" s="15">
        <f>COUNTIF(Таблица1[winner1-ability3],Table9[[#This Row],[ability]])+COUNTIF(Таблица1[winner2-ability3],Table9[[#This Row],[ability]])+COUNTIF(Table41[winner1-ability3],Table9[[#This Row],[ability]])+COUNTIF(Table41[winner2-ability3],Table9[[#This Row],[ability]])+COUNTIF(Table41[winner3-ability3],Table9[[#This Row],[ability]])</f>
        <v>7</v>
      </c>
      <c r="D14" s="19">
        <f>IF(SUM(Table9[[#This Row],[takes]]) &gt; 0,Table9[[#This Row],[takes]]/SUM(Table9[takes]),0)</f>
        <v>0.3</v>
      </c>
      <c r="E14" s="19">
        <f>IF(Table9[[#This Row],[takes]]&gt;0,Table9[[#This Row],[wins]]/Table9[[#This Row],[takes]],0)</f>
        <v>0.58333333333333337</v>
      </c>
    </row>
    <row r="16" spans="1:10" x14ac:dyDescent="0.25">
      <c r="A16" s="11" t="s">
        <v>130</v>
      </c>
      <c r="B16" s="12" t="s">
        <v>131</v>
      </c>
      <c r="C16" s="12" t="s">
        <v>79</v>
      </c>
      <c r="D16" s="13" t="s">
        <v>138</v>
      </c>
      <c r="E16" s="13" t="s">
        <v>139</v>
      </c>
    </row>
    <row r="17" spans="1:5" x14ac:dyDescent="0.25">
      <c r="A17" s="2" t="s">
        <v>109</v>
      </c>
      <c r="B17" s="2">
        <f>COUNTIF(Таблица1[winner1-ability4],Table10[[#This Row],[ability]])+COUNTIF(Таблица1[winner2-ability4],Table10[[#This Row],[ability]])+COUNTIF(Таблица1[loser1-ability4],Table10[[#This Row],[ability]])+COUNTIF(Таблица1[loser2-ability4],Table10[[#This Row],[ability]])+COUNTIF(Table41[winner1-ability4],Table10[[#This Row],[ability]])+COUNTIF(Table41[winner2-ability4],Table10[[#This Row],[ability]])+COUNTIF(Table41[winner3-ability4],Table10[[#This Row],[ability]])+COUNTIF(Table41[loser1-ability4],Table10[[#This Row],[ability]])+COUNTIF(Table41[loser2-ability4],Table10[[#This Row],[ability]])+COUNTIF(Table41[loser3-ability4],Table10[[#This Row],[ability]])</f>
        <v>11</v>
      </c>
      <c r="C17" s="2">
        <f>COUNTIF(Таблица1[winner1-ability4],Table10[[#This Row],[ability]])+COUNTIF(Таблица1[winner2-ability4],Table10[[#This Row],[ability]])+COUNTIF(Table41[winner1-ability4],Table10[[#This Row],[ability]])+COUNTIF(Table41[winner2-ability4],Table10[[#This Row],[ability]])+COUNTIF(Table41[winner3-ability4],Table10[[#This Row],[ability]])</f>
        <v>11</v>
      </c>
      <c r="D17" s="16">
        <f>IF(SUM(Table10[[#This Row],[takes]]) &gt; 0,Table10[[#This Row],[takes]]/SUM(Table10[takes]),0)</f>
        <v>0.7857142857142857</v>
      </c>
      <c r="E17" s="16">
        <f>IF(Table10[[#This Row],[takes]]&gt;0,Table10[[#This Row],[wins]]/Table10[[#This Row],[takes]],0)</f>
        <v>1</v>
      </c>
    </row>
    <row r="18" spans="1:5" x14ac:dyDescent="0.25">
      <c r="A18" s="2" t="s">
        <v>136</v>
      </c>
      <c r="B18" s="2">
        <f>COUNTIF(Таблица1[winner1-ability4],Table10[[#This Row],[ability]])+COUNTIF(Таблица1[winner2-ability4],Table10[[#This Row],[ability]])+COUNTIF(Таблица1[loser1-ability4],Table10[[#This Row],[ability]])+COUNTIF(Таблица1[loser2-ability4],Table10[[#This Row],[ability]])+COUNTIF(Table41[winner1-ability4],Table10[[#This Row],[ability]])+COUNTIF(Table41[winner2-ability4],Table10[[#This Row],[ability]])+COUNTIF(Table41[winner3-ability4],Table10[[#This Row],[ability]])+COUNTIF(Table41[loser1-ability4],Table10[[#This Row],[ability]])+COUNTIF(Table41[loser2-ability4],Table10[[#This Row],[ability]])+COUNTIF(Table41[loser3-ability4],Table10[[#This Row],[ability]])</f>
        <v>0</v>
      </c>
      <c r="C18" s="2">
        <f>COUNTIF(Таблица1[winner1-ability4],Table10[[#This Row],[ability]])+COUNTIF(Таблица1[winner2-ability4],Table10[[#This Row],[ability]])+COUNTIF(Table41[winner1-ability4],Table10[[#This Row],[ability]])+COUNTIF(Table41[winner2-ability4],Table10[[#This Row],[ability]])+COUNTIF(Table41[winner3-ability4],Table10[[#This Row],[ability]])</f>
        <v>0</v>
      </c>
      <c r="D18" s="16">
        <f>IF(SUM(Table10[[#This Row],[takes]]) &gt; 0,Table10[[#This Row],[takes]]/SUM(Table10[takes]),0)</f>
        <v>0</v>
      </c>
      <c r="E18" s="16">
        <f>IF(Table10[[#This Row],[takes]]&gt;0,Table10[[#This Row],[wins]]/Table10[[#This Row],[takes]],0)</f>
        <v>0</v>
      </c>
    </row>
    <row r="19" spans="1:5" x14ac:dyDescent="0.25">
      <c r="A19" s="14" t="s">
        <v>137</v>
      </c>
      <c r="B19" s="14">
        <f>COUNTIF(Таблица1[winner1-ability4],Table10[[#This Row],[ability]])+COUNTIF(Таблица1[winner2-ability4],Table10[[#This Row],[ability]])+COUNTIF(Таблица1[loser1-ability4],Table10[[#This Row],[ability]])+COUNTIF(Таблица1[loser2-ability4],Table10[[#This Row],[ability]])+COUNTIF(Table41[winner1-ability4],Table10[[#This Row],[ability]])+COUNTIF(Table41[winner2-ability4],Table10[[#This Row],[ability]])+COUNTIF(Table41[winner3-ability4],Table10[[#This Row],[ability]])+COUNTIF(Table41[loser1-ability4],Table10[[#This Row],[ability]])+COUNTIF(Table41[loser2-ability4],Table10[[#This Row],[ability]])+COUNTIF(Table41[loser3-ability4],Table10[[#This Row],[ability]])</f>
        <v>3</v>
      </c>
      <c r="C19" s="14">
        <f>COUNTIF(Таблица1[winner1-ability4],Table10[[#This Row],[ability]])+COUNTIF(Таблица1[winner2-ability4],Table10[[#This Row],[ability]])+COUNTIF(Table41[winner1-ability4],Table10[[#This Row],[ability]])+COUNTIF(Table41[winner2-ability4],Table10[[#This Row],[ability]])+COUNTIF(Table41[winner3-ability4],Table10[[#This Row],[ability]])</f>
        <v>3</v>
      </c>
      <c r="D19" s="17">
        <f>IF(SUM(Table10[[#This Row],[takes]]) &gt; 0,Table10[[#This Row],[takes]]/SUM(Table10[takes]),0)</f>
        <v>0.21428571428571427</v>
      </c>
      <c r="E19" s="17">
        <f>IF(Table10[[#This Row],[takes]]&gt;0,Table10[[#This Row],[wins]]/Table10[[#This Row],[takes]],0)</f>
        <v>1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CCE0E-6D00-4D3D-AC55-B99D03669447}">
  <dimension ref="A1:I19"/>
  <sheetViews>
    <sheetView workbookViewId="0">
      <selection activeCell="B18" sqref="B18"/>
    </sheetView>
  </sheetViews>
  <sheetFormatPr defaultRowHeight="15" x14ac:dyDescent="0.25"/>
  <cols>
    <col min="1" max="1" width="18.425781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8.7109375" bestFit="1" customWidth="1"/>
    <col min="9" max="9" width="12.85546875" bestFit="1" customWidth="1"/>
  </cols>
  <sheetData>
    <row r="1" spans="1:9" x14ac:dyDescent="0.25">
      <c r="A1" t="s">
        <v>130</v>
      </c>
      <c r="B1" t="s">
        <v>131</v>
      </c>
      <c r="C1" t="s">
        <v>79</v>
      </c>
      <c r="D1" s="3" t="s">
        <v>138</v>
      </c>
      <c r="E1" s="3" t="s">
        <v>139</v>
      </c>
      <c r="G1" t="s">
        <v>336</v>
      </c>
      <c r="H1" t="s">
        <v>340</v>
      </c>
      <c r="I1" t="s">
        <v>339</v>
      </c>
    </row>
    <row r="2" spans="1:9" x14ac:dyDescent="0.25">
      <c r="A2" t="s">
        <v>68</v>
      </c>
      <c r="B2">
        <f>COUNTIF(Таблица1[winner1-ability1],Table712[[#This Row],[ability]])+COUNTIF(Таблица1[winner2-ability1],Table712[[#This Row],[ability]])+COUNTIF(Таблица1[loser1-ability1],Table712[[#This Row],[ability]])+COUNTIF(Таблица1[loser2-ability1],Table712[[#This Row],[ability]])+COUNTIF(Table41[winner1-ability1],Table712[[#This Row],[ability]])+COUNTIF(Table41[winner2-ability1],Table712[[#This Row],[ability]])+COUNTIF(Table41[winner3-ability1],Table712[[#This Row],[ability]])+COUNTIF(Table41[loser1-ability1],Table712[[#This Row],[ability]])+COUNTIF(Table41[loser2-ability1],Table712[[#This Row],[ability]])+COUNTIF(Table41[loser3-ability1],Table712[[#This Row],[ability]])</f>
        <v>159</v>
      </c>
      <c r="C2">
        <f>COUNTIF(Таблица1[winner1-ability1],Table712[[#This Row],[ability]])+COUNTIF(Таблица1[winner2-ability1],Table712[[#This Row],[ability]])+COUNTIF(Table41[winner1-ability1],Table712[[#This Row],[ability]])+COUNTIF(Table41[winner2-ability1],Table712[[#This Row],[ability]])+COUNTIF(Table41[winner3-ability1],Table712[[#This Row],[ability]])</f>
        <v>85</v>
      </c>
      <c r="D2" s="3">
        <f>IF(SUM(Table712[[#This Row],[takes]]) &gt; 0,Table712[[#This Row],[takes]]/SUM(Table712[takes]),0)</f>
        <v>0.86885245901639341</v>
      </c>
      <c r="E2" s="3">
        <f>IF(Table712[[#This Row],[takes]]&gt;0,Table712[[#This Row],[wins]]/Table712[[#This Row],[takes]],0)</f>
        <v>0.53459119496855345</v>
      </c>
      <c r="G2">
        <v>1</v>
      </c>
      <c r="H2">
        <f>COUNTIFS(Таблица1[winner1],"highlander",Таблица1[winner1-pw],Table4244[[#This Row],[level]])+COUNTIFS(Таблица1[winner2],"highlander",Таблица1[winner2-pw],Table4244[[#This Row],[level]])+COUNTIFS(Таблица1[loser1],"highlander",Таблица1[loser1-pw],Table4244[[#This Row],[level]])+COUNTIFS(Таблица1[loser2],"highlander",Таблица1[loser2-pw],Table4244[[#This Row],[level]])+COUNTIFS(Table41[winner1],"highlander",Table41[winner1-pw],Table4244[[#This Row],[level]])+COUNTIFS(Table41[winner2],"highlander",Table41[winner2-pw],Table4244[[#This Row],[level]])+COUNTIFS(Table41[winner3],"highlander",Table41[winner3-pw],Table4244[[#This Row],[level]])+COUNTIFS(Table41[loser1],"highlander",Table41[loser1-pw],Table4244[[#This Row],[level]])+COUNTIFS(Table41[loser2],"highlander",Table41[loser2-pw],Table4244[[#This Row],[level]])+COUNTIFS(Table41[loser3],"highlander",Table41[loser3-pw],Table4244[[#This Row],[level]])</f>
        <v>183</v>
      </c>
      <c r="I2">
        <f>COUNTIFS(Таблица1[winner1],"highlander",Таблица1[winner1-cp],Table4244[[#This Row],[level]])+COUNTIFS(Таблица1[winner2],"highlander",Таблица1[winner2-cp],Table4244[[#This Row],[level]])+COUNTIFS(Таблица1[loser1],"highlander",Таблица1[loser1-cp],Table4244[[#This Row],[level]])+COUNTIFS(Таблица1[loser2],"highlander",Таблица1[loser2-cp],Table4244[[#This Row],[level]])+COUNTIFS(Table41[winner1],"highlander",Table41[winner1-cp],Table4244[[#This Row],[level]])+COUNTIFS(Table41[winner2],"highlander",Table41[winner2-cp],Table4244[[#This Row],[level]])+COUNTIFS(Table41[winner3],"highlander",Table41[winner3-cp],Table4244[[#This Row],[level]])+COUNTIFS(Table41[loser1],"highlander",Table41[loser1-cp],Table4244[[#This Row],[level]])+COUNTIFS(Table41[loser2],"highlander",Table41[loser2-cp],Table4244[[#This Row],[level]])+COUNTIFS(Table41[loser3],"highlander",Table41[loser3-cp],Table4244[[#This Row],[level]])</f>
        <v>125</v>
      </c>
    </row>
    <row r="3" spans="1:9" x14ac:dyDescent="0.25">
      <c r="A3" t="s">
        <v>141</v>
      </c>
      <c r="B3">
        <f>COUNTIF(Таблица1[winner1-ability1],Table712[[#This Row],[ability]])+COUNTIF(Таблица1[winner2-ability1],Table712[[#This Row],[ability]])+COUNTIF(Таблица1[loser1-ability1],Table712[[#This Row],[ability]])+COUNTIF(Таблица1[loser2-ability1],Table712[[#This Row],[ability]])+COUNTIF(Table41[winner1-ability1],Table712[[#This Row],[ability]])+COUNTIF(Table41[winner2-ability1],Table712[[#This Row],[ability]])+COUNTIF(Table41[winner3-ability1],Table712[[#This Row],[ability]])+COUNTIF(Table41[loser1-ability1],Table712[[#This Row],[ability]])+COUNTIF(Table41[loser2-ability1],Table712[[#This Row],[ability]])+COUNTIF(Table41[loser3-ability1],Table712[[#This Row],[ability]])</f>
        <v>16</v>
      </c>
      <c r="C3">
        <f>COUNTIF(Таблица1[winner1-ability1],Table712[[#This Row],[ability]])+COUNTIF(Таблица1[winner2-ability1],Table712[[#This Row],[ability]])+COUNTIF(Table41[winner1-ability1],Table712[[#This Row],[ability]])+COUNTIF(Table41[winner2-ability1],Table712[[#This Row],[ability]])+COUNTIF(Table41[winner3-ability1],Table712[[#This Row],[ability]])</f>
        <v>9</v>
      </c>
      <c r="D3" s="3">
        <f>IF(SUM(Table712[[#This Row],[takes]]) &gt; 0,Table712[[#This Row],[takes]]/SUM(Table712[takes]),0)</f>
        <v>8.7431693989071038E-2</v>
      </c>
      <c r="E3" s="3">
        <f>IF(Table712[[#This Row],[takes]]&gt;0,Table712[[#This Row],[wins]]/Table712[[#This Row],[takes]],0)</f>
        <v>0.5625</v>
      </c>
      <c r="G3">
        <v>2</v>
      </c>
      <c r="H3">
        <f>COUNTIFS(Таблица1[winner1],"highlander",Таблица1[winner1-pw],Table4244[[#This Row],[level]])+COUNTIFS(Таблица1[winner2],"highlander",Таблица1[winner2-pw],Table4244[[#This Row],[level]])+COUNTIFS(Таблица1[loser1],"highlander",Таблица1[loser1-pw],Table4244[[#This Row],[level]])+COUNTIFS(Таблица1[loser2],"highlander",Таблица1[loser2-pw],Table4244[[#This Row],[level]])+COUNTIFS(Table41[winner1],"highlander",Table41[winner1-pw],Table4244[[#This Row],[level]])+COUNTIFS(Table41[winner2],"highlander",Table41[winner2-pw],Table4244[[#This Row],[level]])+COUNTIFS(Table41[winner3],"highlander",Table41[winner3-pw],Table4244[[#This Row],[level]])+COUNTIFS(Table41[loser1],"highlander",Table41[loser1-pw],Table4244[[#This Row],[level]])+COUNTIFS(Table41[loser2],"highlander",Table41[loser2-pw],Table4244[[#This Row],[level]])+COUNTIFS(Table41[loser3],"highlander",Table41[loser3-pw],Table4244[[#This Row],[level]])</f>
        <v>0</v>
      </c>
      <c r="I3">
        <f>COUNTIFS(Таблица1[winner1],"highlander",Таблица1[winner1-cp],Table4244[[#This Row],[level]])+COUNTIFS(Таблица1[winner2],"highlander",Таблица1[winner2-cp],Table4244[[#This Row],[level]])+COUNTIFS(Таблица1[loser1],"highlander",Таблица1[loser1-cp],Table4244[[#This Row],[level]])+COUNTIFS(Таблица1[loser2],"highlander",Таблица1[loser2-cp],Table4244[[#This Row],[level]])+COUNTIFS(Table41[winner1],"highlander",Table41[winner1-cp],Table4244[[#This Row],[level]])+COUNTIFS(Table41[winner2],"highlander",Table41[winner2-cp],Table4244[[#This Row],[level]])+COUNTIFS(Table41[winner3],"highlander",Table41[winner3-cp],Table4244[[#This Row],[level]])+COUNTIFS(Table41[loser1],"highlander",Table41[loser1-cp],Table4244[[#This Row],[level]])+COUNTIFS(Table41[loser2],"highlander",Table41[loser2-cp],Table4244[[#This Row],[level]])+COUNTIFS(Table41[loser3],"highlander",Table41[loser3-cp],Table4244[[#This Row],[level]])</f>
        <v>43</v>
      </c>
    </row>
    <row r="4" spans="1:9" x14ac:dyDescent="0.25">
      <c r="A4" t="s">
        <v>57</v>
      </c>
      <c r="B4">
        <f>COUNTIF(Таблица1[winner1-ability1],Table712[[#This Row],[ability]])+COUNTIF(Таблица1[winner2-ability1],Table712[[#This Row],[ability]])+COUNTIF(Таблица1[loser1-ability1],Table712[[#This Row],[ability]])+COUNTIF(Таблица1[loser2-ability1],Table712[[#This Row],[ability]])+COUNTIF(Table41[winner1-ability1],Table712[[#This Row],[ability]])+COUNTIF(Table41[winner2-ability1],Table712[[#This Row],[ability]])+COUNTIF(Table41[winner3-ability1],Table712[[#This Row],[ability]])+COUNTIF(Table41[loser1-ability1],Table712[[#This Row],[ability]])+COUNTIF(Table41[loser2-ability1],Table712[[#This Row],[ability]])+COUNTIF(Table41[loser3-ability1],Table712[[#This Row],[ability]])</f>
        <v>8</v>
      </c>
      <c r="C4">
        <f>COUNTIF(Таблица1[winner1-ability1],Table712[[#This Row],[ability]])+COUNTIF(Таблица1[winner2-ability1],Table712[[#This Row],[ability]])+COUNTIF(Table41[winner1-ability1],Table712[[#This Row],[ability]])+COUNTIF(Table41[winner2-ability1],Table712[[#This Row],[ability]])+COUNTIF(Table41[winner3-ability1],Table712[[#This Row],[ability]])</f>
        <v>6</v>
      </c>
      <c r="D4" s="3">
        <f>IF(SUM(Table712[[#This Row],[takes]]) &gt; 0,Table712[[#This Row],[takes]]/SUM(Table712[takes]),0)</f>
        <v>4.3715846994535519E-2</v>
      </c>
      <c r="E4" s="3">
        <f>IF(Table712[[#This Row],[takes]]&gt;0,Table712[[#This Row],[wins]]/Table712[[#This Row],[takes]],0)</f>
        <v>0.75</v>
      </c>
      <c r="G4">
        <v>3</v>
      </c>
      <c r="H4">
        <f>COUNTIFS(Таблица1[winner1],"highlander",Таблица1[winner1-pw],Table4244[[#This Row],[level]])+COUNTIFS(Таблица1[winner2],"highlander",Таблица1[winner2-pw],Table4244[[#This Row],[level]])+COUNTIFS(Таблица1[loser1],"highlander",Таблица1[loser1-pw],Table4244[[#This Row],[level]])+COUNTIFS(Таблица1[loser2],"highlander",Таблица1[loser2-pw],Table4244[[#This Row],[level]])+COUNTIFS(Table41[winner1],"highlander",Table41[winner1-pw],Table4244[[#This Row],[level]])+COUNTIFS(Table41[winner2],"highlander",Table41[winner2-pw],Table4244[[#This Row],[level]])+COUNTIFS(Table41[winner3],"highlander",Table41[winner3-pw],Table4244[[#This Row],[level]])+COUNTIFS(Table41[loser1],"highlander",Table41[loser1-pw],Table4244[[#This Row],[level]])+COUNTIFS(Table41[loser2],"highlander",Table41[loser2-pw],Table4244[[#This Row],[level]])+COUNTIFS(Table41[loser3],"highlander",Table41[loser3-pw],Table4244[[#This Row],[level]])</f>
        <v>0</v>
      </c>
      <c r="I4">
        <f>COUNTIFS(Таблица1[winner1],"highlander",Таблица1[winner1-cp],Table4244[[#This Row],[level]])+COUNTIFS(Таблица1[winner2],"highlander",Таблица1[winner2-cp],Table4244[[#This Row],[level]])+COUNTIFS(Таблица1[loser1],"highlander",Таблица1[loser1-cp],Table4244[[#This Row],[level]])+COUNTIFS(Таблица1[loser2],"highlander",Таблица1[loser2-cp],Table4244[[#This Row],[level]])+COUNTIFS(Table41[winner1],"highlander",Table41[winner1-cp],Table4244[[#This Row],[level]])+COUNTIFS(Table41[winner2],"highlander",Table41[winner2-cp],Table4244[[#This Row],[level]])+COUNTIFS(Table41[winner3],"highlander",Table41[winner3-cp],Table4244[[#This Row],[level]])+COUNTIFS(Table41[loser1],"highlander",Table41[loser1-cp],Table4244[[#This Row],[level]])+COUNTIFS(Table41[loser2],"highlander",Table41[loser2-cp],Table4244[[#This Row],[level]])+COUNTIFS(Table41[loser3],"highlander",Table41[loser3-cp],Table4244[[#This Row],[level]])</f>
        <v>15</v>
      </c>
    </row>
    <row r="6" spans="1:9" x14ac:dyDescent="0.25">
      <c r="A6" s="11" t="s">
        <v>130</v>
      </c>
      <c r="B6" s="12" t="s">
        <v>131</v>
      </c>
      <c r="C6" s="12" t="s">
        <v>79</v>
      </c>
      <c r="D6" s="13" t="s">
        <v>138</v>
      </c>
      <c r="E6" s="13" t="s">
        <v>139</v>
      </c>
    </row>
    <row r="7" spans="1:9" x14ac:dyDescent="0.25">
      <c r="A7" s="2" t="s">
        <v>69</v>
      </c>
      <c r="B7" s="2">
        <f>COUNTIF(Таблица1[winner1-ability2],Table813[[#This Row],[ability]])+COUNTIF(Таблица1[winner2-ability2],Table813[[#This Row],[ability]])+COUNTIF(Таблица1[loser1-ability2],Table813[[#This Row],[ability]])+COUNTIF(Таблица1[loser2-ability2],Table813[[#This Row],[ability]])+COUNTIF(Table41[winner1-ability2],Table813[[#This Row],[ability]])+COUNTIF(Table41[winner2-ability2],Table813[[#This Row],[ability]])+COUNTIF(Table41[winner3-ability2],Table813[[#This Row],[ability]])+COUNTIF(Table41[loser1-ability2],Table813[[#This Row],[ability]])+COUNTIF(Table41[loser2-ability2],Table813[[#This Row],[ability]])+COUNTIF(Table41[loser3-ability2],Table813[[#This Row],[ability]])</f>
        <v>90</v>
      </c>
      <c r="C7" s="2">
        <f>COUNTIF(Таблица1[winner1-ability2],Table813[[#This Row],[ability]])+COUNTIF(Таблица1[winner2-ability2],Table813[[#This Row],[ability]])+COUNTIF(Table41[winner1-ability2],Table813[[#This Row],[ability]])+COUNTIF(Table41[winner2-ability2],Table813[[#This Row],[ability]])+COUNTIF(Table41[winner3-ability2],Table813[[#This Row],[ability]])</f>
        <v>51</v>
      </c>
      <c r="D7" s="16">
        <f>IF(SUM(Table813[[#This Row],[takes]]) &gt; 0,Table813[[#This Row],[takes]]/SUM(Table813[takes]),0)</f>
        <v>0.84112149532710279</v>
      </c>
      <c r="E7" s="16">
        <f>IF(Table813[[#This Row],[takes]]&gt;0,Table813[[#This Row],[wins]]/Table813[[#This Row],[takes]],0)</f>
        <v>0.56666666666666665</v>
      </c>
    </row>
    <row r="8" spans="1:9" x14ac:dyDescent="0.25">
      <c r="A8" t="s">
        <v>142</v>
      </c>
      <c r="B8">
        <f>COUNTIF(Таблица1[winner1-ability2],Table813[[#This Row],[ability]])+COUNTIF(Таблица1[winner2-ability2],Table813[[#This Row],[ability]])+COUNTIF(Таблица1[loser1-ability2],Table813[[#This Row],[ability]])+COUNTIF(Таблица1[loser2-ability2],Table813[[#This Row],[ability]])+COUNTIF(Table41[winner1-ability2],Table813[[#This Row],[ability]])+COUNTIF(Table41[winner2-ability2],Table813[[#This Row],[ability]])+COUNTIF(Table41[winner3-ability2],Table813[[#This Row],[ability]])+COUNTIF(Table41[loser1-ability2],Table813[[#This Row],[ability]])+COUNTIF(Table41[loser2-ability2],Table813[[#This Row],[ability]])+COUNTIF(Table41[loser3-ability2],Table813[[#This Row],[ability]])</f>
        <v>9</v>
      </c>
      <c r="C8">
        <f>COUNTIF(Таблица1[winner1-ability2],Table813[[#This Row],[ability]])+COUNTIF(Таблица1[winner2-ability2],Table813[[#This Row],[ability]])+COUNTIF(Table41[winner1-ability2],Table813[[#This Row],[ability]])+COUNTIF(Table41[winner2-ability2],Table813[[#This Row],[ability]])+COUNTIF(Table41[winner3-ability2],Table813[[#This Row],[ability]])</f>
        <v>5</v>
      </c>
      <c r="D8" s="3">
        <f>IF(SUM(Table813[[#This Row],[takes]]) &gt; 0,Table813[[#This Row],[takes]]/SUM(Table813[takes]),0)</f>
        <v>8.4112149532710276E-2</v>
      </c>
      <c r="E8" s="3">
        <f>IF(Table813[[#This Row],[takes]]&gt;0,Table813[[#This Row],[wins]]/Table813[[#This Row],[takes]],0)</f>
        <v>0.55555555555555558</v>
      </c>
    </row>
    <row r="9" spans="1:9" x14ac:dyDescent="0.25">
      <c r="A9" s="14" t="s">
        <v>143</v>
      </c>
      <c r="B9" s="14">
        <f>COUNTIF(Таблица1[winner1-ability2],Table813[[#This Row],[ability]])+COUNTIF(Таблица1[winner2-ability2],Table813[[#This Row],[ability]])+COUNTIF(Таблица1[loser1-ability2],Table813[[#This Row],[ability]])+COUNTIF(Таблица1[loser2-ability2],Table813[[#This Row],[ability]])+COUNTIF(Table41[winner1-ability2],Table813[[#This Row],[ability]])+COUNTIF(Table41[winner2-ability2],Table813[[#This Row],[ability]])+COUNTIF(Table41[winner3-ability2],Table813[[#This Row],[ability]])+COUNTIF(Table41[loser1-ability2],Table813[[#This Row],[ability]])+COUNTIF(Table41[loser2-ability2],Table813[[#This Row],[ability]])+COUNTIF(Table41[loser3-ability2],Table813[[#This Row],[ability]])</f>
        <v>8</v>
      </c>
      <c r="C9" s="14">
        <f>COUNTIF(Таблица1[winner1-ability2],Table813[[#This Row],[ability]])+COUNTIF(Таблица1[winner2-ability2],Table813[[#This Row],[ability]])+COUNTIF(Table41[winner1-ability2],Table813[[#This Row],[ability]])+COUNTIF(Table41[winner2-ability2],Table813[[#This Row],[ability]])+COUNTIF(Table41[winner3-ability2],Table813[[#This Row],[ability]])</f>
        <v>4</v>
      </c>
      <c r="D9" s="17">
        <f>IF(SUM(Table813[[#This Row],[takes]]) &gt; 0,Table813[[#This Row],[takes]]/SUM(Table813[takes]),0)</f>
        <v>7.476635514018691E-2</v>
      </c>
      <c r="E9" s="17">
        <f>IF(Table813[[#This Row],[takes]]&gt;0,Table813[[#This Row],[wins]]/Table813[[#This Row],[takes]],0)</f>
        <v>0.5</v>
      </c>
    </row>
    <row r="11" spans="1:9" x14ac:dyDescent="0.25">
      <c r="A11" s="11" t="s">
        <v>130</v>
      </c>
      <c r="B11" s="12" t="s">
        <v>131</v>
      </c>
      <c r="C11" s="12" t="s">
        <v>79</v>
      </c>
      <c r="D11" s="13" t="s">
        <v>138</v>
      </c>
      <c r="E11" s="13" t="s">
        <v>139</v>
      </c>
    </row>
    <row r="12" spans="1:9" x14ac:dyDescent="0.25">
      <c r="A12" s="1" t="s">
        <v>144</v>
      </c>
      <c r="B12" s="1">
        <f>COUNTIF(Таблица1[winner1-ability3],Table914[[#This Row],[ability]])+COUNTIF(Таблица1[winner2-ability3],Table914[[#This Row],[ability]])+COUNTIF(Таблица1[loser1-ability3],Table914[[#This Row],[ability]])+COUNTIF(Таблица1[loser2-ability3],Table914[[#This Row],[ability]])+COUNTIF(Table41[winner1-ability3],Table914[[#This Row],[ability]])+COUNTIF(Table41[winner2-ability3],Table914[[#This Row],[ability]])+COUNTIF(Table41[winner3-ability3],Table914[[#This Row],[ability]])+COUNTIF(Table41[loser1-ability3],Table914[[#This Row],[ability]])+COUNTIF(Table41[loser2-ability3],Table914[[#This Row],[ability]])+COUNTIF(Table41[loser3-ability3],Table914[[#This Row],[ability]])</f>
        <v>12</v>
      </c>
      <c r="C12" s="1">
        <f>COUNTIF(Таблица1[winner1-ability3],Table914[[#This Row],[ability]])+COUNTIF(Таблица1[winner2-ability3],Table914[[#This Row],[ability]])+COUNTIF(Table41[winner1-ability3],Table914[[#This Row],[ability]])+COUNTIF(Table41[winner2-ability3],Table914[[#This Row],[ability]])+COUNTIF(Table41[winner3-ability3],Table914[[#This Row],[ability]])</f>
        <v>5</v>
      </c>
      <c r="D12" s="18">
        <f>IF(SUM(Table914[[#This Row],[takes]]) &gt; 0,Table914[[#This Row],[takes]]/SUM(Table914[takes]),0)</f>
        <v>0.25531914893617019</v>
      </c>
      <c r="E12" s="18">
        <f>IF(Table914[[#This Row],[takes]]&gt;0,Table914[[#This Row],[wins]]/Table914[[#This Row],[takes]],0)</f>
        <v>0.41666666666666669</v>
      </c>
    </row>
    <row r="13" spans="1:9" x14ac:dyDescent="0.25">
      <c r="A13" s="2" t="s">
        <v>91</v>
      </c>
      <c r="B13" s="2">
        <f>COUNTIF(Таблица1[winner1-ability3],Table914[[#This Row],[ability]])+COUNTIF(Таблица1[winner2-ability3],Table914[[#This Row],[ability]])+COUNTIF(Таблица1[loser1-ability3],Table914[[#This Row],[ability]])+COUNTIF(Таблица1[loser2-ability3],Table914[[#This Row],[ability]])+COUNTIF(Table41[winner1-ability3],Table914[[#This Row],[ability]])+COUNTIF(Table41[winner2-ability3],Table914[[#This Row],[ability]])+COUNTIF(Table41[winner3-ability3],Table914[[#This Row],[ability]])+COUNTIF(Table41[loser1-ability3],Table914[[#This Row],[ability]])+COUNTIF(Table41[loser2-ability3],Table914[[#This Row],[ability]])+COUNTIF(Table41[loser3-ability3],Table914[[#This Row],[ability]])</f>
        <v>28</v>
      </c>
      <c r="C13" s="2">
        <f>COUNTIF(Таблица1[winner1-ability3],Table914[[#This Row],[ability]])+COUNTIF(Таблица1[winner2-ability3],Table914[[#This Row],[ability]])+COUNTIF(Table41[winner1-ability3],Table914[[#This Row],[ability]])+COUNTIF(Table41[winner2-ability3],Table914[[#This Row],[ability]])+COUNTIF(Table41[winner3-ability3],Table914[[#This Row],[ability]])</f>
        <v>15</v>
      </c>
      <c r="D13" s="16">
        <f>IF(SUM(Table914[[#This Row],[takes]]) &gt; 0,Table914[[#This Row],[takes]]/SUM(Table914[takes]),0)</f>
        <v>0.5957446808510638</v>
      </c>
      <c r="E13" s="16">
        <f>IF(Table914[[#This Row],[takes]]&gt;0,Table914[[#This Row],[wins]]/Table914[[#This Row],[takes]],0)</f>
        <v>0.5357142857142857</v>
      </c>
    </row>
    <row r="14" spans="1:9" x14ac:dyDescent="0.25">
      <c r="A14" s="15" t="s">
        <v>87</v>
      </c>
      <c r="B14" s="15">
        <f>COUNTIF(Таблица1[winner1-ability3],Table914[[#This Row],[ability]])+COUNTIF(Таблица1[winner2-ability3],Table914[[#This Row],[ability]])+COUNTIF(Таблица1[loser1-ability3],Table914[[#This Row],[ability]])+COUNTIF(Таблица1[loser2-ability3],Table914[[#This Row],[ability]])+COUNTIF(Table41[winner1-ability3],Table914[[#This Row],[ability]])+COUNTIF(Table41[winner2-ability3],Table914[[#This Row],[ability]])+COUNTIF(Table41[winner3-ability3],Table914[[#This Row],[ability]])+COUNTIF(Table41[loser1-ability3],Table914[[#This Row],[ability]])+COUNTIF(Table41[loser2-ability3],Table914[[#This Row],[ability]])+COUNTIF(Table41[loser3-ability3],Table914[[#This Row],[ability]])</f>
        <v>7</v>
      </c>
      <c r="C14" s="15">
        <f>COUNTIF(Таблица1[winner1-ability3],Table914[[#This Row],[ability]])+COUNTIF(Таблица1[winner2-ability3],Table914[[#This Row],[ability]])+COUNTIF(Table41[winner1-ability3],Table914[[#This Row],[ability]])+COUNTIF(Table41[winner2-ability3],Table914[[#This Row],[ability]])+COUNTIF(Table41[winner3-ability3],Table914[[#This Row],[ability]])</f>
        <v>2</v>
      </c>
      <c r="D14" s="19">
        <f>IF(SUM(Table914[[#This Row],[takes]]) &gt; 0,Table914[[#This Row],[takes]]/SUM(Table914[takes]),0)</f>
        <v>0.14893617021276595</v>
      </c>
      <c r="E14" s="19">
        <f>IF(Table914[[#This Row],[takes]]&gt;0,Table914[[#This Row],[wins]]/Table914[[#This Row],[takes]],0)</f>
        <v>0.2857142857142857</v>
      </c>
    </row>
    <row r="16" spans="1:9" x14ac:dyDescent="0.25">
      <c r="A16" s="11" t="s">
        <v>130</v>
      </c>
      <c r="B16" s="12" t="s">
        <v>131</v>
      </c>
      <c r="C16" s="12" t="s">
        <v>79</v>
      </c>
      <c r="D16" s="13" t="s">
        <v>138</v>
      </c>
      <c r="E16" s="13" t="s">
        <v>139</v>
      </c>
    </row>
    <row r="17" spans="1:5" x14ac:dyDescent="0.25">
      <c r="A17" s="2" t="s">
        <v>92</v>
      </c>
      <c r="B17" s="2">
        <f>COUNTIF(Таблица1[winner1-ability4],Table1015[[#This Row],[ability]])+COUNTIF(Таблица1[winner2-ability4],Table1015[[#This Row],[ability]])+COUNTIF(Таблица1[loser1-ability4],Table1015[[#This Row],[ability]])+COUNTIF(Таблица1[loser2-ability4],Table1015[[#This Row],[ability]])+COUNTIF(Table41[winner1-ability4],Table1015[[#This Row],[ability]])+COUNTIF(Table41[winner2-ability4],Table1015[[#This Row],[ability]])+COUNTIF(Table41[winner3-ability4],Table1015[[#This Row],[ability]])+COUNTIF(Table41[loser1-ability4],Table1015[[#This Row],[ability]])+COUNTIF(Table41[loser2-ability4],Table1015[[#This Row],[ability]])+COUNTIF(Table41[loser3-ability4],Table1015[[#This Row],[ability]])</f>
        <v>3</v>
      </c>
      <c r="C17" s="2">
        <f>COUNTIF(Таблица1[winner1-ability4],Table1015[[#This Row],[ability]])+COUNTIF(Таблица1[winner2-ability4],Table1015[[#This Row],[ability]])+COUNTIF(Table41[winner1-ability4],Table1015[[#This Row],[ability]])+COUNTIF(Table41[winner2-ability4],Table1015[[#This Row],[ability]])+COUNTIF(Table41[winner3-ability4],Table1015[[#This Row],[ability]])</f>
        <v>3</v>
      </c>
      <c r="D17" s="16">
        <f>IF(SUM(Table1015[[#This Row],[takes]]) &gt; 0,Table1015[[#This Row],[takes]]/SUM(Table1015[takes]),0)</f>
        <v>0.27272727272727271</v>
      </c>
      <c r="E17" s="16">
        <f>IF(Table1015[[#This Row],[takes]]&gt;0,Table1015[[#This Row],[wins]]/Table1015[[#This Row],[takes]],0)</f>
        <v>1</v>
      </c>
    </row>
    <row r="18" spans="1:5" x14ac:dyDescent="0.25">
      <c r="A18" s="2" t="s">
        <v>145</v>
      </c>
      <c r="B18" s="2">
        <f>COUNTIF(Таблица1[winner1-ability4],Table1015[[#This Row],[ability]])+COUNTIF(Таблица1[winner2-ability4],Table1015[[#This Row],[ability]])+COUNTIF(Таблица1[loser1-ability4],Table1015[[#This Row],[ability]])+COUNTIF(Таблица1[loser2-ability4],Table1015[[#This Row],[ability]])+COUNTIF(Table41[winner1-ability4],Table1015[[#This Row],[ability]])+COUNTIF(Table41[winner2-ability4],Table1015[[#This Row],[ability]])+COUNTIF(Table41[winner3-ability4],Table1015[[#This Row],[ability]])+COUNTIF(Table41[loser1-ability4],Table1015[[#This Row],[ability]])+COUNTIF(Table41[loser2-ability4],Table1015[[#This Row],[ability]])+COUNTIF(Table41[loser3-ability4],Table1015[[#This Row],[ability]])</f>
        <v>2</v>
      </c>
      <c r="C18" s="2">
        <f>COUNTIF(Таблица1[winner1-ability4],Table1015[[#This Row],[ability]])+COUNTIF(Таблица1[winner2-ability4],Table1015[[#This Row],[ability]])+COUNTIF(Table41[winner1-ability4],Table1015[[#This Row],[ability]])+COUNTIF(Table41[winner2-ability4],Table1015[[#This Row],[ability]])+COUNTIF(Table41[winner3-ability4],Table1015[[#This Row],[ability]])</f>
        <v>1</v>
      </c>
      <c r="D18" s="16">
        <f>IF(SUM(Table1015[[#This Row],[takes]]) &gt; 0,Table1015[[#This Row],[takes]]/SUM(Table1015[takes]),0)</f>
        <v>0.18181818181818182</v>
      </c>
      <c r="E18" s="16">
        <f>IF(Table1015[[#This Row],[takes]]&gt;0,Table1015[[#This Row],[wins]]/Table1015[[#This Row],[takes]],0)</f>
        <v>0.5</v>
      </c>
    </row>
    <row r="19" spans="1:5" x14ac:dyDescent="0.25">
      <c r="A19" s="14" t="s">
        <v>146</v>
      </c>
      <c r="B19" s="14">
        <f>COUNTIF(Таблица1[winner1-ability4],Table1015[[#This Row],[ability]])+COUNTIF(Таблица1[winner2-ability4],Table1015[[#This Row],[ability]])+COUNTIF(Таблица1[loser1-ability4],Table1015[[#This Row],[ability]])+COUNTIF(Таблица1[loser2-ability4],Table1015[[#This Row],[ability]])+COUNTIF(Table41[winner1-ability4],Table1015[[#This Row],[ability]])+COUNTIF(Table41[winner2-ability4],Table1015[[#This Row],[ability]])+COUNTIF(Table41[winner3-ability4],Table1015[[#This Row],[ability]])+COUNTIF(Table41[loser1-ability4],Table1015[[#This Row],[ability]])+COUNTIF(Table41[loser2-ability4],Table1015[[#This Row],[ability]])+COUNTIF(Table41[loser3-ability4],Table1015[[#This Row],[ability]])</f>
        <v>6</v>
      </c>
      <c r="C19" s="14">
        <f>COUNTIF(Таблица1[winner1-ability4],Table1015[[#This Row],[ability]])+COUNTIF(Таблица1[winner2-ability4],Table1015[[#This Row],[ability]])+COUNTIF(Table41[winner1-ability4],Table1015[[#This Row],[ability]])+COUNTIF(Table41[winner2-ability4],Table1015[[#This Row],[ability]])+COUNTIF(Table41[winner3-ability4],Table1015[[#This Row],[ability]])</f>
        <v>1</v>
      </c>
      <c r="D19" s="17">
        <f>IF(SUM(Table1015[[#This Row],[takes]]) &gt; 0,Table1015[[#This Row],[takes]]/SUM(Table1015[takes]),0)</f>
        <v>0.54545454545454541</v>
      </c>
      <c r="E19" s="17">
        <f>IF(Table1015[[#This Row],[takes]]&gt;0,Table1015[[#This Row],[wins]]/Table1015[[#This Row],[takes]],0)</f>
        <v>0.16666666666666666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F0DE2-EB6A-482A-AC9B-5515EB8CC8CE}">
  <dimension ref="A1:I19"/>
  <sheetViews>
    <sheetView workbookViewId="0">
      <selection activeCell="B17" sqref="B17"/>
    </sheetView>
  </sheetViews>
  <sheetFormatPr defaultRowHeight="15" x14ac:dyDescent="0.25"/>
  <cols>
    <col min="1" max="1" width="20.71093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7.28515625" bestFit="1" customWidth="1"/>
    <col min="9" max="9" width="12.85546875" bestFit="1" customWidth="1"/>
  </cols>
  <sheetData>
    <row r="1" spans="1:9" x14ac:dyDescent="0.25">
      <c r="A1" t="s">
        <v>130</v>
      </c>
      <c r="B1" t="s">
        <v>131</v>
      </c>
      <c r="C1" t="s">
        <v>79</v>
      </c>
      <c r="D1" s="3" t="s">
        <v>138</v>
      </c>
      <c r="E1" s="3" t="s">
        <v>139</v>
      </c>
      <c r="G1" t="s">
        <v>336</v>
      </c>
      <c r="H1" t="s">
        <v>341</v>
      </c>
      <c r="I1" t="s">
        <v>339</v>
      </c>
    </row>
    <row r="2" spans="1:9" x14ac:dyDescent="0.25">
      <c r="A2" t="s">
        <v>49</v>
      </c>
      <c r="B2">
        <f>COUNTIF(Таблица1[winner1-ability1],Table71216[[#This Row],[ability]])+COUNTIF(Таблица1[winner2-ability1],Table71216[[#This Row],[ability]])+COUNTIF(Таблица1[loser1-ability1],Table71216[[#This Row],[ability]])+COUNTIF(Таблица1[loser2-ability1],Table71216[[#This Row],[ability]])+COUNTIF(Table41[winner1-ability1],Table71216[[#This Row],[ability]])+COUNTIF(Table41[winner2-ability1],Table71216[[#This Row],[ability]])+COUNTIF(Table41[winner3-ability1],Table71216[[#This Row],[ability]])+COUNTIF(Table41[loser1-ability1],Table71216[[#This Row],[ability]])+COUNTIF(Table41[loser2-ability1],Table71216[[#This Row],[ability]])+COUNTIF(Table41[loser3-ability1],Table71216[[#This Row],[ability]])</f>
        <v>134</v>
      </c>
      <c r="C2">
        <f>COUNTIF(Таблица1[winner1-ability1],Table71216[[#This Row],[ability]])+COUNTIF(Таблица1[winner2-ability1],Table71216[[#This Row],[ability]])+COUNTIF(Table41[winner1-ability1],Table71216[[#This Row],[ability]])+COUNTIF(Table41[winner2-ability1],Table71216[[#This Row],[ability]])+COUNTIF(Table41[winner3-ability1],Table71216[[#This Row],[ability]])</f>
        <v>63</v>
      </c>
      <c r="D2" s="3">
        <f>IF(SUM(Table71216[[#This Row],[takes]]) &gt; 0,Table71216[[#This Row],[takes]]/SUM(Table71216[takes]),0)</f>
        <v>0.783625730994152</v>
      </c>
      <c r="E2" s="3">
        <f>IF(Table71216[[#This Row],[takes]]&gt;0,Table71216[[#This Row],[wins]]/Table71216[[#This Row],[takes]],0)</f>
        <v>0.47014925373134331</v>
      </c>
      <c r="G2">
        <v>1</v>
      </c>
      <c r="H2">
        <f>COUNTIFS(Таблица1[winner1],"druid",Таблица1[winner1-pw],Table424445[[#This Row],[level]])+COUNTIFS(Таблица1[winner2],"druid",Таблица1[winner2-pw],Table424445[[#This Row],[level]])+COUNTIFS(Таблица1[loser1],"druid",Таблица1[loser1-pw],Table424445[[#This Row],[level]])+COUNTIFS(Таблица1[loser2],"druid",Таблица1[loser2-pw],Table424445[[#This Row],[level]])+COUNTIFS(Table41[winner1],"druid",Table41[winner1-pw],Table424445[[#This Row],[level]])+COUNTIFS(Table41[winner2],"druid",Table41[winner2-pw],Table424445[[#This Row],[level]])+COUNTIFS(Table41[winner3],"druid",Table41[winner3-pw],Table424445[[#This Row],[level]])+COUNTIFS(Table41[loser1],"druid",Table41[loser1-pw],Table424445[[#This Row],[level]])+COUNTIFS(Table41[loser2],"druid",Table41[loser2-pw],Table424445[[#This Row],[level]])+COUNTIFS(Table41[loser3],"druid",Table41[loser3-pw],Table424445[[#This Row],[level]])</f>
        <v>169</v>
      </c>
      <c r="I2">
        <f>COUNTIFS(Таблица1[winner1],"druid",Таблица1[winner1-cp],Table424445[[#This Row],[level]])+COUNTIFS(Таблица1[winner2],"druid",Таблица1[winner2-cp],Table424445[[#This Row],[level]])+COUNTIFS(Таблица1[loser1],"druid",Таблица1[loser1-cp],Table424445[[#This Row],[level]])+COUNTIFS(Таблица1[loser2],"druid",Таблица1[loser2-cp],Table424445[[#This Row],[level]])+COUNTIFS(Table41[winner1],"druid",Table41[winner1-cp],Table424445[[#This Row],[level]])+COUNTIFS(Table41[winner2],"druid",Table41[winner2-cp],Table424445[[#This Row],[level]])+COUNTIFS(Table41[winner3],"druid",Table41[winner3-cp],Table424445[[#This Row],[level]])+COUNTIFS(Table41[loser1],"druid",Table41[loser1-cp],Table424445[[#This Row],[level]])+COUNTIFS(Table41[loser2],"druid",Table41[loser2-cp],Table424445[[#This Row],[level]])+COUNTIFS(Table41[loser3],"druid",Table41[loser3-cp],Table424445[[#This Row],[level]])</f>
        <v>144</v>
      </c>
    </row>
    <row r="3" spans="1:9" x14ac:dyDescent="0.25">
      <c r="A3" t="s">
        <v>93</v>
      </c>
      <c r="B3">
        <f>COUNTIF(Таблица1[winner1-ability1],Table71216[[#This Row],[ability]])+COUNTIF(Таблица1[winner2-ability1],Table71216[[#This Row],[ability]])+COUNTIF(Таблица1[loser1-ability1],Table71216[[#This Row],[ability]])+COUNTIF(Таблица1[loser2-ability1],Table71216[[#This Row],[ability]])+COUNTIF(Table41[winner1-ability1],Table71216[[#This Row],[ability]])+COUNTIF(Table41[winner2-ability1],Table71216[[#This Row],[ability]])+COUNTIF(Table41[winner3-ability1],Table71216[[#This Row],[ability]])+COUNTIF(Table41[loser1-ability1],Table71216[[#This Row],[ability]])+COUNTIF(Table41[loser2-ability1],Table71216[[#This Row],[ability]])+COUNTIF(Table41[loser3-ability1],Table71216[[#This Row],[ability]])</f>
        <v>18</v>
      </c>
      <c r="C3">
        <f>COUNTIF(Таблица1[winner1-ability1],Table71216[[#This Row],[ability]])+COUNTIF(Таблица1[winner2-ability1],Table71216[[#This Row],[ability]])+COUNTIF(Table41[winner1-ability1],Table71216[[#This Row],[ability]])+COUNTIF(Table41[winner2-ability1],Table71216[[#This Row],[ability]])+COUNTIF(Table41[winner3-ability1],Table71216[[#This Row],[ability]])</f>
        <v>8</v>
      </c>
      <c r="D3" s="3">
        <f>IF(SUM(Table71216[[#This Row],[takes]]) &gt; 0,Table71216[[#This Row],[takes]]/SUM(Table71216[takes]),0)</f>
        <v>0.10526315789473684</v>
      </c>
      <c r="E3" s="3">
        <f>IF(Table71216[[#This Row],[takes]]&gt;0,Table71216[[#This Row],[wins]]/Table71216[[#This Row],[takes]],0)</f>
        <v>0.44444444444444442</v>
      </c>
      <c r="G3">
        <v>2</v>
      </c>
      <c r="H3">
        <f>COUNTIFS(Таблица1[winner1],"druid",Таблица1[winner1-pw],Table424445[[#This Row],[level]])+COUNTIFS(Таблица1[winner2],"druid",Таблица1[winner2-pw],Table424445[[#This Row],[level]])+COUNTIFS(Таблица1[loser1],"druid",Таблица1[loser1-pw],Table424445[[#This Row],[level]])+COUNTIFS(Таблица1[loser2],"druid",Таблица1[loser2-pw],Table424445[[#This Row],[level]])+COUNTIFS(Table41[winner1],"druid",Table41[winner1-pw],Table424445[[#This Row],[level]])+COUNTIFS(Table41[winner2],"druid",Table41[winner2-pw],Table424445[[#This Row],[level]])+COUNTIFS(Table41[winner3],"druid",Table41[winner3-pw],Table424445[[#This Row],[level]])+COUNTIFS(Table41[loser1],"druid",Table41[loser1-pw],Table424445[[#This Row],[level]])+COUNTIFS(Table41[loser2],"druid",Table41[loser2-pw],Table424445[[#This Row],[level]])+COUNTIFS(Table41[loser3],"druid",Table41[loser3-pw],Table424445[[#This Row],[level]])</f>
        <v>2</v>
      </c>
      <c r="I3">
        <f>COUNTIFS(Таблица1[winner1],"druid",Таблица1[winner1-cp],Table424445[[#This Row],[level]])+COUNTIFS(Таблица1[winner2],"druid",Таблица1[winner2-cp],Table424445[[#This Row],[level]])+COUNTIFS(Таблица1[loser1],"druid",Таблица1[loser1-cp],Table424445[[#This Row],[level]])+COUNTIFS(Таблица1[loser2],"druid",Таблица1[loser2-cp],Table424445[[#This Row],[level]])+COUNTIFS(Table41[winner1],"druid",Table41[winner1-cp],Table424445[[#This Row],[level]])+COUNTIFS(Table41[winner2],"druid",Table41[winner2-cp],Table424445[[#This Row],[level]])+COUNTIFS(Table41[winner3],"druid",Table41[winner3-cp],Table424445[[#This Row],[level]])+COUNTIFS(Table41[loser1],"druid",Table41[loser1-cp],Table424445[[#This Row],[level]])+COUNTIFS(Table41[loser2],"druid",Table41[loser2-cp],Table424445[[#This Row],[level]])+COUNTIFS(Table41[loser3],"druid",Table41[loser3-cp],Table424445[[#This Row],[level]])</f>
        <v>19</v>
      </c>
    </row>
    <row r="4" spans="1:9" x14ac:dyDescent="0.25">
      <c r="A4" t="s">
        <v>147</v>
      </c>
      <c r="B4">
        <f>COUNTIF(Таблица1[winner1-ability1],Table71216[[#This Row],[ability]])+COUNTIF(Таблица1[winner2-ability1],Table71216[[#This Row],[ability]])+COUNTIF(Таблица1[loser1-ability1],Table71216[[#This Row],[ability]])+COUNTIF(Таблица1[loser2-ability1],Table71216[[#This Row],[ability]])+COUNTIF(Table41[winner1-ability1],Table71216[[#This Row],[ability]])+COUNTIF(Table41[winner2-ability1],Table71216[[#This Row],[ability]])+COUNTIF(Table41[winner3-ability1],Table71216[[#This Row],[ability]])+COUNTIF(Table41[loser1-ability1],Table71216[[#This Row],[ability]])+COUNTIF(Table41[loser2-ability1],Table71216[[#This Row],[ability]])+COUNTIF(Table41[loser3-ability1],Table71216[[#This Row],[ability]])</f>
        <v>19</v>
      </c>
      <c r="C4">
        <f>COUNTIF(Таблица1[winner1-ability1],Table71216[[#This Row],[ability]])+COUNTIF(Таблица1[winner2-ability1],Table71216[[#This Row],[ability]])+COUNTIF(Table41[winner1-ability1],Table71216[[#This Row],[ability]])+COUNTIF(Table41[winner2-ability1],Table71216[[#This Row],[ability]])+COUNTIF(Table41[winner3-ability1],Table71216[[#This Row],[ability]])</f>
        <v>6</v>
      </c>
      <c r="D4" s="3">
        <f>IF(SUM(Table71216[[#This Row],[takes]]) &gt; 0,Table71216[[#This Row],[takes]]/SUM(Table71216[takes]),0)</f>
        <v>0.1111111111111111</v>
      </c>
      <c r="E4" s="3">
        <f>IF(Table71216[[#This Row],[takes]]&gt;0,Table71216[[#This Row],[wins]]/Table71216[[#This Row],[takes]],0)</f>
        <v>0.31578947368421051</v>
      </c>
      <c r="G4">
        <v>3</v>
      </c>
      <c r="H4">
        <f>COUNTIFS(Таблица1[winner1],"druid",Таблица1[winner1-pw],Table424445[[#This Row],[level]])+COUNTIFS(Таблица1[winner2],"druid",Таблица1[winner2-pw],Table424445[[#This Row],[level]])+COUNTIFS(Таблица1[loser1],"druid",Таблица1[loser1-pw],Table424445[[#This Row],[level]])+COUNTIFS(Таблица1[loser2],"druid",Таблица1[loser2-pw],Table424445[[#This Row],[level]])+COUNTIFS(Table41[winner1],"druid",Table41[winner1-pw],Table424445[[#This Row],[level]])+COUNTIFS(Table41[winner2],"druid",Table41[winner2-pw],Table424445[[#This Row],[level]])+COUNTIFS(Table41[winner3],"druid",Table41[winner3-pw],Table424445[[#This Row],[level]])+COUNTIFS(Table41[loser1],"druid",Table41[loser1-pw],Table424445[[#This Row],[level]])+COUNTIFS(Table41[loser2],"druid",Table41[loser2-pw],Table424445[[#This Row],[level]])+COUNTIFS(Table41[loser3],"druid",Table41[loser3-pw],Table424445[[#This Row],[level]])</f>
        <v>0</v>
      </c>
      <c r="I4">
        <f>COUNTIFS(Таблица1[winner1],"druid",Таблица1[winner1-cp],Table424445[[#This Row],[level]])+COUNTIFS(Таблица1[winner2],"druid",Таблица1[winner2-cp],Table424445[[#This Row],[level]])+COUNTIFS(Таблица1[loser1],"druid",Таблица1[loser1-cp],Table424445[[#This Row],[level]])+COUNTIFS(Таблица1[loser2],"druid",Таблица1[loser2-cp],Table424445[[#This Row],[level]])+COUNTIFS(Table41[winner1],"druid",Table41[winner1-cp],Table424445[[#This Row],[level]])+COUNTIFS(Table41[winner2],"druid",Table41[winner2-cp],Table424445[[#This Row],[level]])+COUNTIFS(Table41[winner3],"druid",Table41[winner3-cp],Table424445[[#This Row],[level]])+COUNTIFS(Table41[loser1],"druid",Table41[loser1-cp],Table424445[[#This Row],[level]])+COUNTIFS(Table41[loser2],"druid",Table41[loser2-cp],Table424445[[#This Row],[level]])+COUNTIFS(Table41[loser3],"druid",Table41[loser3-cp],Table424445[[#This Row],[level]])</f>
        <v>8</v>
      </c>
    </row>
    <row r="6" spans="1:9" x14ac:dyDescent="0.25">
      <c r="A6" s="11" t="s">
        <v>130</v>
      </c>
      <c r="B6" s="12" t="s">
        <v>131</v>
      </c>
      <c r="C6" s="12" t="s">
        <v>79</v>
      </c>
      <c r="D6" s="13" t="s">
        <v>138</v>
      </c>
      <c r="E6" s="13" t="s">
        <v>139</v>
      </c>
    </row>
    <row r="7" spans="1:9" x14ac:dyDescent="0.25">
      <c r="A7" s="2" t="s">
        <v>71</v>
      </c>
      <c r="B7" s="2">
        <f>COUNTIF(Таблица1[winner1-ability2],Table81317[[#This Row],[ability]])+COUNTIF(Таблица1[winner2-ability2],Table81317[[#This Row],[ability]])+COUNTIF(Таблица1[loser1-ability2],Table81317[[#This Row],[ability]])+COUNTIF(Таблица1[loser2-ability2],Table81317[[#This Row],[ability]])+COUNTIF(Table41[winner1-ability2],Table81317[[#This Row],[ability]])+COUNTIF(Table41[winner2-ability2],Table81317[[#This Row],[ability]])+COUNTIF(Table41[winner3-ability2],Table81317[[#This Row],[ability]])+COUNTIF(Table41[loser1-ability2],Table81317[[#This Row],[ability]])+COUNTIF(Table41[loser2-ability2],Table81317[[#This Row],[ability]])+COUNTIF(Table41[loser3-ability2],Table81317[[#This Row],[ability]])</f>
        <v>75</v>
      </c>
      <c r="C7" s="2">
        <f>COUNTIF(Таблица1[winner1-ability2],Table81317[[#This Row],[ability]])+COUNTIF(Таблица1[winner2-ability2],Table81317[[#This Row],[ability]])+COUNTIF(Table41[winner1-ability2],Table81317[[#This Row],[ability]])+COUNTIF(Table41[winner2-ability2],Table81317[[#This Row],[ability]])+COUNTIF(Table41[winner3-ability2],Table81317[[#This Row],[ability]])</f>
        <v>49</v>
      </c>
      <c r="D7" s="16">
        <f>IF(SUM(Table81317[[#This Row],[takes]]) &gt; 0,Table81317[[#This Row],[takes]]/SUM(Table81317[takes]),0)</f>
        <v>0.5859375</v>
      </c>
      <c r="E7" s="16">
        <f>IF(Table81317[[#This Row],[takes]]&gt;0,Table81317[[#This Row],[wins]]/Table81317[[#This Row],[takes]],0)</f>
        <v>0.65333333333333332</v>
      </c>
    </row>
    <row r="8" spans="1:9" x14ac:dyDescent="0.25">
      <c r="A8" t="s">
        <v>50</v>
      </c>
      <c r="B8">
        <f>COUNTIF(Таблица1[winner1-ability2],Table81317[[#This Row],[ability]])+COUNTIF(Таблица1[winner2-ability2],Table81317[[#This Row],[ability]])+COUNTIF(Таблица1[loser1-ability2],Table81317[[#This Row],[ability]])+COUNTIF(Таблица1[loser2-ability2],Table81317[[#This Row],[ability]])+COUNTIF(Table41[winner1-ability2],Table81317[[#This Row],[ability]])+COUNTIF(Table41[winner2-ability2],Table81317[[#This Row],[ability]])+COUNTIF(Table41[winner3-ability2],Table81317[[#This Row],[ability]])+COUNTIF(Table41[loser1-ability2],Table81317[[#This Row],[ability]])+COUNTIF(Table41[loser2-ability2],Table81317[[#This Row],[ability]])+COUNTIF(Table41[loser3-ability2],Table81317[[#This Row],[ability]])</f>
        <v>27</v>
      </c>
      <c r="C8">
        <f>COUNTIF(Таблица1[winner1-ability2],Table81317[[#This Row],[ability]])+COUNTIF(Таблица1[winner2-ability2],Table81317[[#This Row],[ability]])+COUNTIF(Table41[winner1-ability2],Table81317[[#This Row],[ability]])+COUNTIF(Table41[winner2-ability2],Table81317[[#This Row],[ability]])+COUNTIF(Table41[winner3-ability2],Table81317[[#This Row],[ability]])</f>
        <v>12</v>
      </c>
      <c r="D8" s="3">
        <f>IF(SUM(Table81317[[#This Row],[takes]]) &gt; 0,Table81317[[#This Row],[takes]]/SUM(Table81317[takes]),0)</f>
        <v>0.2109375</v>
      </c>
      <c r="E8" s="3">
        <f>IF(Table81317[[#This Row],[takes]]&gt;0,Table81317[[#This Row],[wins]]/Table81317[[#This Row],[takes]],0)</f>
        <v>0.44444444444444442</v>
      </c>
    </row>
    <row r="9" spans="1:9" x14ac:dyDescent="0.25">
      <c r="A9" s="14" t="s">
        <v>85</v>
      </c>
      <c r="B9" s="14">
        <f>COUNTIF(Таблица1[winner1-ability2],Table81317[[#This Row],[ability]])+COUNTIF(Таблица1[winner2-ability2],Table81317[[#This Row],[ability]])+COUNTIF(Таблица1[loser1-ability2],Table81317[[#This Row],[ability]])+COUNTIF(Таблица1[loser2-ability2],Table81317[[#This Row],[ability]])+COUNTIF(Table41[winner1-ability2],Table81317[[#This Row],[ability]])+COUNTIF(Table41[winner2-ability2],Table81317[[#This Row],[ability]])+COUNTIF(Table41[winner3-ability2],Table81317[[#This Row],[ability]])+COUNTIF(Table41[loser1-ability2],Table81317[[#This Row],[ability]])+COUNTIF(Table41[loser2-ability2],Table81317[[#This Row],[ability]])+COUNTIF(Table41[loser3-ability2],Table81317[[#This Row],[ability]])</f>
        <v>26</v>
      </c>
      <c r="C9" s="14">
        <f>COUNTIF(Таблица1[winner1-ability2],Table81317[[#This Row],[ability]])+COUNTIF(Таблица1[winner2-ability2],Table81317[[#This Row],[ability]])+COUNTIF(Table41[winner1-ability2],Table81317[[#This Row],[ability]])+COUNTIF(Table41[winner2-ability2],Table81317[[#This Row],[ability]])+COUNTIF(Table41[winner3-ability2],Table81317[[#This Row],[ability]])</f>
        <v>7</v>
      </c>
      <c r="D9" s="17">
        <f>IF(SUM(Table81317[[#This Row],[takes]]) &gt; 0,Table81317[[#This Row],[takes]]/SUM(Table81317[takes]),0)</f>
        <v>0.203125</v>
      </c>
      <c r="E9" s="17">
        <f>IF(Table81317[[#This Row],[takes]]&gt;0,Table81317[[#This Row],[wins]]/Table81317[[#This Row],[takes]],0)</f>
        <v>0.26923076923076922</v>
      </c>
    </row>
    <row r="11" spans="1:9" x14ac:dyDescent="0.25">
      <c r="A11" s="11" t="s">
        <v>130</v>
      </c>
      <c r="B11" s="12" t="s">
        <v>131</v>
      </c>
      <c r="C11" s="12" t="s">
        <v>79</v>
      </c>
      <c r="D11" s="13" t="s">
        <v>138</v>
      </c>
      <c r="E11" s="13" t="s">
        <v>139</v>
      </c>
    </row>
    <row r="12" spans="1:9" x14ac:dyDescent="0.25">
      <c r="A12" s="1" t="s">
        <v>51</v>
      </c>
      <c r="B12" s="1">
        <f>COUNTIF(Таблица1[winner1-ability3],Table91418[[#This Row],[ability]])+COUNTIF(Таблица1[winner2-ability3],Table91418[[#This Row],[ability]])+COUNTIF(Таблица1[loser1-ability3],Table91418[[#This Row],[ability]])+COUNTIF(Таблица1[loser2-ability3],Table91418[[#This Row],[ability]])+COUNTIF(Table41[winner1-ability3],Table91418[[#This Row],[ability]])+COUNTIF(Table41[winner2-ability3],Table91418[[#This Row],[ability]])+COUNTIF(Table41[winner3-ability3],Table91418[[#This Row],[ability]])+COUNTIF(Table41[loser1-ability3],Table91418[[#This Row],[ability]])+COUNTIF(Table41[loser2-ability3],Table91418[[#This Row],[ability]])+COUNTIF(Table41[loser3-ability3],Table91418[[#This Row],[ability]])</f>
        <v>43</v>
      </c>
      <c r="C12" s="1">
        <f>COUNTIF(Таблица1[winner1-ability3],Table91418[[#This Row],[ability]])+COUNTIF(Таблица1[winner2-ability3],Table91418[[#This Row],[ability]])+COUNTIF(Table41[winner1-ability3],Table91418[[#This Row],[ability]])+COUNTIF(Table41[winner2-ability3],Table91418[[#This Row],[ability]])+COUNTIF(Table41[winner3-ability3],Table91418[[#This Row],[ability]])</f>
        <v>26</v>
      </c>
      <c r="D12" s="18">
        <f>IF(SUM(Table91418[[#This Row],[takes]]) &gt; 0,Table91418[[#This Row],[takes]]/SUM(Table91418[takes]),0)</f>
        <v>0.56578947368421051</v>
      </c>
      <c r="E12" s="18">
        <f>IF(Table91418[[#This Row],[takes]]&gt;0,Table91418[[#This Row],[wins]]/Table91418[[#This Row],[takes]],0)</f>
        <v>0.60465116279069764</v>
      </c>
    </row>
    <row r="13" spans="1:9" x14ac:dyDescent="0.25">
      <c r="A13" s="2" t="s">
        <v>148</v>
      </c>
      <c r="B13" s="2">
        <f>COUNTIF(Таблица1[winner1-ability3],Table91418[[#This Row],[ability]])+COUNTIF(Таблица1[winner2-ability3],Table91418[[#This Row],[ability]])+COUNTIF(Таблица1[loser1-ability3],Table91418[[#This Row],[ability]])+COUNTIF(Таблица1[loser2-ability3],Table91418[[#This Row],[ability]])+COUNTIF(Table41[winner1-ability3],Table91418[[#This Row],[ability]])+COUNTIF(Table41[winner2-ability3],Table91418[[#This Row],[ability]])+COUNTIF(Table41[winner3-ability3],Table91418[[#This Row],[ability]])+COUNTIF(Table41[loser1-ability3],Table91418[[#This Row],[ability]])+COUNTIF(Table41[loser2-ability3],Table91418[[#This Row],[ability]])+COUNTIF(Table41[loser3-ability3],Table91418[[#This Row],[ability]])</f>
        <v>29</v>
      </c>
      <c r="C13" s="2">
        <f>COUNTIF(Таблица1[winner1-ability3],Table91418[[#This Row],[ability]])+COUNTIF(Таблица1[winner2-ability3],Table91418[[#This Row],[ability]])+COUNTIF(Table41[winner1-ability3],Table91418[[#This Row],[ability]])+COUNTIF(Table41[winner2-ability3],Table91418[[#This Row],[ability]])+COUNTIF(Table41[winner3-ability3],Table91418[[#This Row],[ability]])</f>
        <v>16</v>
      </c>
      <c r="D13" s="16">
        <f>IF(SUM(Table91418[[#This Row],[takes]]) &gt; 0,Table91418[[#This Row],[takes]]/SUM(Table91418[takes]),0)</f>
        <v>0.38157894736842107</v>
      </c>
      <c r="E13" s="16">
        <f>IF(Table91418[[#This Row],[takes]]&gt;0,Table91418[[#This Row],[wins]]/Table91418[[#This Row],[takes]],0)</f>
        <v>0.55172413793103448</v>
      </c>
    </row>
    <row r="14" spans="1:9" x14ac:dyDescent="0.25">
      <c r="A14" s="15" t="s">
        <v>94</v>
      </c>
      <c r="B14" s="15">
        <f>COUNTIF(Таблица1[winner1-ability3],Table91418[[#This Row],[ability]])+COUNTIF(Таблица1[winner2-ability3],Table91418[[#This Row],[ability]])+COUNTIF(Таблица1[loser1-ability3],Table91418[[#This Row],[ability]])+COUNTIF(Таблица1[loser2-ability3],Table91418[[#This Row],[ability]])+COUNTIF(Table41[winner1-ability3],Table91418[[#This Row],[ability]])+COUNTIF(Table41[winner2-ability3],Table91418[[#This Row],[ability]])+COUNTIF(Table41[winner3-ability3],Table91418[[#This Row],[ability]])+COUNTIF(Table41[loser1-ability3],Table91418[[#This Row],[ability]])+COUNTIF(Table41[loser2-ability3],Table91418[[#This Row],[ability]])+COUNTIF(Table41[loser3-ability3],Table91418[[#This Row],[ability]])</f>
        <v>4</v>
      </c>
      <c r="C14" s="15">
        <f>COUNTIF(Таблица1[winner1-ability3],Table91418[[#This Row],[ability]])+COUNTIF(Таблица1[winner2-ability3],Table91418[[#This Row],[ability]])+COUNTIF(Table41[winner1-ability3],Table91418[[#This Row],[ability]])+COUNTIF(Table41[winner2-ability3],Table91418[[#This Row],[ability]])+COUNTIF(Table41[winner3-ability3],Table91418[[#This Row],[ability]])</f>
        <v>1</v>
      </c>
      <c r="D14" s="19">
        <f>IF(SUM(Table91418[[#This Row],[takes]]) &gt; 0,Table91418[[#This Row],[takes]]/SUM(Table91418[takes]),0)</f>
        <v>5.2631578947368418E-2</v>
      </c>
      <c r="E14" s="19">
        <f>IF(Table91418[[#This Row],[takes]]&gt;0,Table91418[[#This Row],[wins]]/Table91418[[#This Row],[takes]],0)</f>
        <v>0.25</v>
      </c>
    </row>
    <row r="16" spans="1:9" x14ac:dyDescent="0.25">
      <c r="A16" s="11" t="s">
        <v>130</v>
      </c>
      <c r="B16" s="12" t="s">
        <v>131</v>
      </c>
      <c r="C16" s="12" t="s">
        <v>79</v>
      </c>
      <c r="D16" s="13" t="s">
        <v>138</v>
      </c>
      <c r="E16" s="13" t="s">
        <v>139</v>
      </c>
    </row>
    <row r="17" spans="1:5" x14ac:dyDescent="0.25">
      <c r="A17" s="2" t="s">
        <v>149</v>
      </c>
      <c r="B17" s="2">
        <f>COUNTIF(Таблица1[winner1-ability4],Table101519[[#This Row],[ability]])+COUNTIF(Таблица1[winner2-ability4],Table101519[[#This Row],[ability]])+COUNTIF(Таблица1[loser1-ability4],Table101519[[#This Row],[ability]])+COUNTIF(Таблица1[loser2-ability4],Table101519[[#This Row],[ability]])+COUNTIF(Table41[winner1-ability4],Table101519[[#This Row],[ability]])+COUNTIF(Table41[winner2-ability4],Table101519[[#This Row],[ability]])+COUNTIF(Table41[winner3-ability4],Table101519[[#This Row],[ability]])+COUNTIF(Table41[loser1-ability4],Table101519[[#This Row],[ability]])+COUNTIF(Table41[loser2-ability4],Table101519[[#This Row],[ability]])+COUNTIF(Table41[loser3-ability4],Table101519[[#This Row],[ability]])</f>
        <v>1</v>
      </c>
      <c r="C17" s="2">
        <f>COUNTIF(Таблица1[winner1-ability4],Table101519[[#This Row],[ability]])+COUNTIF(Таблица1[winner2-ability4],Table101519[[#This Row],[ability]])+COUNTIF(Table41[winner1-ability4],Table101519[[#This Row],[ability]])+COUNTIF(Table41[winner2-ability4],Table101519[[#This Row],[ability]])+COUNTIF(Table41[winner3-ability4],Table101519[[#This Row],[ability]])</f>
        <v>1</v>
      </c>
      <c r="D17" s="16">
        <f>IF(SUM(Table101519[[#This Row],[takes]]) &gt; 0,Table101519[[#This Row],[takes]]/SUM(Table101519[takes]),0)</f>
        <v>3.0303030303030304E-2</v>
      </c>
      <c r="E17" s="16">
        <f>IF(Table101519[[#This Row],[takes]]&gt;0,Table101519[[#This Row],[wins]]/Table101519[[#This Row],[takes]],0)</f>
        <v>1</v>
      </c>
    </row>
    <row r="18" spans="1:5" x14ac:dyDescent="0.25">
      <c r="A18" s="2" t="s">
        <v>52</v>
      </c>
      <c r="B18" s="2">
        <f>COUNTIF(Таблица1[winner1-ability4],Table101519[[#This Row],[ability]])+COUNTIF(Таблица1[winner2-ability4],Table101519[[#This Row],[ability]])+COUNTIF(Таблица1[loser1-ability4],Table101519[[#This Row],[ability]])+COUNTIF(Таблица1[loser2-ability4],Table101519[[#This Row],[ability]])+COUNTIF(Table41[winner1-ability4],Table101519[[#This Row],[ability]])+COUNTIF(Table41[winner2-ability4],Table101519[[#This Row],[ability]])+COUNTIF(Table41[winner3-ability4],Table101519[[#This Row],[ability]])+COUNTIF(Table41[loser1-ability4],Table101519[[#This Row],[ability]])+COUNTIF(Table41[loser2-ability4],Table101519[[#This Row],[ability]])+COUNTIF(Table41[loser3-ability4],Table101519[[#This Row],[ability]])</f>
        <v>32</v>
      </c>
      <c r="C18" s="2">
        <f>COUNTIF(Таблица1[winner1-ability4],Table101519[[#This Row],[ability]])+COUNTIF(Таблица1[winner2-ability4],Table101519[[#This Row],[ability]])+COUNTIF(Table41[winner1-ability4],Table101519[[#This Row],[ability]])+COUNTIF(Table41[winner2-ability4],Table101519[[#This Row],[ability]])+COUNTIF(Table41[winner3-ability4],Table101519[[#This Row],[ability]])</f>
        <v>14</v>
      </c>
      <c r="D18" s="16">
        <f>IF(SUM(Table101519[[#This Row],[takes]]) &gt; 0,Table101519[[#This Row],[takes]]/SUM(Table101519[takes]),0)</f>
        <v>0.96969696969696972</v>
      </c>
      <c r="E18" s="16">
        <f>IF(Table101519[[#This Row],[takes]]&gt;0,Table101519[[#This Row],[wins]]/Table101519[[#This Row],[takes]],0)</f>
        <v>0.4375</v>
      </c>
    </row>
    <row r="19" spans="1:5" x14ac:dyDescent="0.25">
      <c r="A19" s="14" t="s">
        <v>150</v>
      </c>
      <c r="B19" s="14">
        <f>COUNTIF(Таблица1[winner1-ability4],Table101519[[#This Row],[ability]])+COUNTIF(Таблица1[winner2-ability4],Table101519[[#This Row],[ability]])+COUNTIF(Таблица1[loser1-ability4],Table101519[[#This Row],[ability]])+COUNTIF(Таблица1[loser2-ability4],Table101519[[#This Row],[ability]])+COUNTIF(Table41[winner1-ability4],Table101519[[#This Row],[ability]])+COUNTIF(Table41[winner2-ability4],Table101519[[#This Row],[ability]])+COUNTIF(Table41[winner3-ability4],Table101519[[#This Row],[ability]])+COUNTIF(Table41[loser1-ability4],Table101519[[#This Row],[ability]])+COUNTIF(Table41[loser2-ability4],Table101519[[#This Row],[ability]])+COUNTIF(Table41[loser3-ability4],Table101519[[#This Row],[ability]])</f>
        <v>0</v>
      </c>
      <c r="C19" s="14">
        <f>COUNTIF(Таблица1[winner1-ability4],Table101519[[#This Row],[ability]])+COUNTIF(Таблица1[winner2-ability4],Table101519[[#This Row],[ability]])+COUNTIF(Table41[winner1-ability4],Table101519[[#This Row],[ability]])+COUNTIF(Table41[winner2-ability4],Table101519[[#This Row],[ability]])+COUNTIF(Table41[winner3-ability4],Table101519[[#This Row],[ability]])</f>
        <v>0</v>
      </c>
      <c r="D19" s="17">
        <f>IF(SUM(Table101519[[#This Row],[takes]]) &gt; 0,Table101519[[#This Row],[takes]]/SUM(Table101519[takes]),0)</f>
        <v>0</v>
      </c>
      <c r="E19" s="17">
        <f>IF(Table101519[[#This Row],[takes]]&gt;0,Table101519[[#This Row],[wins]]/Table101519[[#This Row],[takes]],0)</f>
        <v>0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99E26-DF89-4884-B150-0C0BE369FE45}">
  <dimension ref="A1:I19"/>
  <sheetViews>
    <sheetView workbookViewId="0">
      <selection activeCell="A22" sqref="A22"/>
    </sheetView>
  </sheetViews>
  <sheetFormatPr defaultRowHeight="15" x14ac:dyDescent="0.25"/>
  <cols>
    <col min="1" max="1" width="24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8" width="7.7109375" bestFit="1" customWidth="1"/>
    <col min="9" max="9" width="12.85546875" bestFit="1" customWidth="1"/>
  </cols>
  <sheetData>
    <row r="1" spans="1:9" x14ac:dyDescent="0.25">
      <c r="A1" t="s">
        <v>130</v>
      </c>
      <c r="B1" t="s">
        <v>131</v>
      </c>
      <c r="C1" t="s">
        <v>79</v>
      </c>
      <c r="D1" s="3" t="s">
        <v>138</v>
      </c>
      <c r="E1" s="3" t="s">
        <v>139</v>
      </c>
      <c r="G1" t="s">
        <v>336</v>
      </c>
      <c r="H1" t="s">
        <v>342</v>
      </c>
      <c r="I1" t="s">
        <v>339</v>
      </c>
    </row>
    <row r="2" spans="1:9" x14ac:dyDescent="0.25">
      <c r="A2" t="s">
        <v>46</v>
      </c>
      <c r="B2">
        <f>COUNTIF(Таблица1[winner1-ability1],Table7121620[[#This Row],[ability]])+COUNTIF(Таблица1[winner2-ability1],Table7121620[[#This Row],[ability]])+COUNTIF(Таблица1[loser1-ability1],Table7121620[[#This Row],[ability]])+COUNTIF(Таблица1[loser2-ability1],Table7121620[[#This Row],[ability]])+COUNTIF(Table41[winner1-ability1],Table7121620[[#This Row],[ability]])+COUNTIF(Table41[winner2-ability1],Table7121620[[#This Row],[ability]])+COUNTIF(Table41[winner3-ability1],Table7121620[[#This Row],[ability]])+COUNTIF(Table41[loser1-ability1],Table7121620[[#This Row],[ability]])+COUNTIF(Table41[loser2-ability1],Table7121620[[#This Row],[ability]])+COUNTIF(Table41[loser3-ability1],Table7121620[[#This Row],[ability]])</f>
        <v>67</v>
      </c>
      <c r="C2">
        <f>COUNTIF(Таблица1[winner1-ability1],Table7121620[[#This Row],[ability]])+COUNTIF(Таблица1[winner2-ability1],Table7121620[[#This Row],[ability]])+COUNTIF(Table41[winner1-ability1],Table7121620[[#This Row],[ability]])+COUNTIF(Table41[winner2-ability1],Table7121620[[#This Row],[ability]])+COUNTIF(Table41[winner3-ability1],Table7121620[[#This Row],[ability]])</f>
        <v>37</v>
      </c>
      <c r="D2" s="3">
        <f>IF(SUM(Table7121620[[#This Row],[takes]]) &gt; 0,Table7121620[[#This Row],[takes]]/SUM(Table7121620[takes]),0)</f>
        <v>0.40853658536585363</v>
      </c>
      <c r="E2" s="3">
        <f>IF(Table7121620[[#This Row],[takes]]&gt;0,Table7121620[[#This Row],[wins]]/Table7121620[[#This Row],[takes]],0)</f>
        <v>0.55223880597014929</v>
      </c>
      <c r="G2">
        <v>1</v>
      </c>
      <c r="H2">
        <f>COUNTIFS(Таблица1[winner1],"oracle",Таблица1[winner1-pw],Table42444546[[#This Row],[level]])+COUNTIFS(Таблица1[winner2],"oracle",Таблица1[winner2-pw],Table42444546[[#This Row],[level]])+COUNTIFS(Таблица1[loser1],"oracle",Таблица1[loser1-pw],Table42444546[[#This Row],[level]])+COUNTIFS(Таблица1[loser2],"oracle",Таблица1[loser2-pw],Table42444546[[#This Row],[level]])+COUNTIFS(Table41[winner1],"oracle",Table41[winner1-pw],Table42444546[[#This Row],[level]])+COUNTIFS(Table41[winner2],"oracle",Table41[winner2-pw],Table42444546[[#This Row],[level]])+COUNTIFS(Table41[winner3],"oracle",Table41[winner3-pw],Table42444546[[#This Row],[level]])+COUNTIFS(Table41[loser1],"oracle",Table41[loser1-pw],Table42444546[[#This Row],[level]])+COUNTIFS(Table41[loser2],"oracle",Table41[loser2-pw],Table42444546[[#This Row],[level]])+COUNTIFS(Table41[loser3],"oracle",Table41[loser3-pw],Table42444546[[#This Row],[level]])</f>
        <v>163</v>
      </c>
      <c r="I2">
        <f>COUNTIFS(Таблица1[winner1],"oracle",Таблица1[winner1-cp],Table42444546[[#This Row],[level]])+COUNTIFS(Таблица1[winner2],"oracle",Таблица1[winner2-cp],Table42444546[[#This Row],[level]])+COUNTIFS(Таблица1[loser1],"oracle",Таблица1[loser1-cp],Table42444546[[#This Row],[level]])+COUNTIFS(Таблица1[loser2],"oracle",Таблица1[loser2-cp],Table42444546[[#This Row],[level]])+COUNTIFS(Table41[winner1],"oracle",Table41[winner1-cp],Table42444546[[#This Row],[level]])+COUNTIFS(Table41[winner2],"oracle",Table41[winner2-cp],Table42444546[[#This Row],[level]])+COUNTIFS(Table41[winner3],"oracle",Table41[winner3-cp],Table42444546[[#This Row],[level]])+COUNTIFS(Table41[loser1],"oracle",Table41[loser1-cp],Table42444546[[#This Row],[level]])+COUNTIFS(Table41[loser2],"oracle",Table41[loser2-cp],Table42444546[[#This Row],[level]])+COUNTIFS(Table41[loser3],"oracle",Table41[loser3-cp],Table42444546[[#This Row],[level]])</f>
        <v>144</v>
      </c>
    </row>
    <row r="3" spans="1:9" x14ac:dyDescent="0.25">
      <c r="A3" t="s">
        <v>65</v>
      </c>
      <c r="B3">
        <f>COUNTIF(Таблица1[winner1-ability1],Table7121620[[#This Row],[ability]])+COUNTIF(Таблица1[winner2-ability1],Table7121620[[#This Row],[ability]])+COUNTIF(Таблица1[loser1-ability1],Table7121620[[#This Row],[ability]])+COUNTIF(Таблица1[loser2-ability1],Table7121620[[#This Row],[ability]])+COUNTIF(Table41[winner1-ability1],Table7121620[[#This Row],[ability]])+COUNTIF(Table41[winner2-ability1],Table7121620[[#This Row],[ability]])+COUNTIF(Table41[winner3-ability1],Table7121620[[#This Row],[ability]])+COUNTIF(Table41[loser1-ability1],Table7121620[[#This Row],[ability]])+COUNTIF(Table41[loser2-ability1],Table7121620[[#This Row],[ability]])+COUNTIF(Table41[loser3-ability1],Table7121620[[#This Row],[ability]])</f>
        <v>94</v>
      </c>
      <c r="C3">
        <f>COUNTIF(Таблица1[winner1-ability1],Table7121620[[#This Row],[ability]])+COUNTIF(Таблица1[winner2-ability1],Table7121620[[#This Row],[ability]])+COUNTIF(Table41[winner1-ability1],Table7121620[[#This Row],[ability]])+COUNTIF(Table41[winner2-ability1],Table7121620[[#This Row],[ability]])+COUNTIF(Table41[winner3-ability1],Table7121620[[#This Row],[ability]])</f>
        <v>34</v>
      </c>
      <c r="D3" s="3">
        <f>IF(SUM(Table7121620[[#This Row],[takes]]) &gt; 0,Table7121620[[#This Row],[takes]]/SUM(Table7121620[takes]),0)</f>
        <v>0.57317073170731703</v>
      </c>
      <c r="E3" s="3">
        <f>IF(Table7121620[[#This Row],[takes]]&gt;0,Table7121620[[#This Row],[wins]]/Table7121620[[#This Row],[takes]],0)</f>
        <v>0.36170212765957449</v>
      </c>
      <c r="G3">
        <v>2</v>
      </c>
      <c r="H3">
        <f>COUNTIFS(Таблица1[winner1],"oracle",Таблица1[winner1-pw],Table42444546[[#This Row],[level]])+COUNTIFS(Таблица1[winner2],"oracle",Таблица1[winner2-pw],Table42444546[[#This Row],[level]])+COUNTIFS(Таблица1[loser1],"oracle",Таблица1[loser1-pw],Table42444546[[#This Row],[level]])+COUNTIFS(Таблица1[loser2],"oracle",Таблица1[loser2-pw],Table42444546[[#This Row],[level]])+COUNTIFS(Table41[winner1],"oracle",Table41[winner1-pw],Table42444546[[#This Row],[level]])+COUNTIFS(Table41[winner2],"oracle",Table41[winner2-pw],Table42444546[[#This Row],[level]])+COUNTIFS(Table41[winner3],"oracle",Table41[winner3-pw],Table42444546[[#This Row],[level]])+COUNTIFS(Table41[loser1],"oracle",Table41[loser1-pw],Table42444546[[#This Row],[level]])+COUNTIFS(Table41[loser2],"oracle",Table41[loser2-pw],Table42444546[[#This Row],[level]])+COUNTIFS(Table41[loser3],"oracle",Table41[loser3-pw],Table42444546[[#This Row],[level]])</f>
        <v>1</v>
      </c>
      <c r="I3">
        <f>COUNTIFS(Таблица1[winner1],"oracle",Таблица1[winner1-cp],Table42444546[[#This Row],[level]])+COUNTIFS(Таблица1[winner2],"oracle",Таблица1[winner2-cp],Table42444546[[#This Row],[level]])+COUNTIFS(Таблица1[loser1],"oracle",Таблица1[loser1-cp],Table42444546[[#This Row],[level]])+COUNTIFS(Таблица1[loser2],"oracle",Таблица1[loser2-cp],Table42444546[[#This Row],[level]])+COUNTIFS(Table41[winner1],"oracle",Table41[winner1-cp],Table42444546[[#This Row],[level]])+COUNTIFS(Table41[winner2],"oracle",Table41[winner2-cp],Table42444546[[#This Row],[level]])+COUNTIFS(Table41[winner3],"oracle",Table41[winner3-cp],Table42444546[[#This Row],[level]])+COUNTIFS(Table41[loser1],"oracle",Table41[loser1-cp],Table42444546[[#This Row],[level]])+COUNTIFS(Table41[loser2],"oracle",Table41[loser2-cp],Table42444546[[#This Row],[level]])+COUNTIFS(Table41[loser3],"oracle",Table41[loser3-cp],Table42444546[[#This Row],[level]])</f>
        <v>15</v>
      </c>
    </row>
    <row r="4" spans="1:9" x14ac:dyDescent="0.25">
      <c r="A4" t="s">
        <v>34</v>
      </c>
      <c r="B4">
        <f>COUNTIF(Таблица1[winner1-ability1],Table7121620[[#This Row],[ability]])+COUNTIF(Таблица1[winner2-ability1],Table7121620[[#This Row],[ability]])+COUNTIF(Таблица1[loser1-ability1],Table7121620[[#This Row],[ability]])+COUNTIF(Таблица1[loser2-ability1],Table7121620[[#This Row],[ability]])+COUNTIF(Table41[winner1-ability1],Table7121620[[#This Row],[ability]])+COUNTIF(Table41[winner2-ability1],Table7121620[[#This Row],[ability]])+COUNTIF(Table41[winner3-ability1],Table7121620[[#This Row],[ability]])+COUNTIF(Table41[loser1-ability1],Table7121620[[#This Row],[ability]])+COUNTIF(Table41[loser2-ability1],Table7121620[[#This Row],[ability]])+COUNTIF(Table41[loser3-ability1],Table7121620[[#This Row],[ability]])</f>
        <v>3</v>
      </c>
      <c r="C4">
        <f>COUNTIF(Таблица1[winner1-ability1],Table7121620[[#This Row],[ability]])+COUNTIF(Таблица1[winner2-ability1],Table7121620[[#This Row],[ability]])+COUNTIF(Table41[winner1-ability1],Table7121620[[#This Row],[ability]])+COUNTIF(Table41[winner2-ability1],Table7121620[[#This Row],[ability]])+COUNTIF(Table41[winner3-ability1],Table7121620[[#This Row],[ability]])</f>
        <v>1</v>
      </c>
      <c r="D4" s="3">
        <f>IF(SUM(Table7121620[[#This Row],[takes]]) &gt; 0,Table7121620[[#This Row],[takes]]/SUM(Table7121620[takes]),0)</f>
        <v>1.8292682926829267E-2</v>
      </c>
      <c r="E4" s="3">
        <f>IF(Table7121620[[#This Row],[takes]]&gt;0,Table7121620[[#This Row],[wins]]/Table7121620[[#This Row],[takes]],0)</f>
        <v>0.33333333333333331</v>
      </c>
      <c r="G4">
        <v>3</v>
      </c>
      <c r="H4">
        <f>COUNTIFS(Таблица1[winner1],"oracle",Таблица1[winner1-pw],Table42444546[[#This Row],[level]])+COUNTIFS(Таблица1[winner2],"oracle",Таблица1[winner2-pw],Table42444546[[#This Row],[level]])+COUNTIFS(Таблица1[loser1],"oracle",Таблица1[loser1-pw],Table42444546[[#This Row],[level]])+COUNTIFS(Таблица1[loser2],"oracle",Таблица1[loser2-pw],Table42444546[[#This Row],[level]])+COUNTIFS(Table41[winner1],"oracle",Table41[winner1-pw],Table42444546[[#This Row],[level]])+COUNTIFS(Table41[winner2],"oracle",Table41[winner2-pw],Table42444546[[#This Row],[level]])+COUNTIFS(Table41[winner3],"oracle",Table41[winner3-pw],Table42444546[[#This Row],[level]])+COUNTIFS(Table41[loser1],"oracle",Table41[loser1-pw],Table42444546[[#This Row],[level]])+COUNTIFS(Table41[loser2],"oracle",Table41[loser2-pw],Table42444546[[#This Row],[level]])+COUNTIFS(Table41[loser3],"oracle",Table41[loser3-pw],Table42444546[[#This Row],[level]])</f>
        <v>0</v>
      </c>
      <c r="I4">
        <f>COUNTIFS(Таблица1[winner1],"oracle",Таблица1[winner1-cp],Table42444546[[#This Row],[level]])+COUNTIFS(Таблица1[winner2],"oracle",Таблица1[winner2-cp],Table42444546[[#This Row],[level]])+COUNTIFS(Таблица1[loser1],"oracle",Таблица1[loser1-cp],Table42444546[[#This Row],[level]])+COUNTIFS(Таблица1[loser2],"oracle",Таблица1[loser2-cp],Table42444546[[#This Row],[level]])+COUNTIFS(Table41[winner1],"oracle",Table41[winner1-cp],Table42444546[[#This Row],[level]])+COUNTIFS(Table41[winner2],"oracle",Table41[winner2-cp],Table42444546[[#This Row],[level]])+COUNTIFS(Table41[winner3],"oracle",Table41[winner3-cp],Table42444546[[#This Row],[level]])+COUNTIFS(Table41[loser1],"oracle",Table41[loser1-cp],Table42444546[[#This Row],[level]])+COUNTIFS(Table41[loser2],"oracle",Table41[loser2-cp],Table42444546[[#This Row],[level]])+COUNTIFS(Table41[loser3],"oracle",Table41[loser3-cp],Table42444546[[#This Row],[level]])</f>
        <v>5</v>
      </c>
    </row>
    <row r="6" spans="1:9" x14ac:dyDescent="0.25">
      <c r="A6" s="11" t="s">
        <v>130</v>
      </c>
      <c r="B6" s="12" t="s">
        <v>131</v>
      </c>
      <c r="C6" s="12" t="s">
        <v>79</v>
      </c>
      <c r="D6" s="13" t="s">
        <v>138</v>
      </c>
      <c r="E6" s="13" t="s">
        <v>139</v>
      </c>
    </row>
    <row r="7" spans="1:9" x14ac:dyDescent="0.25">
      <c r="A7" s="2" t="s">
        <v>66</v>
      </c>
      <c r="B7" s="2">
        <f>COUNTIF(Таблица1[winner1-ability2],Table8131721[[#This Row],[ability]])+COUNTIF(Таблица1[winner2-ability2],Table8131721[[#This Row],[ability]])+COUNTIF(Таблица1[loser1-ability2],Table8131721[[#This Row],[ability]])+COUNTIF(Таблица1[loser2-ability2],Table8131721[[#This Row],[ability]])+COUNTIF(Table41[winner1-ability2],Table8131721[[#This Row],[ability]])+COUNTIF(Table41[winner2-ability2],Table8131721[[#This Row],[ability]])+COUNTIF(Table41[winner3-ability2],Table8131721[[#This Row],[ability]])+COUNTIF(Table41[loser1-ability2],Table8131721[[#This Row],[ability]])+COUNTIF(Table41[loser2-ability2],Table8131721[[#This Row],[ability]])+COUNTIF(Table41[loser3-ability2],Table8131721[[#This Row],[ability]])</f>
        <v>16</v>
      </c>
      <c r="C7" s="2">
        <f>COUNTIF(Таблица1[winner1-ability2],Table8131721[[#This Row],[ability]])+COUNTIF(Таблица1[winner2-ability2],Table8131721[[#This Row],[ability]])+COUNTIF(Table41[winner1-ability2],Table8131721[[#This Row],[ability]])+COUNTIF(Table41[winner2-ability2],Table8131721[[#This Row],[ability]])+COUNTIF(Table41[winner3-ability2],Table8131721[[#This Row],[ability]])</f>
        <v>8</v>
      </c>
      <c r="D7" s="16">
        <f>IF(SUM(Table8131721[[#This Row],[takes]]) &gt; 0,Table8131721[[#This Row],[takes]]/SUM(Table8131721[takes]),0)</f>
        <v>0.13114754098360656</v>
      </c>
      <c r="E7" s="16">
        <f>IF(Table8131721[[#This Row],[takes]]&gt;0,Table8131721[[#This Row],[wins]]/Table8131721[[#This Row],[takes]],0)</f>
        <v>0.5</v>
      </c>
    </row>
    <row r="8" spans="1:9" x14ac:dyDescent="0.25">
      <c r="A8" t="s">
        <v>151</v>
      </c>
      <c r="B8">
        <f>COUNTIF(Таблица1[winner1-ability2],Table8131721[[#This Row],[ability]])+COUNTIF(Таблица1[winner2-ability2],Table8131721[[#This Row],[ability]])+COUNTIF(Таблица1[loser1-ability2],Table8131721[[#This Row],[ability]])+COUNTIF(Таблица1[loser2-ability2],Table8131721[[#This Row],[ability]])+COUNTIF(Table41[winner1-ability2],Table8131721[[#This Row],[ability]])+COUNTIF(Table41[winner2-ability2],Table8131721[[#This Row],[ability]])+COUNTIF(Table41[winner3-ability2],Table8131721[[#This Row],[ability]])+COUNTIF(Table41[loser1-ability2],Table8131721[[#This Row],[ability]])+COUNTIF(Table41[loser2-ability2],Table8131721[[#This Row],[ability]])+COUNTIF(Table41[loser3-ability2],Table8131721[[#This Row],[ability]])</f>
        <v>9</v>
      </c>
      <c r="C8">
        <f>COUNTIF(Таблица1[winner1-ability2],Table8131721[[#This Row],[ability]])+COUNTIF(Таблица1[winner2-ability2],Table8131721[[#This Row],[ability]])+COUNTIF(Table41[winner1-ability2],Table8131721[[#This Row],[ability]])+COUNTIF(Table41[winner2-ability2],Table8131721[[#This Row],[ability]])+COUNTIF(Table41[winner3-ability2],Table8131721[[#This Row],[ability]])</f>
        <v>5</v>
      </c>
      <c r="D8" s="3">
        <f>IF(SUM(Table8131721[[#This Row],[takes]]) &gt; 0,Table8131721[[#This Row],[takes]]/SUM(Table8131721[takes]),0)</f>
        <v>7.3770491803278687E-2</v>
      </c>
      <c r="E8" s="3">
        <f>IF(Table8131721[[#This Row],[takes]]&gt;0,Table8131721[[#This Row],[wins]]/Table8131721[[#This Row],[takes]],0)</f>
        <v>0.55555555555555558</v>
      </c>
    </row>
    <row r="9" spans="1:9" x14ac:dyDescent="0.25">
      <c r="A9" s="14" t="s">
        <v>35</v>
      </c>
      <c r="B9" s="14">
        <f>COUNTIF(Таблица1[winner1-ability2],Table8131721[[#This Row],[ability]])+COUNTIF(Таблица1[winner2-ability2],Table8131721[[#This Row],[ability]])+COUNTIF(Таблица1[loser1-ability2],Table8131721[[#This Row],[ability]])+COUNTIF(Таблица1[loser2-ability2],Table8131721[[#This Row],[ability]])+COUNTIF(Table41[winner1-ability2],Table8131721[[#This Row],[ability]])+COUNTIF(Table41[winner2-ability2],Table8131721[[#This Row],[ability]])+COUNTIF(Table41[winner3-ability2],Table8131721[[#This Row],[ability]])+COUNTIF(Table41[loser1-ability2],Table8131721[[#This Row],[ability]])+COUNTIF(Table41[loser2-ability2],Table8131721[[#This Row],[ability]])+COUNTIF(Table41[loser3-ability2],Table8131721[[#This Row],[ability]])</f>
        <v>97</v>
      </c>
      <c r="C9" s="14">
        <f>COUNTIF(Таблица1[winner1-ability2],Table8131721[[#This Row],[ability]])+COUNTIF(Таблица1[winner2-ability2],Table8131721[[#This Row],[ability]])+COUNTIF(Table41[winner1-ability2],Table8131721[[#This Row],[ability]])+COUNTIF(Table41[winner2-ability2],Table8131721[[#This Row],[ability]])+COUNTIF(Table41[winner3-ability2],Table8131721[[#This Row],[ability]])</f>
        <v>50</v>
      </c>
      <c r="D9" s="17">
        <f>IF(SUM(Table8131721[[#This Row],[takes]]) &gt; 0,Table8131721[[#This Row],[takes]]/SUM(Table8131721[takes]),0)</f>
        <v>0.79508196721311475</v>
      </c>
      <c r="E9" s="17">
        <f>IF(Table8131721[[#This Row],[takes]]&gt;0,Table8131721[[#This Row],[wins]]/Table8131721[[#This Row],[takes]],0)</f>
        <v>0.51546391752577314</v>
      </c>
    </row>
    <row r="11" spans="1:9" x14ac:dyDescent="0.25">
      <c r="A11" s="11" t="s">
        <v>130</v>
      </c>
      <c r="B11" s="12" t="s">
        <v>131</v>
      </c>
      <c r="C11" s="12" t="s">
        <v>79</v>
      </c>
      <c r="D11" s="13" t="s">
        <v>138</v>
      </c>
      <c r="E11" s="13" t="s">
        <v>139</v>
      </c>
    </row>
    <row r="12" spans="1:9" x14ac:dyDescent="0.25">
      <c r="A12" s="1" t="s">
        <v>36</v>
      </c>
      <c r="B12" s="1">
        <f>COUNTIF(Таблица1[winner1-ability3],Table9141822[[#This Row],[ability]])+COUNTIF(Таблица1[winner2-ability3],Table9141822[[#This Row],[ability]])+COUNTIF(Таблица1[loser1-ability3],Table9141822[[#This Row],[ability]])+COUNTIF(Таблица1[loser2-ability3],Table9141822[[#This Row],[ability]])+COUNTIF(Table41[winner1-ability3],Table9141822[[#This Row],[ability]])+COUNTIF(Table41[winner2-ability3],Table9141822[[#This Row],[ability]])+COUNTIF(Table41[winner3-ability3],Table9141822[[#This Row],[ability]])+COUNTIF(Table41[loser1-ability3],Table9141822[[#This Row],[ability]])+COUNTIF(Table41[loser2-ability3],Table9141822[[#This Row],[ability]])+COUNTIF(Table41[loser3-ability3],Table9141822[[#This Row],[ability]])</f>
        <v>38</v>
      </c>
      <c r="C12" s="1">
        <f>COUNTIF(Таблица1[winner1-ability3],Table9141822[[#This Row],[ability]])+COUNTIF(Таблица1[winner2-ability3],Table9141822[[#This Row],[ability]])+COUNTIF(Table41[winner1-ability3],Table9141822[[#This Row],[ability]])+COUNTIF(Table41[winner2-ability3],Table9141822[[#This Row],[ability]])+COUNTIF(Table41[winner3-ability3],Table9141822[[#This Row],[ability]])</f>
        <v>22</v>
      </c>
      <c r="D12" s="18">
        <f>IF(SUM(Table9141822[[#This Row],[takes]]) &gt; 0,Table9141822[[#This Row],[takes]]/SUM(Table9141822[takes]),0)</f>
        <v>0.90476190476190477</v>
      </c>
      <c r="E12" s="18">
        <f>IF(Table9141822[[#This Row],[takes]]&gt;0,Table9141822[[#This Row],[wins]]/Table9141822[[#This Row],[takes]],0)</f>
        <v>0.57894736842105265</v>
      </c>
    </row>
    <row r="13" spans="1:9" x14ac:dyDescent="0.25">
      <c r="A13" s="2" t="s">
        <v>152</v>
      </c>
      <c r="B13" s="2">
        <f>COUNTIF(Таблица1[winner1-ability3],Table9141822[[#This Row],[ability]])+COUNTIF(Таблица1[winner2-ability3],Table9141822[[#This Row],[ability]])+COUNTIF(Таблица1[loser1-ability3],Table9141822[[#This Row],[ability]])+COUNTIF(Таблица1[loser2-ability3],Table9141822[[#This Row],[ability]])+COUNTIF(Table41[winner1-ability3],Table9141822[[#This Row],[ability]])+COUNTIF(Table41[winner2-ability3],Table9141822[[#This Row],[ability]])+COUNTIF(Table41[winner3-ability3],Table9141822[[#This Row],[ability]])+COUNTIF(Table41[loser1-ability3],Table9141822[[#This Row],[ability]])+COUNTIF(Table41[loser2-ability3],Table9141822[[#This Row],[ability]])+COUNTIF(Table41[loser3-ability3],Table9141822[[#This Row],[ability]])</f>
        <v>1</v>
      </c>
      <c r="C13" s="2">
        <f>COUNTIF(Таблица1[winner1-ability3],Table9141822[[#This Row],[ability]])+COUNTIF(Таблица1[winner2-ability3],Table9141822[[#This Row],[ability]])+COUNTIF(Table41[winner1-ability3],Table9141822[[#This Row],[ability]])+COUNTIF(Table41[winner2-ability3],Table9141822[[#This Row],[ability]])+COUNTIF(Table41[winner3-ability3],Table9141822[[#This Row],[ability]])</f>
        <v>0</v>
      </c>
      <c r="D13" s="16">
        <f>IF(SUM(Table9141822[[#This Row],[takes]]) &gt; 0,Table9141822[[#This Row],[takes]]/SUM(Table9141822[takes]),0)</f>
        <v>2.3809523809523808E-2</v>
      </c>
      <c r="E13" s="16">
        <f>IF(Table9141822[[#This Row],[takes]]&gt;0,Table9141822[[#This Row],[wins]]/Table9141822[[#This Row],[takes]],0)</f>
        <v>0</v>
      </c>
    </row>
    <row r="14" spans="1:9" x14ac:dyDescent="0.25">
      <c r="A14" s="15" t="s">
        <v>153</v>
      </c>
      <c r="B14" s="15">
        <f>COUNTIF(Таблица1[winner1-ability3],Table9141822[[#This Row],[ability]])+COUNTIF(Таблица1[winner2-ability3],Table9141822[[#This Row],[ability]])+COUNTIF(Таблица1[loser1-ability3],Table9141822[[#This Row],[ability]])+COUNTIF(Таблица1[loser2-ability3],Table9141822[[#This Row],[ability]])+COUNTIF(Table41[winner1-ability3],Table9141822[[#This Row],[ability]])+COUNTIF(Table41[winner2-ability3],Table9141822[[#This Row],[ability]])+COUNTIF(Table41[winner3-ability3],Table9141822[[#This Row],[ability]])+COUNTIF(Table41[loser1-ability3],Table9141822[[#This Row],[ability]])+COUNTIF(Table41[loser2-ability3],Table9141822[[#This Row],[ability]])+COUNTIF(Table41[loser3-ability3],Table9141822[[#This Row],[ability]])</f>
        <v>3</v>
      </c>
      <c r="C14" s="15">
        <f>COUNTIF(Таблица1[winner1-ability3],Table9141822[[#This Row],[ability]])+COUNTIF(Таблица1[winner2-ability3],Table9141822[[#This Row],[ability]])+COUNTIF(Table41[winner1-ability3],Table9141822[[#This Row],[ability]])+COUNTIF(Table41[winner2-ability3],Table9141822[[#This Row],[ability]])+COUNTIF(Table41[winner3-ability3],Table9141822[[#This Row],[ability]])</f>
        <v>2</v>
      </c>
      <c r="D14" s="19">
        <f>IF(SUM(Table9141822[[#This Row],[takes]]) &gt; 0,Table9141822[[#This Row],[takes]]/SUM(Table9141822[takes]),0)</f>
        <v>7.1428571428571425E-2</v>
      </c>
      <c r="E14" s="19">
        <f>IF(Table9141822[[#This Row],[takes]]&gt;0,Table9141822[[#This Row],[wins]]/Table9141822[[#This Row],[takes]],0)</f>
        <v>0.66666666666666663</v>
      </c>
    </row>
    <row r="16" spans="1:9" x14ac:dyDescent="0.25">
      <c r="A16" s="11" t="s">
        <v>130</v>
      </c>
      <c r="B16" s="12" t="s">
        <v>131</v>
      </c>
      <c r="C16" s="12" t="s">
        <v>79</v>
      </c>
      <c r="D16" s="13" t="s">
        <v>138</v>
      </c>
      <c r="E16" s="13" t="s">
        <v>139</v>
      </c>
    </row>
    <row r="17" spans="1:5" x14ac:dyDescent="0.25">
      <c r="A17" s="2" t="s">
        <v>154</v>
      </c>
      <c r="B17" s="2">
        <f>COUNTIF(Таблица1[winner1-ability4],Table10151923[[#This Row],[ability]])+COUNTIF(Таблица1[winner2-ability4],Table10151923[[#This Row],[ability]])+COUNTIF(Таблица1[loser1-ability4],Table10151923[[#This Row],[ability]])+COUNTIF(Таблица1[loser2-ability4],Table10151923[[#This Row],[ability]])+COUNTIF(Table41[winner1-ability4],Table10151923[[#This Row],[ability]])+COUNTIF(Table41[winner2-ability4],Table10151923[[#This Row],[ability]])+COUNTIF(Table41[winner3-ability4],Table10151923[[#This Row],[ability]])+COUNTIF(Table41[loser1-ability4],Table10151923[[#This Row],[ability]])+COUNTIF(Table41[loser2-ability4],Table10151923[[#This Row],[ability]])+COUNTIF(Table41[loser3-ability4],Table10151923[[#This Row],[ability]])</f>
        <v>3</v>
      </c>
      <c r="C17" s="2">
        <f>COUNTIF(Таблица1[winner1-ability4],Table10151923[[#This Row],[ability]])+COUNTIF(Таблица1[winner2-ability4],Table10151923[[#This Row],[ability]])+COUNTIF(Table41[winner1-ability4],Table10151923[[#This Row],[ability]])+COUNTIF(Table41[winner2-ability4],Table10151923[[#This Row],[ability]])+COUNTIF(Table41[winner3-ability4],Table10151923[[#This Row],[ability]])</f>
        <v>0</v>
      </c>
      <c r="D17" s="16">
        <f>IF(SUM(Table10151923[[#This Row],[takes]]) &gt; 0,Table10151923[[#This Row],[takes]]/SUM(Table10151923[takes]),0)</f>
        <v>0.375</v>
      </c>
      <c r="E17" s="16">
        <f>IF(Table10151923[[#This Row],[takes]]&gt;0,Table10151923[[#This Row],[wins]]/Table10151923[[#This Row],[takes]],0)</f>
        <v>0</v>
      </c>
    </row>
    <row r="18" spans="1:5" x14ac:dyDescent="0.25">
      <c r="A18" s="2" t="s">
        <v>37</v>
      </c>
      <c r="B18" s="2">
        <f>COUNTIF(Таблица1[winner1-ability4],Table10151923[[#This Row],[ability]])+COUNTIF(Таблица1[winner2-ability4],Table10151923[[#This Row],[ability]])+COUNTIF(Таблица1[loser1-ability4],Table10151923[[#This Row],[ability]])+COUNTIF(Таблица1[loser2-ability4],Table10151923[[#This Row],[ability]])+COUNTIF(Table41[winner1-ability4],Table10151923[[#This Row],[ability]])+COUNTIF(Table41[winner2-ability4],Table10151923[[#This Row],[ability]])+COUNTIF(Table41[winner3-ability4],Table10151923[[#This Row],[ability]])+COUNTIF(Table41[loser1-ability4],Table10151923[[#This Row],[ability]])+COUNTIF(Table41[loser2-ability4],Table10151923[[#This Row],[ability]])+COUNTIF(Table41[loser3-ability4],Table10151923[[#This Row],[ability]])</f>
        <v>3</v>
      </c>
      <c r="C18" s="2">
        <f>COUNTIF(Таблица1[winner1-ability4],Table10151923[[#This Row],[ability]])+COUNTIF(Таблица1[winner2-ability4],Table10151923[[#This Row],[ability]])+COUNTIF(Table41[winner1-ability4],Table10151923[[#This Row],[ability]])+COUNTIF(Table41[winner2-ability4],Table10151923[[#This Row],[ability]])+COUNTIF(Table41[winner3-ability4],Table10151923[[#This Row],[ability]])</f>
        <v>2</v>
      </c>
      <c r="D18" s="16">
        <f>IF(SUM(Table10151923[[#This Row],[takes]]) &gt; 0,Table10151923[[#This Row],[takes]]/SUM(Table10151923[takes]),0)</f>
        <v>0.375</v>
      </c>
      <c r="E18" s="16">
        <f>IF(Table10151923[[#This Row],[takes]]&gt;0,Table10151923[[#This Row],[wins]]/Table10151923[[#This Row],[takes]],0)</f>
        <v>0.66666666666666663</v>
      </c>
    </row>
    <row r="19" spans="1:5" x14ac:dyDescent="0.25">
      <c r="A19" s="14" t="s">
        <v>155</v>
      </c>
      <c r="B19" s="14">
        <f>COUNTIF(Таблица1[winner1-ability4],Table10151923[[#This Row],[ability]])+COUNTIF(Таблица1[winner2-ability4],Table10151923[[#This Row],[ability]])+COUNTIF(Таблица1[loser1-ability4],Table10151923[[#This Row],[ability]])+COUNTIF(Таблица1[loser2-ability4],Table10151923[[#This Row],[ability]])+COUNTIF(Table41[winner1-ability4],Table10151923[[#This Row],[ability]])+COUNTIF(Table41[winner2-ability4],Table10151923[[#This Row],[ability]])+COUNTIF(Table41[winner3-ability4],Table10151923[[#This Row],[ability]])+COUNTIF(Table41[loser1-ability4],Table10151923[[#This Row],[ability]])+COUNTIF(Table41[loser2-ability4],Table10151923[[#This Row],[ability]])+COUNTIF(Table41[loser3-ability4],Table10151923[[#This Row],[ability]])</f>
        <v>2</v>
      </c>
      <c r="C19" s="14">
        <f>COUNTIF(Таблица1[winner1-ability4],Table10151923[[#This Row],[ability]])+COUNTIF(Таблица1[winner2-ability4],Table10151923[[#This Row],[ability]])+COUNTIF(Table41[winner1-ability4],Table10151923[[#This Row],[ability]])+COUNTIF(Table41[winner2-ability4],Table10151923[[#This Row],[ability]])+COUNTIF(Table41[winner3-ability4],Table10151923[[#This Row],[ability]])</f>
        <v>2</v>
      </c>
      <c r="D19" s="17">
        <f>IF(SUM(Table10151923[[#This Row],[takes]]) &gt; 0,Table10151923[[#This Row],[takes]]/SUM(Table10151923[takes]),0)</f>
        <v>0.25</v>
      </c>
      <c r="E19" s="17">
        <f>IF(Table10151923[[#This Row],[takes]]&gt;0,Table10151923[[#This Row],[wins]]/Table10151923[[#This Row],[takes]],0)</f>
        <v>1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0</vt:lpstr>
      <vt:lpstr>0-statistics</vt:lpstr>
      <vt:lpstr>1</vt:lpstr>
      <vt:lpstr>1-statistics</vt:lpstr>
      <vt:lpstr>statistics</vt:lpstr>
      <vt:lpstr>paragon</vt:lpstr>
      <vt:lpstr>highlander</vt:lpstr>
      <vt:lpstr>druid</vt:lpstr>
      <vt:lpstr>oracle</vt:lpstr>
      <vt:lpstr>avatar</vt:lpstr>
      <vt:lpstr>shadow</vt:lpstr>
      <vt:lpstr>lightbringer</vt:lpstr>
      <vt:lpstr>avenger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2021-08-27T14:15:01Z</dcterms:modified>
</cp:coreProperties>
</file>