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908459BB-2876-4EF4-A5BA-ED6897AA3F25}" xr6:coauthVersionLast="47" xr6:coauthVersionMax="47" xr10:uidLastSave="{00000000-0000-0000-0000-000000000000}"/>
  <bookViews>
    <workbookView xWindow="-120" yWindow="-120" windowWidth="29040" windowHeight="15840" tabRatio="770" activeTab="21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  <sheet name="navarch" sheetId="2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8" i="29" l="1"/>
  <c r="U109" i="29"/>
  <c r="U110" i="29"/>
  <c r="T108" i="29"/>
  <c r="T109" i="29"/>
  <c r="T110" i="29"/>
  <c r="I5" i="29" s="1"/>
  <c r="S108" i="29"/>
  <c r="S109" i="29"/>
  <c r="S110" i="29"/>
  <c r="S87" i="29"/>
  <c r="S88" i="29"/>
  <c r="S89" i="29"/>
  <c r="U66" i="29"/>
  <c r="U67" i="29"/>
  <c r="U68" i="29"/>
  <c r="T66" i="29"/>
  <c r="T67" i="29"/>
  <c r="T68" i="29"/>
  <c r="S66" i="29"/>
  <c r="S67" i="29"/>
  <c r="S68" i="29"/>
  <c r="U45" i="29"/>
  <c r="U46" i="29"/>
  <c r="U47" i="29"/>
  <c r="T45" i="29"/>
  <c r="T46" i="29"/>
  <c r="T47" i="29"/>
  <c r="S45" i="29"/>
  <c r="S46" i="29"/>
  <c r="S47" i="29"/>
  <c r="U24" i="29"/>
  <c r="U25" i="29"/>
  <c r="U26" i="29"/>
  <c r="T24" i="29"/>
  <c r="T25" i="29"/>
  <c r="T26" i="29"/>
  <c r="S24" i="29"/>
  <c r="S25" i="29"/>
  <c r="S26" i="29"/>
  <c r="U3" i="29"/>
  <c r="U4" i="29"/>
  <c r="U5" i="29"/>
  <c r="T3" i="29"/>
  <c r="T4" i="29"/>
  <c r="T5" i="29"/>
  <c r="S3" i="29"/>
  <c r="S4" i="29"/>
  <c r="S5" i="29"/>
  <c r="N125" i="29"/>
  <c r="M125" i="29"/>
  <c r="P125" i="29" s="1"/>
  <c r="N124" i="29"/>
  <c r="M124" i="29"/>
  <c r="P124" i="29" s="1"/>
  <c r="N123" i="29"/>
  <c r="M123" i="29"/>
  <c r="P123" i="29" s="1"/>
  <c r="N120" i="29"/>
  <c r="M120" i="29"/>
  <c r="P120" i="29" s="1"/>
  <c r="N119" i="29"/>
  <c r="M119" i="29"/>
  <c r="P119" i="29" s="1"/>
  <c r="N118" i="29"/>
  <c r="M118" i="29"/>
  <c r="P118" i="29" s="1"/>
  <c r="N115" i="29"/>
  <c r="M115" i="29"/>
  <c r="P115" i="29" s="1"/>
  <c r="N114" i="29"/>
  <c r="M114" i="29"/>
  <c r="P114" i="29" s="1"/>
  <c r="N113" i="29"/>
  <c r="M113" i="29"/>
  <c r="P113" i="29" s="1"/>
  <c r="N110" i="29"/>
  <c r="M110" i="29"/>
  <c r="O110" i="29" s="1"/>
  <c r="P109" i="29"/>
  <c r="N109" i="29"/>
  <c r="M109" i="29"/>
  <c r="O109" i="29" s="1"/>
  <c r="O108" i="29"/>
  <c r="N108" i="29"/>
  <c r="M108" i="29"/>
  <c r="P108" i="29" s="1"/>
  <c r="O104" i="29"/>
  <c r="N104" i="29"/>
  <c r="M104" i="29"/>
  <c r="P104" i="29" s="1"/>
  <c r="N103" i="29"/>
  <c r="M103" i="29"/>
  <c r="P103" i="29" s="1"/>
  <c r="N102" i="29"/>
  <c r="M102" i="29"/>
  <c r="P102" i="29" s="1"/>
  <c r="N99" i="29"/>
  <c r="M99" i="29"/>
  <c r="P99" i="29" s="1"/>
  <c r="N98" i="29"/>
  <c r="M98" i="29"/>
  <c r="P98" i="29" s="1"/>
  <c r="N97" i="29"/>
  <c r="M97" i="29"/>
  <c r="P97" i="29" s="1"/>
  <c r="N94" i="29"/>
  <c r="M94" i="29"/>
  <c r="P94" i="29" s="1"/>
  <c r="N93" i="29"/>
  <c r="M93" i="29"/>
  <c r="P93" i="29" s="1"/>
  <c r="N92" i="29"/>
  <c r="M92" i="29"/>
  <c r="P92" i="29" s="1"/>
  <c r="U89" i="29"/>
  <c r="T89" i="29"/>
  <c r="N89" i="29"/>
  <c r="M89" i="29"/>
  <c r="P89" i="29" s="1"/>
  <c r="U88" i="29"/>
  <c r="T88" i="29"/>
  <c r="N88" i="29"/>
  <c r="M88" i="29"/>
  <c r="P88" i="29" s="1"/>
  <c r="U87" i="29"/>
  <c r="T87" i="29"/>
  <c r="P87" i="29"/>
  <c r="N87" i="29"/>
  <c r="M87" i="29"/>
  <c r="O87" i="29" s="1"/>
  <c r="O83" i="29"/>
  <c r="N83" i="29"/>
  <c r="M83" i="29"/>
  <c r="P83" i="29" s="1"/>
  <c r="O82" i="29"/>
  <c r="N82" i="29"/>
  <c r="M82" i="29"/>
  <c r="P82" i="29" s="1"/>
  <c r="O81" i="29"/>
  <c r="N81" i="29"/>
  <c r="M81" i="29"/>
  <c r="P81" i="29" s="1"/>
  <c r="N78" i="29"/>
  <c r="M78" i="29"/>
  <c r="P78" i="29" s="1"/>
  <c r="N77" i="29"/>
  <c r="M77" i="29"/>
  <c r="P77" i="29" s="1"/>
  <c r="N76" i="29"/>
  <c r="M76" i="29"/>
  <c r="P76" i="29" s="1"/>
  <c r="O73" i="29"/>
  <c r="N73" i="29"/>
  <c r="M73" i="29"/>
  <c r="P73" i="29" s="1"/>
  <c r="N72" i="29"/>
  <c r="M72" i="29"/>
  <c r="P72" i="29" s="1"/>
  <c r="N71" i="29"/>
  <c r="M71" i="29"/>
  <c r="P71" i="29" s="1"/>
  <c r="N68" i="29"/>
  <c r="M68" i="29"/>
  <c r="P68" i="29" s="1"/>
  <c r="N67" i="29"/>
  <c r="M67" i="29"/>
  <c r="P67" i="29" s="1"/>
  <c r="O66" i="29"/>
  <c r="N66" i="29"/>
  <c r="M66" i="29"/>
  <c r="P66" i="29" s="1"/>
  <c r="N62" i="29"/>
  <c r="M62" i="29"/>
  <c r="P62" i="29" s="1"/>
  <c r="N61" i="29"/>
  <c r="M61" i="29"/>
  <c r="N60" i="29"/>
  <c r="M60" i="29"/>
  <c r="P60" i="29" s="1"/>
  <c r="O57" i="29"/>
  <c r="N57" i="29"/>
  <c r="M57" i="29"/>
  <c r="N56" i="29"/>
  <c r="M56" i="29"/>
  <c r="N55" i="29"/>
  <c r="M55" i="29"/>
  <c r="P55" i="29" s="1"/>
  <c r="N52" i="29"/>
  <c r="M52" i="29"/>
  <c r="P52" i="29" s="1"/>
  <c r="N51" i="29"/>
  <c r="M51" i="29"/>
  <c r="P51" i="29" s="1"/>
  <c r="N50" i="29"/>
  <c r="M50" i="29"/>
  <c r="N47" i="29"/>
  <c r="M47" i="29"/>
  <c r="P47" i="29" s="1"/>
  <c r="N46" i="29"/>
  <c r="M46" i="29"/>
  <c r="N45" i="29"/>
  <c r="M45" i="29"/>
  <c r="P45" i="29" s="1"/>
  <c r="N41" i="29"/>
  <c r="M41" i="29"/>
  <c r="P41" i="29" s="1"/>
  <c r="N40" i="29"/>
  <c r="M40" i="29"/>
  <c r="P40" i="29" s="1"/>
  <c r="N39" i="29"/>
  <c r="M39" i="29"/>
  <c r="P39" i="29" s="1"/>
  <c r="N36" i="29"/>
  <c r="M36" i="29"/>
  <c r="P36" i="29" s="1"/>
  <c r="N35" i="29"/>
  <c r="M35" i="29"/>
  <c r="P35" i="29" s="1"/>
  <c r="N34" i="29"/>
  <c r="M34" i="29"/>
  <c r="P34" i="29" s="1"/>
  <c r="N31" i="29"/>
  <c r="M31" i="29"/>
  <c r="P31" i="29" s="1"/>
  <c r="N30" i="29"/>
  <c r="M30" i="29"/>
  <c r="P30" i="29" s="1"/>
  <c r="N29" i="29"/>
  <c r="M29" i="29"/>
  <c r="P29" i="29" s="1"/>
  <c r="P26" i="29"/>
  <c r="N26" i="29"/>
  <c r="M26" i="29"/>
  <c r="O26" i="29" s="1"/>
  <c r="N25" i="29"/>
  <c r="M25" i="29"/>
  <c r="P25" i="29" s="1"/>
  <c r="P24" i="29"/>
  <c r="N24" i="29"/>
  <c r="M24" i="29"/>
  <c r="O24" i="29" s="1"/>
  <c r="P20" i="29"/>
  <c r="N20" i="29"/>
  <c r="M20" i="29"/>
  <c r="O20" i="29" s="1"/>
  <c r="N19" i="29"/>
  <c r="M19" i="29"/>
  <c r="P19" i="29" s="1"/>
  <c r="N18" i="29"/>
  <c r="M18" i="29"/>
  <c r="P18" i="29" s="1"/>
  <c r="N15" i="29"/>
  <c r="C15" i="29" s="1"/>
  <c r="M15" i="29"/>
  <c r="P15" i="29" s="1"/>
  <c r="N14" i="29"/>
  <c r="M14" i="29"/>
  <c r="P14" i="29" s="1"/>
  <c r="N13" i="29"/>
  <c r="C13" i="29" s="1"/>
  <c r="M13" i="29"/>
  <c r="P13" i="29" s="1"/>
  <c r="N10" i="29"/>
  <c r="M10" i="29"/>
  <c r="P10" i="29" s="1"/>
  <c r="N9" i="29"/>
  <c r="M9" i="29"/>
  <c r="P9" i="29" s="1"/>
  <c r="N8" i="29"/>
  <c r="M8" i="29"/>
  <c r="P8" i="29" s="1"/>
  <c r="N5" i="29"/>
  <c r="M5" i="29"/>
  <c r="J5" i="29"/>
  <c r="N4" i="29"/>
  <c r="M4" i="29"/>
  <c r="P4" i="29" s="1"/>
  <c r="N3" i="29"/>
  <c r="M3" i="29"/>
  <c r="P3" i="29" s="1"/>
  <c r="B10" i="3"/>
  <c r="C10" i="3"/>
  <c r="D10" i="3"/>
  <c r="E10" i="3"/>
  <c r="F10" i="3"/>
  <c r="G10" i="3"/>
  <c r="H10" i="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D85" i="24"/>
  <c r="F85" i="24"/>
  <c r="G85" i="24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M11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3" i="26"/>
  <c r="O56" i="29" l="1"/>
  <c r="P57" i="29"/>
  <c r="H5" i="29"/>
  <c r="I10" i="3"/>
  <c r="J10" i="3" s="1"/>
  <c r="P46" i="29"/>
  <c r="P50" i="29"/>
  <c r="P56" i="29"/>
  <c r="P61" i="29"/>
  <c r="I4" i="29"/>
  <c r="X4" i="29" s="1"/>
  <c r="J3" i="29"/>
  <c r="J4" i="29"/>
  <c r="I3" i="29"/>
  <c r="X5" i="29" s="1"/>
  <c r="H3" i="29"/>
  <c r="H4" i="29"/>
  <c r="X3" i="29" s="1"/>
  <c r="O103" i="29"/>
  <c r="O102" i="29"/>
  <c r="C18" i="29"/>
  <c r="C20" i="29"/>
  <c r="O60" i="29"/>
  <c r="O61" i="29"/>
  <c r="O62" i="29"/>
  <c r="C19" i="29"/>
  <c r="O77" i="29"/>
  <c r="O78" i="29"/>
  <c r="O76" i="29"/>
  <c r="O55" i="29"/>
  <c r="C14" i="29"/>
  <c r="O72" i="29"/>
  <c r="O71" i="29"/>
  <c r="O50" i="29"/>
  <c r="O51" i="29"/>
  <c r="O52" i="29"/>
  <c r="C8" i="29"/>
  <c r="C3" i="29"/>
  <c r="P110" i="29"/>
  <c r="O88" i="29"/>
  <c r="C4" i="29"/>
  <c r="O47" i="29"/>
  <c r="B5" i="29"/>
  <c r="D5" i="29" s="1"/>
  <c r="O25" i="29"/>
  <c r="O10" i="29"/>
  <c r="C10" i="29"/>
  <c r="C9" i="29"/>
  <c r="O5" i="29"/>
  <c r="P5" i="29"/>
  <c r="C5" i="29"/>
  <c r="O4" i="29"/>
  <c r="B3" i="29"/>
  <c r="B9" i="29"/>
  <c r="O3" i="29"/>
  <c r="O8" i="29"/>
  <c r="B10" i="29"/>
  <c r="O13" i="29"/>
  <c r="O14" i="29"/>
  <c r="O15" i="29"/>
  <c r="O18" i="29"/>
  <c r="O19" i="29"/>
  <c r="O46" i="29"/>
  <c r="O68" i="29"/>
  <c r="O92" i="29"/>
  <c r="O93" i="29"/>
  <c r="O94" i="29"/>
  <c r="O97" i="29"/>
  <c r="O98" i="29"/>
  <c r="O99" i="29"/>
  <c r="O9" i="29"/>
  <c r="O29" i="29"/>
  <c r="O30" i="29"/>
  <c r="O31" i="29"/>
  <c r="O34" i="29"/>
  <c r="O35" i="29"/>
  <c r="O36" i="29"/>
  <c r="O39" i="29"/>
  <c r="O40" i="29"/>
  <c r="O41" i="29"/>
  <c r="O45" i="29"/>
  <c r="O67" i="29"/>
  <c r="O89" i="29"/>
  <c r="O113" i="29"/>
  <c r="O114" i="29"/>
  <c r="O115" i="29"/>
  <c r="O118" i="29"/>
  <c r="O119" i="29"/>
  <c r="O120" i="29"/>
  <c r="O123" i="29"/>
  <c r="O124" i="29"/>
  <c r="O125" i="29"/>
  <c r="B4" i="29"/>
  <c r="B8" i="29"/>
  <c r="B13" i="29"/>
  <c r="B14" i="29"/>
  <c r="B15" i="29"/>
  <c r="B18" i="29"/>
  <c r="B19" i="29"/>
  <c r="B20" i="29"/>
  <c r="X6" i="29" l="1"/>
  <c r="E3" i="29"/>
  <c r="X7" i="29"/>
  <c r="X2" i="29"/>
  <c r="E5" i="29"/>
  <c r="D3" i="29"/>
  <c r="E15" i="29"/>
  <c r="D15" i="29"/>
  <c r="E4" i="29"/>
  <c r="D4" i="29"/>
  <c r="E9" i="29"/>
  <c r="D9" i="29"/>
  <c r="E20" i="29"/>
  <c r="D20" i="29"/>
  <c r="E14" i="29"/>
  <c r="D14" i="29"/>
  <c r="D10" i="29"/>
  <c r="E10" i="29"/>
  <c r="E19" i="29"/>
  <c r="D19" i="29"/>
  <c r="E13" i="29"/>
  <c r="D13" i="29"/>
  <c r="X9" i="29"/>
  <c r="E18" i="29"/>
  <c r="D18" i="29"/>
  <c r="X10" i="29"/>
  <c r="X8" i="29"/>
  <c r="X11" i="29"/>
  <c r="E8" i="29"/>
  <c r="D8" i="29"/>
  <c r="D82" i="24" l="1"/>
  <c r="G82" i="24" s="1"/>
  <c r="F82" i="24"/>
  <c r="D86" i="24"/>
  <c r="F86" i="24"/>
  <c r="D84" i="24"/>
  <c r="F84" i="24"/>
  <c r="D81" i="24"/>
  <c r="F81" i="24"/>
  <c r="D79" i="24"/>
  <c r="F79" i="24"/>
  <c r="D76" i="24"/>
  <c r="F76" i="24"/>
  <c r="D75" i="24"/>
  <c r="F75" i="24"/>
  <c r="D73" i="24"/>
  <c r="F73" i="24"/>
  <c r="D70" i="24"/>
  <c r="F70" i="24"/>
  <c r="D66" i="24"/>
  <c r="F66" i="24"/>
  <c r="D65" i="24"/>
  <c r="F65" i="24"/>
  <c r="D63" i="24"/>
  <c r="F63" i="24"/>
  <c r="D60" i="24"/>
  <c r="F60" i="24"/>
  <c r="D56" i="24"/>
  <c r="F56" i="24"/>
  <c r="D51" i="24"/>
  <c r="F51" i="24"/>
  <c r="D50" i="24"/>
  <c r="F50" i="24"/>
  <c r="D48" i="24"/>
  <c r="F48" i="24"/>
  <c r="D45" i="24"/>
  <c r="F45" i="24"/>
  <c r="D41" i="24"/>
  <c r="F41" i="24"/>
  <c r="D36" i="24"/>
  <c r="F36" i="24"/>
  <c r="D30" i="24"/>
  <c r="F30" i="24"/>
  <c r="D29" i="24"/>
  <c r="F29" i="24"/>
  <c r="D27" i="24"/>
  <c r="F27" i="24"/>
  <c r="D24" i="24"/>
  <c r="F24" i="24"/>
  <c r="D20" i="24"/>
  <c r="F20" i="24"/>
  <c r="D15" i="24"/>
  <c r="F15" i="24"/>
  <c r="D9" i="24"/>
  <c r="F9" i="24"/>
  <c r="K11" i="24" s="1"/>
  <c r="E38" i="15"/>
  <c r="D38" i="15"/>
  <c r="D37" i="15"/>
  <c r="E37" i="15" s="1"/>
  <c r="E35" i="15"/>
  <c r="D35" i="15"/>
  <c r="D32" i="15"/>
  <c r="E32" i="15" s="1"/>
  <c r="E28" i="15"/>
  <c r="D28" i="15"/>
  <c r="D23" i="15"/>
  <c r="D17" i="15"/>
  <c r="D10" i="15"/>
  <c r="I11" i="15" s="1"/>
  <c r="K31" i="28"/>
  <c r="K32" i="28"/>
  <c r="K33" i="28"/>
  <c r="K34" i="28"/>
  <c r="M34" i="28" s="1"/>
  <c r="K35" i="28"/>
  <c r="K36" i="28"/>
  <c r="K37" i="28"/>
  <c r="L31" i="28"/>
  <c r="L32" i="28"/>
  <c r="L33" i="28"/>
  <c r="L34" i="28"/>
  <c r="L35" i="28"/>
  <c r="L36" i="28"/>
  <c r="L37" i="28"/>
  <c r="M31" i="28"/>
  <c r="M32" i="28"/>
  <c r="M33" i="28"/>
  <c r="M35" i="28"/>
  <c r="M36" i="28"/>
  <c r="M37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G312" i="28"/>
  <c r="G313" i="28"/>
  <c r="G314" i="28"/>
  <c r="G315" i="28"/>
  <c r="G316" i="28"/>
  <c r="G317" i="28"/>
  <c r="G318" i="28"/>
  <c r="G319" i="28"/>
  <c r="G320" i="28"/>
  <c r="G321" i="28"/>
  <c r="G322" i="28"/>
  <c r="G323" i="28"/>
  <c r="G324" i="28"/>
  <c r="G325" i="28"/>
  <c r="G326" i="28"/>
  <c r="G327" i="28"/>
  <c r="G328" i="28"/>
  <c r="G329" i="28"/>
  <c r="G330" i="28"/>
  <c r="G331" i="28"/>
  <c r="G332" i="28"/>
  <c r="G333" i="28"/>
  <c r="G334" i="28"/>
  <c r="G335" i="28"/>
  <c r="G336" i="28"/>
  <c r="G337" i="28"/>
  <c r="G338" i="28"/>
  <c r="G339" i="28"/>
  <c r="G340" i="28"/>
  <c r="G341" i="28"/>
  <c r="G342" i="28"/>
  <c r="G343" i="28"/>
  <c r="G344" i="28"/>
  <c r="G345" i="28"/>
  <c r="G346" i="28"/>
  <c r="G347" i="28"/>
  <c r="G348" i="28"/>
  <c r="G349" i="28"/>
  <c r="G350" i="28"/>
  <c r="G351" i="28"/>
  <c r="G352" i="28"/>
  <c r="G353" i="28"/>
  <c r="G354" i="28"/>
  <c r="G355" i="28"/>
  <c r="G356" i="28"/>
  <c r="G357" i="28"/>
  <c r="G358" i="28"/>
  <c r="G359" i="28"/>
  <c r="G360" i="28"/>
  <c r="G361" i="28"/>
  <c r="G362" i="28"/>
  <c r="G363" i="28"/>
  <c r="G364" i="28"/>
  <c r="G365" i="28"/>
  <c r="G366" i="28"/>
  <c r="G367" i="28"/>
  <c r="G368" i="28"/>
  <c r="G369" i="28"/>
  <c r="G370" i="28"/>
  <c r="G371" i="28"/>
  <c r="G372" i="28"/>
  <c r="G373" i="28"/>
  <c r="G374" i="28"/>
  <c r="G375" i="28"/>
  <c r="G376" i="28"/>
  <c r="G377" i="28"/>
  <c r="G378" i="28"/>
  <c r="G379" i="28"/>
  <c r="G380" i="28"/>
  <c r="K31" i="12"/>
  <c r="K32" i="12"/>
  <c r="K33" i="12"/>
  <c r="K34" i="12"/>
  <c r="M34" i="12" s="1"/>
  <c r="K35" i="12"/>
  <c r="K36" i="12"/>
  <c r="K37" i="12"/>
  <c r="L31" i="12"/>
  <c r="L32" i="12"/>
  <c r="L33" i="12"/>
  <c r="L34" i="12"/>
  <c r="L35" i="12"/>
  <c r="L36" i="12"/>
  <c r="L37" i="12"/>
  <c r="M31" i="12"/>
  <c r="M32" i="12"/>
  <c r="M33" i="12"/>
  <c r="M35" i="12"/>
  <c r="M36" i="12"/>
  <c r="M37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L37" i="2" s="1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G380" i="2" s="1"/>
  <c r="G378" i="2"/>
  <c r="L35" i="2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D72" i="24"/>
  <c r="D74" i="24"/>
  <c r="D77" i="24"/>
  <c r="D78" i="24"/>
  <c r="D80" i="24"/>
  <c r="D83" i="24"/>
  <c r="F72" i="24"/>
  <c r="F74" i="24"/>
  <c r="F77" i="24"/>
  <c r="F78" i="24"/>
  <c r="F80" i="24"/>
  <c r="F83" i="24"/>
  <c r="D59" i="24"/>
  <c r="D61" i="24"/>
  <c r="D62" i="24"/>
  <c r="D64" i="24"/>
  <c r="D67" i="24"/>
  <c r="D68" i="24"/>
  <c r="D69" i="24"/>
  <c r="D71" i="24"/>
  <c r="F59" i="24"/>
  <c r="F61" i="24"/>
  <c r="F62" i="24"/>
  <c r="F64" i="24"/>
  <c r="F67" i="24"/>
  <c r="F68" i="24"/>
  <c r="F69" i="24"/>
  <c r="F71" i="24"/>
  <c r="D33" i="24"/>
  <c r="D34" i="24"/>
  <c r="D35" i="24"/>
  <c r="D37" i="24"/>
  <c r="D38" i="24"/>
  <c r="D39" i="24"/>
  <c r="D40" i="24"/>
  <c r="D42" i="24"/>
  <c r="D43" i="24"/>
  <c r="D44" i="24"/>
  <c r="D46" i="24"/>
  <c r="D47" i="24"/>
  <c r="D49" i="24"/>
  <c r="D52" i="24"/>
  <c r="D53" i="24"/>
  <c r="D54" i="24"/>
  <c r="D55" i="24"/>
  <c r="D57" i="24"/>
  <c r="D58" i="24"/>
  <c r="F33" i="24"/>
  <c r="F34" i="24"/>
  <c r="F35" i="24"/>
  <c r="F37" i="24"/>
  <c r="F38" i="24"/>
  <c r="F39" i="24"/>
  <c r="F40" i="24"/>
  <c r="F42" i="24"/>
  <c r="F43" i="24"/>
  <c r="F44" i="24"/>
  <c r="F46" i="24"/>
  <c r="F47" i="24"/>
  <c r="F49" i="24"/>
  <c r="F52" i="24"/>
  <c r="F53" i="24"/>
  <c r="F54" i="24"/>
  <c r="F55" i="24"/>
  <c r="F57" i="24"/>
  <c r="F58" i="24"/>
  <c r="D32" i="24"/>
  <c r="F32" i="24"/>
  <c r="D31" i="24"/>
  <c r="F31" i="24"/>
  <c r="D28" i="24"/>
  <c r="F28" i="24"/>
  <c r="D26" i="24"/>
  <c r="F26" i="24"/>
  <c r="D25" i="24"/>
  <c r="F25" i="24"/>
  <c r="D23" i="24"/>
  <c r="F23" i="24"/>
  <c r="D22" i="24"/>
  <c r="F22" i="24"/>
  <c r="D21" i="24"/>
  <c r="F21" i="24"/>
  <c r="D19" i="24"/>
  <c r="F19" i="24"/>
  <c r="D18" i="24"/>
  <c r="F18" i="24"/>
  <c r="D17" i="24"/>
  <c r="F17" i="24"/>
  <c r="D16" i="24"/>
  <c r="F16" i="24"/>
  <c r="D14" i="24"/>
  <c r="F14" i="24"/>
  <c r="D13" i="24"/>
  <c r="F13" i="24"/>
  <c r="D12" i="24"/>
  <c r="F12" i="24"/>
  <c r="D11" i="24"/>
  <c r="F11" i="24"/>
  <c r="F4" i="24"/>
  <c r="F5" i="24"/>
  <c r="F6" i="24"/>
  <c r="F7" i="24"/>
  <c r="F8" i="24"/>
  <c r="F10" i="24"/>
  <c r="F3" i="24"/>
  <c r="D3" i="24"/>
  <c r="D4" i="24"/>
  <c r="D5" i="24"/>
  <c r="D6" i="24"/>
  <c r="D7" i="24"/>
  <c r="D8" i="24"/>
  <c r="D10" i="24"/>
  <c r="I112" i="26" l="1"/>
  <c r="I89" i="26"/>
  <c r="I128" i="26"/>
  <c r="I127" i="26"/>
  <c r="I126" i="26"/>
  <c r="I123" i="26"/>
  <c r="I122" i="26"/>
  <c r="I125" i="26"/>
  <c r="I121" i="26"/>
  <c r="I118" i="26"/>
  <c r="I119" i="26"/>
  <c r="I116" i="26"/>
  <c r="I113" i="26"/>
  <c r="I109" i="26"/>
  <c r="I111" i="26"/>
  <c r="I108" i="26"/>
  <c r="I106" i="26"/>
  <c r="I103" i="26"/>
  <c r="I102" i="26"/>
  <c r="I100" i="26"/>
  <c r="I97" i="26"/>
  <c r="I93" i="26"/>
  <c r="I92" i="26"/>
  <c r="I91" i="26"/>
  <c r="I88" i="26"/>
  <c r="I86" i="26"/>
  <c r="I83" i="26"/>
  <c r="I82" i="26"/>
  <c r="I80" i="26"/>
  <c r="I77" i="26"/>
  <c r="I73" i="26"/>
  <c r="I72" i="26"/>
  <c r="I70" i="26"/>
  <c r="I67" i="26"/>
  <c r="I63" i="26"/>
  <c r="I58" i="26"/>
  <c r="I57" i="26"/>
  <c r="I56" i="26"/>
  <c r="I54" i="26"/>
  <c r="I53" i="26"/>
  <c r="I51" i="26"/>
  <c r="I48" i="26"/>
  <c r="I47" i="26"/>
  <c r="I45" i="26"/>
  <c r="I42" i="26"/>
  <c r="I38" i="26"/>
  <c r="I37" i="26"/>
  <c r="I35" i="26"/>
  <c r="I32" i="26"/>
  <c r="I28" i="26"/>
  <c r="I23" i="26"/>
  <c r="I22" i="26"/>
  <c r="I20" i="26"/>
  <c r="I17" i="26"/>
  <c r="I8" i="26"/>
  <c r="L11" i="26" s="1"/>
  <c r="N11" i="26" s="1"/>
  <c r="I13" i="26"/>
  <c r="G84" i="24"/>
  <c r="G86" i="24"/>
  <c r="G81" i="24"/>
  <c r="G56" i="24"/>
  <c r="G66" i="24"/>
  <c r="G76" i="24"/>
  <c r="G51" i="24"/>
  <c r="G65" i="24"/>
  <c r="G75" i="24"/>
  <c r="G63" i="24"/>
  <c r="G73" i="24"/>
  <c r="G60" i="24"/>
  <c r="G70" i="24"/>
  <c r="G79" i="24"/>
  <c r="G20" i="24"/>
  <c r="G30" i="24"/>
  <c r="G50" i="24"/>
  <c r="G24" i="24"/>
  <c r="G36" i="24"/>
  <c r="G15" i="24"/>
  <c r="G29" i="24"/>
  <c r="G45" i="24"/>
  <c r="G9" i="24"/>
  <c r="G27" i="24"/>
  <c r="G41" i="24"/>
  <c r="G48" i="24"/>
  <c r="E17" i="15"/>
  <c r="E23" i="15"/>
  <c r="E10" i="15"/>
  <c r="L10" i="2"/>
  <c r="L32" i="2"/>
  <c r="L28" i="2"/>
  <c r="L23" i="2"/>
  <c r="L17" i="2"/>
  <c r="G377" i="2"/>
  <c r="G379" i="2"/>
  <c r="G376" i="2"/>
  <c r="G375" i="2"/>
  <c r="G360" i="2"/>
  <c r="G362" i="2"/>
  <c r="G361" i="2"/>
  <c r="G363" i="2"/>
  <c r="G364" i="2"/>
  <c r="G365" i="2"/>
  <c r="G328" i="2"/>
  <c r="G326" i="2"/>
  <c r="G327" i="2"/>
  <c r="G331" i="2"/>
  <c r="G329" i="2"/>
  <c r="G330" i="2"/>
  <c r="G332" i="2"/>
  <c r="G333" i="2"/>
  <c r="G334" i="2"/>
  <c r="G335" i="2"/>
  <c r="G269" i="2"/>
  <c r="G263" i="2"/>
  <c r="G261" i="2"/>
  <c r="G262" i="2"/>
  <c r="G264" i="2"/>
  <c r="G267" i="2"/>
  <c r="G265" i="2"/>
  <c r="G266" i="2"/>
  <c r="G268" i="2"/>
  <c r="G270" i="2"/>
  <c r="G273" i="2"/>
  <c r="G271" i="2"/>
  <c r="G272" i="2"/>
  <c r="G274" i="2"/>
  <c r="G373" i="2"/>
  <c r="G275" i="2"/>
  <c r="G374" i="2"/>
  <c r="G370" i="2"/>
  <c r="G371" i="2"/>
  <c r="G368" i="2"/>
  <c r="G367" i="2"/>
  <c r="G358" i="2"/>
  <c r="G359" i="2"/>
  <c r="G353" i="2"/>
  <c r="G356" i="2"/>
  <c r="G340" i="2"/>
  <c r="G350" i="2"/>
  <c r="G352" i="2"/>
  <c r="G346" i="2"/>
  <c r="G347" i="2"/>
  <c r="G344" i="2"/>
  <c r="G341" i="2"/>
  <c r="G338" i="2"/>
  <c r="G324" i="2"/>
  <c r="G325" i="2"/>
  <c r="G322" i="2"/>
  <c r="G319" i="2"/>
  <c r="G312" i="2"/>
  <c r="G315" i="2"/>
  <c r="G314" i="2"/>
  <c r="G302" i="2"/>
  <c r="G305" i="2"/>
  <c r="G309" i="2"/>
  <c r="G304" i="2"/>
  <c r="G299" i="2"/>
  <c r="G294" i="2"/>
  <c r="G295" i="2"/>
  <c r="G282" i="2"/>
  <c r="G285" i="2"/>
  <c r="G292" i="2"/>
  <c r="G289" i="2"/>
  <c r="G284" i="2"/>
  <c r="G244" i="2"/>
  <c r="G250" i="2"/>
  <c r="G257" i="2"/>
  <c r="G260" i="2"/>
  <c r="G279" i="2"/>
  <c r="G259" i="2"/>
  <c r="G245" i="2"/>
  <c r="G254" i="2"/>
  <c r="G242" i="2"/>
  <c r="G235" i="2"/>
  <c r="G239" i="2"/>
  <c r="G209" i="2"/>
  <c r="G214" i="2"/>
  <c r="G220" i="2"/>
  <c r="G227" i="2"/>
  <c r="G215" i="2"/>
  <c r="G224" i="2"/>
  <c r="G229" i="2"/>
  <c r="G230" i="2"/>
  <c r="G212" i="2"/>
  <c r="G199" i="2"/>
  <c r="G205" i="2"/>
  <c r="G200" i="2"/>
  <c r="G197" i="2"/>
  <c r="G194" i="2"/>
  <c r="G190" i="2"/>
  <c r="G151" i="2"/>
  <c r="G179" i="2"/>
  <c r="G184" i="2"/>
  <c r="G185" i="2"/>
  <c r="G182" i="2"/>
  <c r="G152" i="2"/>
  <c r="G175" i="2"/>
  <c r="G155" i="2"/>
  <c r="G153" i="2"/>
  <c r="G154" i="2"/>
  <c r="G158" i="2"/>
  <c r="G156" i="2"/>
  <c r="G159" i="2"/>
  <c r="G157" i="2"/>
  <c r="G160" i="2"/>
  <c r="G161" i="2"/>
  <c r="G164" i="2"/>
  <c r="G162" i="2"/>
  <c r="G163" i="2"/>
  <c r="G165" i="2"/>
  <c r="G166" i="2"/>
  <c r="G167" i="2"/>
  <c r="G168" i="2"/>
  <c r="G170" i="2"/>
  <c r="G169" i="2"/>
  <c r="G143" i="2"/>
  <c r="G148" i="2"/>
  <c r="G150" i="2"/>
  <c r="G149" i="2"/>
  <c r="G146" i="2"/>
  <c r="G139" i="2"/>
  <c r="G134" i="2"/>
  <c r="G122" i="2"/>
  <c r="G127" i="2"/>
  <c r="G128" i="2"/>
  <c r="G125" i="2"/>
  <c r="G113" i="2"/>
  <c r="G118" i="2"/>
  <c r="G106" i="2"/>
  <c r="G107" i="2"/>
  <c r="G104" i="2"/>
  <c r="G101" i="2"/>
  <c r="G97" i="2"/>
  <c r="G86" i="2"/>
  <c r="G92" i="2"/>
  <c r="G71" i="2"/>
  <c r="G85" i="2"/>
  <c r="G65" i="2"/>
  <c r="G76" i="2"/>
  <c r="G83" i="2"/>
  <c r="G80" i="2"/>
  <c r="G50" i="2"/>
  <c r="G44" i="2"/>
  <c r="G62" i="2"/>
  <c r="G41" i="2"/>
  <c r="G64" i="2"/>
  <c r="G59" i="2"/>
  <c r="G55" i="2"/>
  <c r="G43" i="2"/>
  <c r="G23" i="2"/>
  <c r="G34" i="2"/>
  <c r="G38" i="2"/>
  <c r="G17" i="2"/>
  <c r="G22" i="2"/>
  <c r="G29" i="2"/>
  <c r="G20" i="2"/>
  <c r="G13" i="2"/>
  <c r="G8" i="2"/>
  <c r="P72" i="22"/>
  <c r="O94" i="2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40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124" i="26"/>
  <c r="I120" i="26"/>
  <c r="I117" i="26"/>
  <c r="I115" i="26"/>
  <c r="I114" i="26"/>
  <c r="I110" i="26"/>
  <c r="I107" i="26"/>
  <c r="I105" i="26"/>
  <c r="I104" i="26"/>
  <c r="I101" i="26"/>
  <c r="I96" i="26"/>
  <c r="I99" i="26"/>
  <c r="I98" i="26"/>
  <c r="I95" i="26"/>
  <c r="I90" i="26"/>
  <c r="I94" i="26"/>
  <c r="I87" i="26"/>
  <c r="I85" i="26"/>
  <c r="I84" i="26"/>
  <c r="I81" i="26"/>
  <c r="I79" i="26"/>
  <c r="I78" i="26"/>
  <c r="I76" i="26"/>
  <c r="I75" i="26"/>
  <c r="I74" i="26"/>
  <c r="I68" i="26"/>
  <c r="I71" i="26"/>
  <c r="I69" i="26"/>
  <c r="I66" i="26"/>
  <c r="I65" i="26"/>
  <c r="I64" i="26"/>
  <c r="I62" i="26"/>
  <c r="I61" i="26"/>
  <c r="I60" i="26"/>
  <c r="I59" i="26"/>
  <c r="I55" i="26"/>
  <c r="I52" i="26"/>
  <c r="I50" i="26"/>
  <c r="I44" i="26"/>
  <c r="I49" i="26"/>
  <c r="I46" i="26"/>
  <c r="I43" i="26"/>
  <c r="I41" i="26"/>
  <c r="I40" i="26"/>
  <c r="I39" i="26"/>
  <c r="I36" i="26"/>
  <c r="I33" i="26"/>
  <c r="I29" i="26"/>
  <c r="I34" i="26"/>
  <c r="I31" i="26"/>
  <c r="I30" i="26"/>
  <c r="I27" i="26"/>
  <c r="I26" i="26"/>
  <c r="I25" i="26"/>
  <c r="I24" i="26"/>
  <c r="I21" i="26"/>
  <c r="I19" i="26"/>
  <c r="I18" i="26"/>
  <c r="I16" i="26"/>
  <c r="I15" i="26"/>
  <c r="I14" i="26"/>
  <c r="I12" i="26"/>
  <c r="I11" i="26"/>
  <c r="I10" i="26"/>
  <c r="I9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55" i="24"/>
  <c r="G43" i="24"/>
  <c r="G33" i="24"/>
  <c r="G80" i="24"/>
  <c r="G77" i="24"/>
  <c r="G72" i="24"/>
  <c r="G78" i="24"/>
  <c r="G74" i="24"/>
  <c r="G83" i="24"/>
  <c r="G38" i="24"/>
  <c r="G54" i="24"/>
  <c r="G68" i="24"/>
  <c r="G47" i="24"/>
  <c r="G37" i="24"/>
  <c r="G69" i="24"/>
  <c r="G67" i="24"/>
  <c r="G39" i="24"/>
  <c r="G64" i="24"/>
  <c r="G62" i="24"/>
  <c r="G61" i="24"/>
  <c r="G59" i="24"/>
  <c r="G71" i="24"/>
  <c r="G53" i="24"/>
  <c r="G46" i="24"/>
  <c r="G35" i="24"/>
  <c r="G52" i="24"/>
  <c r="G34" i="24"/>
  <c r="G58" i="24"/>
  <c r="G57" i="24"/>
  <c r="G49" i="24"/>
  <c r="G44" i="24"/>
  <c r="G42" i="24"/>
  <c r="G32" i="24"/>
  <c r="G31" i="24"/>
  <c r="G28" i="24"/>
  <c r="G26" i="24"/>
  <c r="G25" i="24"/>
  <c r="G23" i="24"/>
  <c r="G22" i="24"/>
  <c r="G21" i="24"/>
  <c r="G19" i="24"/>
  <c r="G18" i="24"/>
  <c r="G17" i="24"/>
  <c r="G16" i="24"/>
  <c r="G14" i="24"/>
  <c r="G13" i="24"/>
  <c r="G12" i="24"/>
  <c r="G11" i="24"/>
  <c r="G10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1" i="15"/>
  <c r="D12" i="15"/>
  <c r="D13" i="15"/>
  <c r="D14" i="15"/>
  <c r="D15" i="15"/>
  <c r="D16" i="15"/>
  <c r="D18" i="15"/>
  <c r="D19" i="15"/>
  <c r="D20" i="15"/>
  <c r="D21" i="15"/>
  <c r="D22" i="15"/>
  <c r="D24" i="15"/>
  <c r="D25" i="15"/>
  <c r="D26" i="15"/>
  <c r="D27" i="15"/>
  <c r="D29" i="15"/>
  <c r="D30" i="15"/>
  <c r="D31" i="15"/>
  <c r="D33" i="15"/>
  <c r="D34" i="15"/>
  <c r="D36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H11" i="15" l="1"/>
  <c r="J11" i="15" s="1"/>
  <c r="J11" i="24"/>
  <c r="L11" i="24" s="1"/>
  <c r="K37" i="2"/>
  <c r="M37" i="2" s="1"/>
  <c r="K35" i="2"/>
  <c r="M35" i="2" s="1"/>
  <c r="K32" i="2"/>
  <c r="M32" i="2" s="1"/>
  <c r="K28" i="2"/>
  <c r="M28" i="2" s="1"/>
  <c r="K23" i="2"/>
  <c r="M23" i="2" s="1"/>
  <c r="K17" i="2"/>
  <c r="M17" i="2" s="1"/>
  <c r="K10" i="2"/>
  <c r="M10" i="2" s="1"/>
  <c r="O26" i="18"/>
  <c r="N18" i="21"/>
  <c r="O52" i="21"/>
  <c r="O4" i="16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6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31" i="15"/>
  <c r="E34" i="15"/>
  <c r="E33" i="15"/>
  <c r="E29" i="15"/>
  <c r="E30" i="15"/>
  <c r="E13" i="15"/>
  <c r="E18" i="15"/>
  <c r="E22" i="15"/>
  <c r="E27" i="15"/>
  <c r="E7" i="15"/>
  <c r="E16" i="15"/>
  <c r="E21" i="15"/>
  <c r="E26" i="15"/>
  <c r="E8" i="15"/>
  <c r="E6" i="15"/>
  <c r="E11" i="15"/>
  <c r="E15" i="15"/>
  <c r="E20" i="15"/>
  <c r="E25" i="15"/>
  <c r="E4" i="15"/>
  <c r="E5" i="15"/>
  <c r="E14" i="15"/>
  <c r="E19" i="15"/>
  <c r="E24" i="15"/>
  <c r="E12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369" i="2"/>
  <c r="G354" i="2"/>
  <c r="G345" i="2"/>
  <c r="G337" i="2"/>
  <c r="G320" i="2"/>
  <c r="G313" i="2"/>
  <c r="G307" i="2"/>
  <c r="G300" i="2"/>
  <c r="G293" i="2"/>
  <c r="G287" i="2"/>
  <c r="G258" i="2"/>
  <c r="G252" i="2"/>
  <c r="G247" i="2"/>
  <c r="G240" i="2"/>
  <c r="G234" i="2"/>
  <c r="G228" i="2"/>
  <c r="G222" i="2"/>
  <c r="G217" i="2"/>
  <c r="G210" i="2"/>
  <c r="G204" i="2"/>
  <c r="G198" i="2"/>
  <c r="G192" i="2"/>
  <c r="G187" i="2"/>
  <c r="G180" i="2"/>
  <c r="G174" i="2"/>
  <c r="G147" i="2"/>
  <c r="G141" i="2"/>
  <c r="G136" i="2"/>
  <c r="G131" i="2"/>
  <c r="G124" i="2"/>
  <c r="G119" i="2"/>
  <c r="G114" i="2"/>
  <c r="G109" i="2"/>
  <c r="G102" i="2"/>
  <c r="G96" i="2"/>
  <c r="G91" i="2"/>
  <c r="G87" i="2"/>
  <c r="G79" i="2"/>
  <c r="G74" i="2"/>
  <c r="G69" i="2"/>
  <c r="G63" i="2"/>
  <c r="G57" i="2"/>
  <c r="G52" i="2"/>
  <c r="G47" i="2"/>
  <c r="G40" i="2"/>
  <c r="G35" i="2"/>
  <c r="G30" i="2"/>
  <c r="G25" i="2"/>
  <c r="G18" i="2"/>
  <c r="G12" i="2"/>
  <c r="G7" i="2"/>
  <c r="G3" i="2"/>
  <c r="G280" i="2"/>
  <c r="G366" i="2"/>
  <c r="G343" i="2"/>
  <c r="G318" i="2"/>
  <c r="G306" i="2"/>
  <c r="G291" i="2"/>
  <c r="G286" i="2"/>
  <c r="G278" i="2"/>
  <c r="G256" i="2"/>
  <c r="G251" i="2"/>
  <c r="G246" i="2"/>
  <c r="G238" i="2"/>
  <c r="G233" i="2"/>
  <c r="G226" i="2"/>
  <c r="G221" i="2"/>
  <c r="G216" i="2"/>
  <c r="G208" i="2"/>
  <c r="G203" i="2"/>
  <c r="G196" i="2"/>
  <c r="G191" i="2"/>
  <c r="G186" i="2"/>
  <c r="G178" i="2"/>
  <c r="G173" i="2"/>
  <c r="G145" i="2"/>
  <c r="G140" i="2"/>
  <c r="G135" i="2"/>
  <c r="G130" i="2"/>
  <c r="G123" i="2"/>
  <c r="G117" i="2"/>
  <c r="G112" i="2"/>
  <c r="G108" i="2"/>
  <c r="G100" i="2"/>
  <c r="G95" i="2"/>
  <c r="G90" i="2"/>
  <c r="G84" i="2"/>
  <c r="G78" i="2"/>
  <c r="G73" i="2"/>
  <c r="G68" i="2"/>
  <c r="G61" i="2"/>
  <c r="G56" i="2"/>
  <c r="G51" i="2"/>
  <c r="G46" i="2"/>
  <c r="G39" i="2"/>
  <c r="G33" i="2"/>
  <c r="G28" i="2"/>
  <c r="G24" i="2"/>
  <c r="G16" i="2"/>
  <c r="G11" i="2"/>
  <c r="G6" i="2"/>
  <c r="G351" i="2"/>
  <c r="G336" i="2"/>
  <c r="G311" i="2"/>
  <c r="G298" i="2"/>
  <c r="G357" i="2"/>
  <c r="G342" i="2"/>
  <c r="G317" i="2"/>
  <c r="G303" i="2"/>
  <c r="G283" i="2"/>
  <c r="G255" i="2"/>
  <c r="G349" i="2"/>
  <c r="G323" i="2"/>
  <c r="G310" i="2"/>
  <c r="G297" i="2"/>
  <c r="G290" i="2"/>
  <c r="G277" i="2"/>
  <c r="G249" i="2"/>
  <c r="G243" i="2"/>
  <c r="G237" i="2"/>
  <c r="G232" i="2"/>
  <c r="G225" i="2"/>
  <c r="G219" i="2"/>
  <c r="G213" i="2"/>
  <c r="G207" i="2"/>
  <c r="G202" i="2"/>
  <c r="G195" i="2"/>
  <c r="G189" i="2"/>
  <c r="G183" i="2"/>
  <c r="G177" i="2"/>
  <c r="G172" i="2"/>
  <c r="G144" i="2"/>
  <c r="G138" i="2"/>
  <c r="G133" i="2"/>
  <c r="G129" i="2"/>
  <c r="G121" i="2"/>
  <c r="G116" i="2"/>
  <c r="G111" i="2"/>
  <c r="G105" i="2"/>
  <c r="G99" i="2"/>
  <c r="G94" i="2"/>
  <c r="G89" i="2"/>
  <c r="G82" i="2"/>
  <c r="G77" i="2"/>
  <c r="G72" i="2"/>
  <c r="G67" i="2"/>
  <c r="G60" i="2"/>
  <c r="G54" i="2"/>
  <c r="G49" i="2"/>
  <c r="G45" i="2"/>
  <c r="G37" i="2"/>
  <c r="G32" i="2"/>
  <c r="G27" i="2"/>
  <c r="G21" i="2"/>
  <c r="G15" i="2"/>
  <c r="G10" i="2"/>
  <c r="G5" i="2"/>
  <c r="G355" i="2"/>
  <c r="G339" i="2"/>
  <c r="G316" i="2"/>
  <c r="G301" i="2"/>
  <c r="G288" i="2"/>
  <c r="G276" i="2"/>
  <c r="G248" i="2"/>
  <c r="G236" i="2"/>
  <c r="G223" i="2"/>
  <c r="G211" i="2"/>
  <c r="G201" i="2"/>
  <c r="G188" i="2"/>
  <c r="G176" i="2"/>
  <c r="G142" i="2"/>
  <c r="G132" i="2"/>
  <c r="G115" i="2"/>
  <c r="G103" i="2"/>
  <c r="G93" i="2"/>
  <c r="G81" i="2"/>
  <c r="G70" i="2"/>
  <c r="G58" i="2"/>
  <c r="G48" i="2"/>
  <c r="G36" i="2"/>
  <c r="G26" i="2"/>
  <c r="G14" i="2"/>
  <c r="G4" i="2"/>
  <c r="G372" i="2"/>
  <c r="G348" i="2"/>
  <c r="G321" i="2"/>
  <c r="G308" i="2"/>
  <c r="G281" i="2"/>
  <c r="G253" i="2"/>
  <c r="G241" i="2"/>
  <c r="G231" i="2"/>
  <c r="G218" i="2"/>
  <c r="G206" i="2"/>
  <c r="G193" i="2"/>
  <c r="G181" i="2"/>
  <c r="G171" i="2"/>
  <c r="G137" i="2"/>
  <c r="G126" i="2"/>
  <c r="G120" i="2"/>
  <c r="G110" i="2"/>
  <c r="G98" i="2"/>
  <c r="G88" i="2"/>
  <c r="G75" i="2"/>
  <c r="G66" i="2"/>
  <c r="G53" i="2"/>
  <c r="G42" i="2"/>
  <c r="G31" i="2"/>
  <c r="G19" i="2"/>
  <c r="G9" i="2"/>
  <c r="L20" i="2"/>
  <c r="G296" i="2"/>
  <c r="L15" i="2"/>
  <c r="L11" i="2"/>
  <c r="L6" i="2"/>
  <c r="L22" i="2"/>
  <c r="L18" i="2"/>
  <c r="L13" i="2"/>
  <c r="L30" i="2"/>
  <c r="L21" i="2"/>
  <c r="L16" i="2"/>
  <c r="L12" i="2"/>
  <c r="L7" i="2"/>
  <c r="L36" i="2"/>
  <c r="L27" i="2"/>
  <c r="L29" i="2"/>
  <c r="L24" i="2"/>
  <c r="L19" i="2"/>
  <c r="L14" i="2"/>
  <c r="L8" i="2"/>
  <c r="L4" i="2"/>
  <c r="L26" i="2"/>
  <c r="L25" i="2"/>
  <c r="L9" i="2"/>
  <c r="L5" i="2"/>
  <c r="L3" i="2"/>
  <c r="L31" i="2"/>
  <c r="L34" i="2"/>
  <c r="L33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4" i="2"/>
  <c r="M14" i="2" s="1"/>
  <c r="K29" i="2"/>
  <c r="M29" i="2" s="1"/>
  <c r="K34" i="2"/>
  <c r="M34" i="2" s="1"/>
  <c r="K8" i="2"/>
  <c r="M8" i="2" s="1"/>
  <c r="K30" i="2"/>
  <c r="M30" i="2" s="1"/>
  <c r="K9" i="2"/>
  <c r="M9" i="2" s="1"/>
  <c r="K25" i="2"/>
  <c r="M25" i="2" s="1"/>
  <c r="K16" i="2"/>
  <c r="M16" i="2" s="1"/>
  <c r="K33" i="2"/>
  <c r="M33" i="2" s="1"/>
  <c r="K21" i="2"/>
  <c r="M21" i="2" s="1"/>
  <c r="K3" i="2"/>
  <c r="M3" i="2" s="1"/>
  <c r="K36" i="2"/>
  <c r="M36" i="2" s="1"/>
  <c r="K7" i="2"/>
  <c r="M7" i="2" s="1"/>
  <c r="K19" i="2"/>
  <c r="M19" i="2" s="1"/>
  <c r="K27" i="2"/>
  <c r="M27" i="2" s="1"/>
  <c r="K24" i="2"/>
  <c r="M24" i="2" s="1"/>
  <c r="K5" i="2"/>
  <c r="M5" i="2" s="1"/>
  <c r="K26" i="2"/>
  <c r="M26" i="2" s="1"/>
  <c r="K4" i="2"/>
  <c r="M4" i="2" s="1"/>
  <c r="K12" i="2"/>
  <c r="M12" i="2" s="1"/>
  <c r="K6" i="2"/>
  <c r="M6" i="2" s="1"/>
  <c r="K11" i="2"/>
  <c r="M11" i="2" s="1"/>
  <c r="K31" i="2"/>
  <c r="M31" i="2" s="1"/>
  <c r="K13" i="2"/>
  <c r="M13" i="2" s="1"/>
  <c r="K22" i="2"/>
  <c r="M22" i="2" s="1"/>
  <c r="K20" i="2"/>
  <c r="M20" i="2" s="1"/>
  <c r="K15" i="2"/>
  <c r="M15" i="2" s="1"/>
  <c r="K18" i="2"/>
  <c r="M18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<sst xmlns="http://schemas.openxmlformats.org/spreadsheetml/2006/main" count="9052" uniqueCount="323">
  <si>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</si>
  <si>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</si>
  <si>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</si>
  <si>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</si>
  <si>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</si>
  <si>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</si>
  <si>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</si>
  <si>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</si>
  <si>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</si>
  <si>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</si>
  <si>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</si>
  <si>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</si>
  <si>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</si>
  <si>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</si>
  <si>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</si>
  <si>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</si>
  <si>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</si>
  <si>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</si>
  <si>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</si>
  <si>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</si>
  <si>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</si>
  <si>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</si>
  <si>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</si>
  <si>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</si>
  <si>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</si>
  <si>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</si>
  <si>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</si>
  <si>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</si>
  <si>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</si>
  <si>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</si>
  <si>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</si>
  <si>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</si>
  <si>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</si>
  <si>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</si>
  <si>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</si>
  <si>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</si>
  <si>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</si>
  <si>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</si>
  <si>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</si>
  <si>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</si>
  <si>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</si>
  <si>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</si>
  <si>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</si>
  <si>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</si>
  <si>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</si>
  <si>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</si>
  <si>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</si>
  <si>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</si>
  <si>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</si>
  <si>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</si>
  <si>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</si>
  <si>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</si>
  <si>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</si>
  <si>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</si>
  <si>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</si>
  <si>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</si>
  <si>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</si>
  <si>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</si>
  <si>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</si>
  <si>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</si>
  <si>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</si>
  <si>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</si>
  <si>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</si>
  <si>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</si>
  <si>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</si>
  <si>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</si>
  <si>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</si>
  <si>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</si>
  <si>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</si>
  <si>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</si>
  <si>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</si>
  <si>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</si>
  <si>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</si>
  <si>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</si>
  <si>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</si>
  <si>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</si>
  <si>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</si>
  <si>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</si>
  <si>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</si>
  <si>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</si>
  <si>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</si>
  <si>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</si>
  <si>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</si>
  <si>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</si>
  <si>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</si>
  <si>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</si>
  <si>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</si>
  <si>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</si>
  <si>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</si>
  <si>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</si>
  <si>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</si>
  <si>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</si>
  <si>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</si>
  <si>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</si>
  <si>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</si>
  <si>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</si>
  <si>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</si>
  <si>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</si>
  <si>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</si>
  <si>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</si>
  <si>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</si>
  <si>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</si>
  <si>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</si>
  <si>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</si>
  <si>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</si>
  <si>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</si>
  <si>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</si>
  <si>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</si>
  <si>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</si>
  <si>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</si>
  <si>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</si>
  <si>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</si>
  <si>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</si>
  <si>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</si>
  <si>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</si>
  <si>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</si>
  <si>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</si>
  <si>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</si>
  <si>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</si>
  <si>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</si>
  <si>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</si>
  <si>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</si>
  <si>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</si>
  <si>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</si>
  <si>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</si>
  <si>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</si>
  <si>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</si>
  <si>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</si>
  <si>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</si>
  <si>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</si>
  <si>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</si>
  <si>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</si>
  <si>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</si>
  <si>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</si>
  <si>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</si>
  <si>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</si>
  <si>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</si>
  <si>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</si>
  <si>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</si>
  <si>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</si>
  <si>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</si>
  <si>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</si>
  <si>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</si>
  <si>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</si>
  <si>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</si>
  <si>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</si>
  <si>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</si>
  <si>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</si>
  <si>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</si>
  <si>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</si>
  <si>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</si>
  <si>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</si>
  <si>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</si>
  <si>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</si>
  <si>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</si>
  <si>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</si>
  <si>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</si>
  <si>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</si>
  <si>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</si>
  <si>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</si>
  <si>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</si>
  <si>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</si>
  <si>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</si>
  <si>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</si>
  <si>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</si>
  <si>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</si>
  <si>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</si>
  <si>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</si>
  <si>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</si>
  <si>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</si>
  <si>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</si>
  <si>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</si>
  <si>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</si>
  <si>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</si>
  <si>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</si>
  <si>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</si>
  <si>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</si>
  <si>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</si>
  <si>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</si>
  <si>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</si>
  <si>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</si>
  <si>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</si>
  <si>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</si>
  <si>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</si>
  <si>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</si>
  <si>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</si>
  <si>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</si>
  <si>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</si>
  <si>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</si>
  <si>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</si>
  <si>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</si>
  <si>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</si>
  <si>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</si>
  <si>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</si>
  <si>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</si>
  <si>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</si>
  <si>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</si>
  <si>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</si>
  <si>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</si>
  <si>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</si>
  <si>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</si>
  <si>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</si>
  <si>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</si>
  <si>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</si>
  <si>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</si>
  <si>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</si>
  <si>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</si>
  <si>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</si>
  <si>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</si>
  <si>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</si>
  <si>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</si>
  <si>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</si>
  <si>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</si>
  <si>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</si>
  <si>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</si>
  <si>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</si>
  <si>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</si>
  <si>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</si>
  <si>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</si>
  <si>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</si>
  <si>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</si>
  <si>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</si>
  <si>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</si>
  <si>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</si>
  <si>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</si>
  <si>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</si>
  <si>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</si>
  <si>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fcaf8680-dd2a-11ed-89b1-41426d06d862</t>
  </si>
  <si>
    <t>582fb3c0-eb47-11ed-8ccc-4718458ce3c7</t>
  </si>
  <si>
    <t>08fb18e0-d200-11ed-8a8d-5f2816e0a6de</t>
  </si>
  <si>
    <t>b49cebc0-d556-11ed-8599-f3fb693fbb21</t>
  </si>
  <si>
    <t>372ad090-d384-11ed-afec-e7a1826bef6e</t>
  </si>
  <si>
    <t>navarch</t>
  </si>
  <si>
    <t>11-duelist</t>
  </si>
  <si>
    <t>12-swift-reflexes</t>
  </si>
  <si>
    <t>13-reload</t>
  </si>
  <si>
    <t>21-boarding</t>
  </si>
  <si>
    <t>22-smoke-cloud</t>
  </si>
  <si>
    <t>23-enhanced-charges</t>
  </si>
  <si>
    <t>31-skillful-trick</t>
  </si>
  <si>
    <t>32-shellback</t>
  </si>
  <si>
    <t>33-gunslinger</t>
  </si>
  <si>
    <t>41-fortune</t>
  </si>
  <si>
    <t>42-bomb-toss</t>
  </si>
  <si>
    <t>43-piercing-shot</t>
  </si>
  <si>
    <t>kopis</t>
  </si>
  <si>
    <t>gun</t>
  </si>
  <si>
    <t>kopis 2</t>
  </si>
  <si>
    <t>kopis 3</t>
  </si>
  <si>
    <t>gun 2</t>
  </si>
  <si>
    <t>gun 3</t>
  </si>
  <si>
    <t>85dcdaa0-0398-11ee-9856-95ae29018c2f</t>
  </si>
  <si>
    <t>e98f2cc0-039c-11ee-9856-95ae29018c2f</t>
  </si>
  <si>
    <t>320cacd0-03a6-11ee-9856-95ae29018c2f</t>
  </si>
  <si>
    <t>e2c7f100-03a7-11ee-9856-95ae29018c2f</t>
  </si>
  <si>
    <t>b4d4e220-03ad-11ee-9856-95ae29018c2f</t>
  </si>
  <si>
    <t>896cd5d0-03b1-11ee-9856-95ae29018c2f</t>
  </si>
  <si>
    <t>002bfd20-03b9-11ee-9856-95ae29018c2f</t>
  </si>
  <si>
    <t>a89201a0-03bc-11ee-9856-95ae29018c2f</t>
  </si>
  <si>
    <t>4a589eb0-03c0-11ee-9856-95ae29018c2f</t>
  </si>
  <si>
    <t>ace96620-03c2-11ee-9856-95ae29018c2f</t>
  </si>
  <si>
    <t>08e2aad0-03c4-11ee-9856-95ae29018c2f</t>
  </si>
  <si>
    <t>791712e0-03c5-11ee-9856-95ae29018c2f</t>
  </si>
  <si>
    <t>f9e47150-03c6-11ee-9856-95ae29018c2f</t>
  </si>
  <si>
    <t>556b4fb0-03c9-11ee-9856-95ae29018c2f</t>
  </si>
  <si>
    <t>6138f070-03cb-11ee-9856-95ae29018c2f</t>
  </si>
  <si>
    <t>4f8884b0-03cd-11ee-9856-95ae29018c2f</t>
  </si>
  <si>
    <t>80b33ac0-03ce-11ee-9856-95ae29018c2f</t>
  </si>
  <si>
    <t>64920ce0-03d3-11ee-9856-95ae29018c2f</t>
  </si>
  <si>
    <t>ecbcf5d0-03d8-11ee-9856-95ae29018c2f</t>
  </si>
  <si>
    <t>5c2a20d0-03db-11ee-9856-95ae29018c2f</t>
  </si>
  <si>
    <t>3dcc65e0-03df-11ee-9856-95ae29018c2f</t>
  </si>
  <si>
    <t>660af370-03e2-11ee-9856-95ae29018c2f</t>
  </si>
  <si>
    <t>88f2ff30-03e3-11ee-9856-95ae29018c2f</t>
  </si>
  <si>
    <t>c4ee4340-03e4-11ee-9856-95ae29018c2f</t>
  </si>
  <si>
    <t>99b28900-03e6-11ee-9856-95ae29018c2f</t>
  </si>
  <si>
    <t>057c43f0-03e8-11ee-9856-95ae29018c2f</t>
  </si>
  <si>
    <t>37e0b280-03e9-11ee-9856-95ae29018c2f</t>
  </si>
  <si>
    <t>fe88e8c0-03ea-11ee-9856-95ae29018c2f</t>
  </si>
  <si>
    <t>a5dc6bd0-03ee-11ee-9856-95ae29018c2f</t>
  </si>
  <si>
    <t>534354e0-03f0-11ee-9856-95ae29018c2f</t>
  </si>
  <si>
    <t>f9554cb0-03f2-11ee-9856-95ae29018c2f</t>
  </si>
  <si>
    <t>c8989de0-03f5-11ee-9856-95ae29018c2f</t>
  </si>
  <si>
    <t>3171fa30-03f8-11ee-9856-95ae29018c2f</t>
  </si>
  <si>
    <t>cfad1c00-03fa-11ee-9856-95ae29018c2f</t>
  </si>
  <si>
    <t>02dd73d0-0401-11ee-9856-95ae29018c2f</t>
  </si>
  <si>
    <t>eed1a100-0404-11ee-9856-95ae29018c2f</t>
  </si>
  <si>
    <t>736948e0-043d-11ee-9856-95ae29018c2f</t>
  </si>
  <si>
    <t>931e35c0-0441-11ee-9856-95ae29018c2f</t>
  </si>
  <si>
    <t>82bb3f50-0448-11ee-9856-95ae29018c2f</t>
  </si>
  <si>
    <t>29ee7b10-044a-11ee-9856-95ae29018c2f</t>
  </si>
  <si>
    <t>0b2bc750-044f-11ee-9856-95ae29018c2f</t>
  </si>
  <si>
    <t>d9110f20-0451-11ee-9856-95ae29018c2f</t>
  </si>
  <si>
    <t>f64f32d0-0459-11ee-9856-95ae29018c2f</t>
  </si>
  <si>
    <t>69d4cf70-0460-11ee-9856-95ae29018c2f</t>
  </si>
  <si>
    <t>c8e26e20-0463-11ee-9856-95ae29018c2f</t>
  </si>
  <si>
    <t>8ee917c0-0466-11ee-9856-95ae29018c2f</t>
  </si>
  <si>
    <t>a3951e00-0469-11ee-9856-95ae29018c2f</t>
  </si>
  <si>
    <t>3eb8bc10-046b-11ee-9856-95ae29018c2f</t>
  </si>
  <si>
    <t>c7a28430-049c-11ee-88d0-3be8eb2f81bb</t>
  </si>
  <si>
    <t>ad9a19a0-04a0-11ee-88d0-3be8eb2f81bb</t>
  </si>
  <si>
    <t>c08b9740-04a6-11ee-88d0-3be8eb2f81bb</t>
  </si>
  <si>
    <t>8040c7d0-04a8-11ee-88d0-3be8eb2f81bb</t>
  </si>
  <si>
    <t>f48a9110-04a9-11ee-88d0-3be8eb2f81bb</t>
  </si>
  <si>
    <t>14738640-04ae-11ee-88d0-3be8eb2f81bb</t>
  </si>
  <si>
    <t>a52ca3c0-04b2-11ee-88d0-3be8eb2f81bb</t>
  </si>
  <si>
    <t>e1205140-04b4-11ee-88d0-3be8eb2f81bb</t>
  </si>
  <si>
    <t>ffc682b0-04b7-11ee-88d0-3be8eb2f81bb</t>
  </si>
  <si>
    <t>7db0d380-04bb-11ee-88d0-3be8eb2f81bb</t>
  </si>
  <si>
    <t>8259ccb0-04bc-11ee-88d0-3be8eb2f81bb</t>
  </si>
  <si>
    <t>f7008300-04bd-11ee-88d0-3be8eb2f81bb</t>
  </si>
  <si>
    <t>391f20b0-04bf-11ee-88d0-3be8eb2f81bb</t>
  </si>
  <si>
    <t>e839fb50-04c0-11ee-88d0-3be8eb2f81bb</t>
  </si>
  <si>
    <t>f83ef9a0-04c1-11ee-88d0-3be8eb2f81bb</t>
  </si>
  <si>
    <t>6113de90-04c3-11ee-88d0-3be8eb2f81bb</t>
  </si>
  <si>
    <t>c48457a0-04c5-11ee-88d0-3be8eb2f81bb</t>
  </si>
  <si>
    <t>66f8abc0-04c7-11ee-88d0-3be8eb2f81bb</t>
  </si>
  <si>
    <t>7aa82990-04ca-11ee-88d0-3be8eb2f81bb</t>
  </si>
  <si>
    <t>8a7e8be0-04cd-11ee-88d0-3be8eb2f81bb</t>
  </si>
  <si>
    <t>62262600-04d0-11ee-88d0-3be8eb2f81bb</t>
  </si>
  <si>
    <t>f20f5b40-04d2-11ee-88d0-3be8eb2f81bb</t>
  </si>
  <si>
    <t>abd210c0-04d5-11ee-88d0-3be8eb2f81bb</t>
  </si>
  <si>
    <t>bbce98b0-04d8-11ee-88d0-3be8eb2f81bb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</si>
</sst>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040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" totalsRowShown="0">
  <autoFilter ref="A1:AJ2" xr:uid="{00000000-0009-0000-0100-000001000000}"/>
  <tableColumns count="36">
    <tableColumn id="1" xr3:uid="{00000000-0010-0000-0000-000001000000}" name="battle" dataDxfId="2037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2" totalsRowShown="0">
  <autoFilter ref="A1:AB2" xr:uid="{00000000-0009-0000-0100-000001000000}"/>
  <tableColumns count="28">
    <tableColumn id="1" xr3:uid="{BC50D7B9-B62B-437D-84CB-40D98C013997}" name="battle" dataDxfId="2007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488" headerRowBorderDxfId="1487" tableBorderDxfId="1486" totalsRowBorderDxfId="1485">
  <autoFilter ref="K17:O20" xr:uid="{01E0B516-A92C-45D4-946B-0FCF2F31D98A}"/>
  <tableColumns count="5">
    <tableColumn id="1" xr3:uid="{F1A34086-91B1-448A-A581-8C7A371A6B38}" name="ability" dataDxfId="1484"/>
    <tableColumn id="2" xr3:uid="{1CA216CA-0230-4993-9DF5-190FC3A6530D}" name="takes" dataDxfId="1483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482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481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480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479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478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477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476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475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474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473" headerRowBorderDxfId="1472" tableBorderDxfId="1471" totalsRowBorderDxfId="1470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469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468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467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466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465" headerRowBorderDxfId="1464" tableBorderDxfId="1463" totalsRowBorderDxfId="1462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461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460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459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458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457" headerRowBorderDxfId="1456" tableBorderDxfId="1455" totalsRowBorderDxfId="1454">
  <autoFilter ref="K38:O41" xr:uid="{A1F38E75-59DE-4DB4-B81C-C0322397F6F7}"/>
  <tableColumns count="5">
    <tableColumn id="1" xr3:uid="{74357A07-E8F9-4439-8A7D-C51B3289B074}" name="ability" dataDxfId="1453"/>
    <tableColumn id="2" xr3:uid="{2B46AB72-5070-479E-BA92-0EA40B2FAD9A}" name="takes" dataDxfId="1452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451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450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449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448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447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446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445">
      <calculatedColumnFormula>COUNTIF(Scenario2[winner1-ability1],DruidAbilities1Scenario2[[#This Row],[ability]])</calculatedColumnFormula>
    </tableColumn>
    <tableColumn id="5" xr3:uid="{8E619ED0-484C-4412-A819-C4816A1E0005}" name="battles-take-rate" dataDxfId="1444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443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442" headerRowBorderDxfId="1441" tableBorderDxfId="1440" totalsRowBorderDxfId="1439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438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437">
      <calculatedColumnFormula>COUNTIF(Scenario2[winner1-ability2],DruidAbilities2Scenario2[[#This Row],[ability]])</calculatedColumnFormula>
    </tableColumn>
    <tableColumn id="4" xr3:uid="{DD2FBF56-CB12-4887-A4B2-BB3C9B0B611A}" name="battles-take-rate" dataDxfId="1436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435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434" headerRowBorderDxfId="1433" tableBorderDxfId="1432" totalsRowBorderDxfId="1431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430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429">
      <calculatedColumnFormula>COUNTIF(Scenario2[winner1-ability3],DruidAbilities3Scenario2[[#This Row],[ability]])</calculatedColumnFormula>
    </tableColumn>
    <tableColumn id="4" xr3:uid="{17A59155-4BEE-4B00-A77D-54C7568B711B}" name="battles-take-rate" dataDxfId="1428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427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86" totalsRowShown="0">
  <autoFilter ref="A2:G86" xr:uid="{00000000-0009-0000-0100-000002000000}"/>
  <tableColumns count="7">
    <tableColumn id="1" xr3:uid="{768E8866-D096-42A8-8945-023F2727FDAD}" name="hero-1"/>
    <tableColumn id="4" xr3:uid="{848F0152-FF75-4526-9B37-4C18B7BDEAF3}" name="team-1-win" dataDxfId="2006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2005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2004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426" headerRowBorderDxfId="1425" tableBorderDxfId="1424" totalsRowBorderDxfId="1423">
  <autoFilter ref="K59:O62" xr:uid="{DDB7F110-02A6-4F67-8266-251AF48CB7C0}"/>
  <tableColumns count="5">
    <tableColumn id="1" xr3:uid="{963218A6-E2C8-468F-A480-18EABD6D01C3}" name="ability" dataDxfId="1422"/>
    <tableColumn id="2" xr3:uid="{B7AE8A89-2A8C-49AF-8D96-6C1AB2DACE14}" name="takes" dataDxfId="1421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420">
      <calculatedColumnFormula>COUNTIF(Scenario2[winner1-ability4],DruidAbilities4Scenario2[[#This Row],[ability]])</calculatedColumnFormula>
    </tableColumn>
    <tableColumn id="4" xr3:uid="{AA29BEEB-A7D2-4818-96D2-39227A3BFA6F}" name="battles-take-rate" dataDxfId="1419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418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417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416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415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414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413">
      <calculatedColumnFormula>COUNTIF(Scenario3[winner1-ability1],DruidAbilities1Scenario3[[#This Row],[ability]])</calculatedColumnFormula>
    </tableColumn>
    <tableColumn id="5" xr3:uid="{4FF89EE2-8630-4141-AE21-A771AD1A9EF8}" name="battles-take-rate" dataDxfId="1412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411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410" headerRowBorderDxfId="1409" tableBorderDxfId="1408" totalsRowBorderDxfId="1407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406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405">
      <calculatedColumnFormula>COUNTIF(Scenario3[winner1-ability2],DruidAbilities2Scenario3[[#This Row],[ability]])</calculatedColumnFormula>
    </tableColumn>
    <tableColumn id="4" xr3:uid="{59808BF5-1BB2-4D2F-A36A-8FCA1917F73C}" name="battles-take-rate" dataDxfId="1404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403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402" headerRowBorderDxfId="1401" tableBorderDxfId="1400" totalsRowBorderDxfId="1399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398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397">
      <calculatedColumnFormula>COUNTIF(Scenario3[winner1-ability3],DruidAbilities3Scenario3[[#This Row],[ability]])</calculatedColumnFormula>
    </tableColumn>
    <tableColumn id="4" xr3:uid="{56EE8E9D-0B38-4F3C-A706-DF801F6E782A}" name="battles-take-rate" dataDxfId="1396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395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394" headerRowBorderDxfId="1393" tableBorderDxfId="1392" totalsRowBorderDxfId="1391">
  <autoFilter ref="K80:O83" xr:uid="{6C814871-D00E-4AC2-ABE0-4B3892D7F0AE}"/>
  <tableColumns count="5">
    <tableColumn id="1" xr3:uid="{B336BFD3-C277-43F6-97B4-769FAB55ABA9}" name="ability" dataDxfId="1390"/>
    <tableColumn id="2" xr3:uid="{5DC7BD53-CE7F-4C9C-B8BB-D410EDE17928}" name="takes" dataDxfId="1389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388">
      <calculatedColumnFormula>COUNTIF(Scenario3[winner1-ability4],DruidAbilities4Scenario3[[#This Row],[ability]])</calculatedColumnFormula>
    </tableColumn>
    <tableColumn id="4" xr3:uid="{B9D09778-1506-47CB-BB1F-A00AE865D740}" name="battles-take-rate" dataDxfId="1387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386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385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384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383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382">
      <calculatedColumnFormula>COUNTIF(Scenario4[winner1-ability1],DruidAbilities1Scenario4[[#This Row],[ability]])</calculatedColumnFormula>
    </tableColumn>
    <tableColumn id="5" xr3:uid="{06AAF157-CF91-4862-9B21-2300847F6670}" name="battles-take-rate" dataDxfId="1381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380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379" headerRowBorderDxfId="1378" tableBorderDxfId="1377" totalsRowBorderDxfId="1376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375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374">
      <calculatedColumnFormula>COUNTIF(Scenario4[winner1-ability2],DruidAbilities2Scenario4[[#This Row],[ability]])</calculatedColumnFormula>
    </tableColumn>
    <tableColumn id="4" xr3:uid="{FF69DC1A-7A6E-47CC-BBE3-E23DADEF715C}" name="battles-take-rate" dataDxfId="1373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372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1">
  <autoFilter ref="I2:L11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2003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2002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2001" totalsRowDxfId="2000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371" headerRowBorderDxfId="1370" tableBorderDxfId="1369" totalsRowBorderDxfId="1368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367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366">
      <calculatedColumnFormula>COUNTIF(Scenario4[winner1-ability3],DruidAbilities3Scenario4[[#This Row],[ability]])</calculatedColumnFormula>
    </tableColumn>
    <tableColumn id="4" xr3:uid="{E1D61A81-525A-4DC1-B6E9-25C258725BE6}" name="battles-take-rate" dataDxfId="1365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364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363" headerRowBorderDxfId="1362" tableBorderDxfId="1361" totalsRowBorderDxfId="1360">
  <autoFilter ref="K101:O104" xr:uid="{BCDE9ED1-1F22-42AC-AE3B-C1EED0842896}"/>
  <tableColumns count="5">
    <tableColumn id="1" xr3:uid="{DB6EB367-D24F-401C-919C-82D3EAEA2086}" name="ability" dataDxfId="1359"/>
    <tableColumn id="2" xr3:uid="{BBEB468B-4705-4289-A434-105410CC5CFC}" name="takes" dataDxfId="1358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357">
      <calculatedColumnFormula>COUNTIF(Scenario4[winner1-ability4],DruidAbilities4Scenario4[[#This Row],[ability]])</calculatedColumnFormula>
    </tableColumn>
    <tableColumn id="4" xr3:uid="{8295F0F3-E629-4A87-A950-FDB997C5BE5E}" name="battles-take-rate" dataDxfId="1356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355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354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353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352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351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350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349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348" headerRowBorderDxfId="1347" tableBorderDxfId="1346" totalsRowBorderDxfId="1345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344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343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342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341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340" headerRowBorderDxfId="1339" tableBorderDxfId="1338" totalsRowBorderDxfId="1337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336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335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334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333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332" headerRowBorderDxfId="1331" tableBorderDxfId="1330" totalsRowBorderDxfId="1329">
  <autoFilter ref="K122:O125" xr:uid="{2FAABC51-3ED7-410E-B39C-5A68AC6ED2E4}"/>
  <tableColumns count="5">
    <tableColumn id="1" xr3:uid="{7F722AC3-75F6-45B3-9190-827293B02D4C}" name="ability" dataDxfId="1328"/>
    <tableColumn id="2" xr3:uid="{683FB055-6956-496F-A0E9-5C2E73881138}" name="takes" dataDxfId="1327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326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325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324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323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322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321">
      <calculatedColumnFormula>L3+L24+L45+L66+L87+L108</calculatedColumnFormula>
    </tableColumn>
    <tableColumn id="4" xr3:uid="{EC3B8EC8-1BFA-48CF-8CDE-94C6F7C34CA6}" name="wins" dataDxfId="1320">
      <calculatedColumnFormula>M3+M24+M45+M66+M87+M108</calculatedColumnFormula>
    </tableColumn>
    <tableColumn id="5" xr3:uid="{F0960502-C6CE-4EB1-BD9C-74EF7F619CEB}" name="battles-take-rate" dataDxfId="1319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318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317" headerRowBorderDxfId="1316" tableBorderDxfId="1315" totalsRowBorderDxfId="1314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313">
      <calculatedColumnFormula>L8+L29+L50+L71+L92+L113</calculatedColumnFormula>
    </tableColumn>
    <tableColumn id="3" xr3:uid="{DC8F8E66-B8EB-483C-B2BE-7C9B2A81E076}" name="wins" dataDxfId="1312">
      <calculatedColumnFormula>M8+M29+M50+M71+M92+M113</calculatedColumnFormula>
    </tableColumn>
    <tableColumn id="4" xr3:uid="{5AD9DA06-82FA-4EF9-BFCA-BF0FFFF88911}" name="battles-take-rate" dataDxfId="1311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310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2" totalsRowShown="0">
  <autoFilter ref="A1:AJ2" xr:uid="{00000000-0009-0000-0100-000001000000}"/>
  <tableColumns count="36">
    <tableColumn id="1" xr3:uid="{BCD668BC-EA15-4124-A76A-A95AB955ABF3}" name="battle" dataDxfId="1996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309" headerRowBorderDxfId="1308" tableBorderDxfId="1307" totalsRowBorderDxfId="1306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305">
      <calculatedColumnFormula>L13+L34+L55+L76+L97+L118</calculatedColumnFormula>
    </tableColumn>
    <tableColumn id="3" xr3:uid="{C0F69861-77B3-4AAF-8D53-36D42207F13D}" name="wins" dataDxfId="1304">
      <calculatedColumnFormula>M13+M34+M55+M76+M97+M118</calculatedColumnFormula>
    </tableColumn>
    <tableColumn id="4" xr3:uid="{17EE2411-F535-4C09-9682-1BE2E263BF38}" name="battles-take-rate" dataDxfId="1303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302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301" headerRowBorderDxfId="1300" tableBorderDxfId="1299" totalsRowBorderDxfId="1298">
  <autoFilter ref="A17:E20" xr:uid="{2AADA4A0-2F4A-4009-8ECF-0BECA693390C}"/>
  <tableColumns count="5">
    <tableColumn id="1" xr3:uid="{5859F4D6-E405-494D-9495-456C2A717042}" name="ability" dataDxfId="1297"/>
    <tableColumn id="2" xr3:uid="{13382877-AB77-41B2-B30F-FD8ADF1868AD}" name="takes" dataDxfId="1296">
      <calculatedColumnFormula>L18+L39+L60+L81+L102+L123</calculatedColumnFormula>
    </tableColumn>
    <tableColumn id="3" xr3:uid="{56A52BF0-1C62-4182-A5FB-18D3BE10282A}" name="wins" dataDxfId="1295">
      <calculatedColumnFormula>M18+M39+M60+M81+M102+M123</calculatedColumnFormula>
    </tableColumn>
    <tableColumn id="4" xr3:uid="{F15A1649-CD46-4B82-A2D9-FCA28362795D}" name="battles-take-rate" dataDxfId="1294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293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292">
      <calculatedColumnFormula>R3+R24+R45+R66+R87+R108</calculatedColumnFormula>
    </tableColumn>
    <tableColumn id="4" xr3:uid="{069713F1-C2CC-49D1-89BE-818384A2E4FD}" name="chestpiece" dataDxfId="129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290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289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288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287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286" headerRowBorderDxfId="1285" tableBorderDxfId="1284" totalsRowBorderDxfId="1283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282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281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280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279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278" headerRowBorderDxfId="1277" tableBorderDxfId="1276" totalsRowBorderDxfId="1275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274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273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272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271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270" headerRowBorderDxfId="1269" tableBorderDxfId="1268" totalsRowBorderDxfId="1267">
  <autoFilter ref="K17:O20" xr:uid="{01E0B516-A92C-45D4-946B-0FCF2F31D98A}"/>
  <tableColumns count="5">
    <tableColumn id="1" xr3:uid="{6E3ACF5F-C817-4C40-88BC-5BCD22AC85C1}" name="ability" dataDxfId="1266"/>
    <tableColumn id="2" xr3:uid="{B913933F-DE61-4933-B988-849E3D873B6C}" name="takes" dataDxfId="1265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264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263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262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261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260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259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258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257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256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255" headerRowBorderDxfId="1254" tableBorderDxfId="1253" totalsRowBorderDxfId="1252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251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250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249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248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128" totalsRowShown="0">
  <autoFilter ref="A2:I128" xr:uid="{00000000-0009-0000-0100-000002000000}"/>
  <tableColumns count="9">
    <tableColumn id="1" xr3:uid="{DE4CB1A4-2C52-4BA0-B8DF-E73440231F90}" name="hero-1"/>
    <tableColumn id="4" xr3:uid="{67B29D39-57DD-495A-9550-8B9A67A2CBD6}" name="team-1-win" dataDxfId="1995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994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993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247" headerRowBorderDxfId="1246" tableBorderDxfId="1245" totalsRowBorderDxfId="1244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243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242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241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240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239" headerRowBorderDxfId="1238" tableBorderDxfId="1237" totalsRowBorderDxfId="1236">
  <autoFilter ref="K38:O41" xr:uid="{A1F38E75-59DE-4DB4-B81C-C0322397F6F7}"/>
  <tableColumns count="5">
    <tableColumn id="1" xr3:uid="{CB833622-9500-452A-9643-EC635B82CE80}" name="ability" dataDxfId="1235"/>
    <tableColumn id="2" xr3:uid="{91B01C21-E0B8-45E1-8DF5-A7B9A623E34E}" name="takes" dataDxfId="1234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233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232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231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230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229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228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227">
      <calculatedColumnFormula>COUNTIF(Scenario2[winner1-ability1],OracleAbilities1Scenario2[[#This Row],[ability]])</calculatedColumnFormula>
    </tableColumn>
    <tableColumn id="5" xr3:uid="{034FA980-30F5-4A65-930E-873C758C7280}" name="battles-take-rate" dataDxfId="1226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225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224" headerRowBorderDxfId="1223" tableBorderDxfId="1222" totalsRowBorderDxfId="1221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220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219">
      <calculatedColumnFormula>COUNTIF(Scenario2[winner1-ability2],OracleAbilities2Scenario2[[#This Row],[ability]])</calculatedColumnFormula>
    </tableColumn>
    <tableColumn id="4" xr3:uid="{447E5C6C-E9F9-4D65-9CC8-EFF3C7DE5206}" name="battles-take-rate" dataDxfId="1218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217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216" headerRowBorderDxfId="1215" tableBorderDxfId="1214" totalsRowBorderDxfId="1213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212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211">
      <calculatedColumnFormula>COUNTIF(Scenario2[winner1-ability3],OracleAbilities3Scenario2[[#This Row],[ability]])</calculatedColumnFormula>
    </tableColumn>
    <tableColumn id="4" xr3:uid="{14BEA7A5-F9D1-44CF-A38C-50CB90297594}" name="battles-take-rate" dataDxfId="1210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1209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1208" headerRowBorderDxfId="1207" tableBorderDxfId="1206" totalsRowBorderDxfId="1205">
  <autoFilter ref="K59:O62" xr:uid="{DDB7F110-02A6-4F67-8266-251AF48CB7C0}"/>
  <tableColumns count="5">
    <tableColumn id="1" xr3:uid="{684380C7-16C1-449D-A8CD-E4785101BEE3}" name="ability" dataDxfId="1204"/>
    <tableColumn id="2" xr3:uid="{A5078570-2F9D-4A26-860A-7EA42522F276}" name="takes" dataDxfId="1203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1202">
      <calculatedColumnFormula>COUNTIF(Scenario2[winner1-ability4],OracleAbilities4Scenario2[[#This Row],[ability]])</calculatedColumnFormula>
    </tableColumn>
    <tableColumn id="4" xr3:uid="{25CD52B3-8C70-4953-9C63-7606955949E3}" name="battles-take-rate" dataDxfId="1201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1200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1199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1198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1197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1196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1195">
      <calculatedColumnFormula>COUNTIF(Scenario3[winner1-ability1],OracleAbilities1Scenario3[[#This Row],[ability]])</calculatedColumnFormula>
    </tableColumn>
    <tableColumn id="5" xr3:uid="{DE62042D-7982-4BF3-B071-8EDF692003FE}" name="battles-take-rate" dataDxfId="1194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1193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1">
  <autoFilter ref="K2:N11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992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991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990" totalsRowDxfId="1989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1192" headerRowBorderDxfId="1191" tableBorderDxfId="1190" totalsRowBorderDxfId="1189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1188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1187">
      <calculatedColumnFormula>COUNTIF(Scenario3[winner1-ability2],OracleAbilities2Scenario3[[#This Row],[ability]])</calculatedColumnFormula>
    </tableColumn>
    <tableColumn id="4" xr3:uid="{8DF31301-6566-4092-A843-4FFDD045A618}" name="battles-take-rate" dataDxfId="1186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1185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1184" headerRowBorderDxfId="1183" tableBorderDxfId="1182" totalsRowBorderDxfId="1181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1180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1179">
      <calculatedColumnFormula>COUNTIF(Scenario3[winner1-ability3],OracleAbilities3Scenario3[[#This Row],[ability]])</calculatedColumnFormula>
    </tableColumn>
    <tableColumn id="4" xr3:uid="{3DF4458E-C16E-4A8A-B345-E3B7F6485141}" name="battles-take-rate" dataDxfId="1178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1177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1176" headerRowBorderDxfId="1175" tableBorderDxfId="1174" totalsRowBorderDxfId="1173">
  <autoFilter ref="K80:O83" xr:uid="{D79E2D8A-FC77-422A-AA03-F5F2585C088A}"/>
  <tableColumns count="5">
    <tableColumn id="1" xr3:uid="{DBD34D79-41EF-433F-AF97-F8A313ED3DF0}" name="ability" dataDxfId="1172"/>
    <tableColumn id="2" xr3:uid="{F2E59DF2-2278-41C3-97C8-B7A29C9CCB3B}" name="takes" dataDxfId="1171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1170">
      <calculatedColumnFormula>COUNTIF(Scenario3[winner1-ability4],OracleAbilities4Scenario3[[#This Row],[ability]])</calculatedColumnFormula>
    </tableColumn>
    <tableColumn id="4" xr3:uid="{91B8F5F4-FFA1-4668-B2FE-3D694C677333}" name="battles-take-rate" dataDxfId="1169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1168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1167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1166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1165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1164">
      <calculatedColumnFormula>COUNTIF(Scenario4[winner1-ability1],OracleAbilities1Scenario4[[#This Row],[ability]])</calculatedColumnFormula>
    </tableColumn>
    <tableColumn id="5" xr3:uid="{20962A48-FDB1-4433-AD85-6B419B89A67F}" name="battles-take-rate" dataDxfId="1163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1162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1161" headerRowBorderDxfId="1160" tableBorderDxfId="1159" totalsRowBorderDxfId="1158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1157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1156">
      <calculatedColumnFormula>COUNTIF(Scenario4[winner1-ability2],OracleAbilities2Scenario4[[#This Row],[ability]])</calculatedColumnFormula>
    </tableColumn>
    <tableColumn id="4" xr3:uid="{E158F215-350E-4C9E-8771-BFA9C4D2CF70}" name="battles-take-rate" dataDxfId="1155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1154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1153" headerRowBorderDxfId="1152" tableBorderDxfId="1151" totalsRowBorderDxfId="1150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1149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1148">
      <calculatedColumnFormula>COUNTIF(Scenario4[winner1-ability3],OracleAbilities3Scenario4[[#This Row],[ability]])</calculatedColumnFormula>
    </tableColumn>
    <tableColumn id="4" xr3:uid="{545DD3BB-A8B7-4278-B9E0-8B99F4DA3A2D}" name="battles-take-rate" dataDxfId="1147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1146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1145" headerRowBorderDxfId="1144" tableBorderDxfId="1143" totalsRowBorderDxfId="1142">
  <autoFilter ref="K101:O104" xr:uid="{A90B60DF-6D5E-424F-AC92-0501EE8D54C9}"/>
  <tableColumns count="5">
    <tableColumn id="1" xr3:uid="{2BCBEE41-2EFE-491D-9797-7EF335F79D9B}" name="ability" dataDxfId="1141"/>
    <tableColumn id="2" xr3:uid="{DF0F6ED7-41ED-40AF-884D-0FAA02427295}" name="takes" dataDxfId="1140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1139">
      <calculatedColumnFormula>COUNTIF(Scenario4[winner1-ability4],OracleAbilities4Scenario4[[#This Row],[ability]])</calculatedColumnFormula>
    </tableColumn>
    <tableColumn id="4" xr3:uid="{0241E110-A31B-4B51-AEEF-C37D5902AA27}" name="battles-take-rate" dataDxfId="1138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1137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1136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1135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1134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1133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1132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1131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" totalsRowShown="0">
  <autoFilter ref="A1:AJ2" xr:uid="{00000000-0009-0000-0100-000001000000}"/>
  <tableColumns count="36">
    <tableColumn id="1" xr3:uid="{EF069B9A-F666-4BB1-8683-9730FA583554}" name="battle" dataDxfId="1986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1130" headerRowBorderDxfId="1129" tableBorderDxfId="1128" totalsRowBorderDxfId="1127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1126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1125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1124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1123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1122" headerRowBorderDxfId="1121" tableBorderDxfId="1120" totalsRowBorderDxfId="1119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1118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1117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1116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1115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1114" headerRowBorderDxfId="1113" tableBorderDxfId="1112" totalsRowBorderDxfId="1111">
  <autoFilter ref="K122:O125" xr:uid="{E2E1629C-B0D9-466D-BD66-8E394B74E384}"/>
  <tableColumns count="5">
    <tableColumn id="1" xr3:uid="{AA533A29-20C2-4A65-AC96-65CCA3457C7E}" name="ability" dataDxfId="1110"/>
    <tableColumn id="2" xr3:uid="{8EF487D6-4412-4F93-A267-6247F705D69A}" name="takes" dataDxfId="1109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1108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1107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1106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1105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1104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1103">
      <calculatedColumnFormula>L3+L24+L45+L66+L87+L108</calculatedColumnFormula>
    </tableColumn>
    <tableColumn id="4" xr3:uid="{35DA6B5B-7FC1-492C-B2D0-6F511F16DAD4}" name="wins" dataDxfId="1102">
      <calculatedColumnFormula>M3+M24+M45+M66+M87+M108</calculatedColumnFormula>
    </tableColumn>
    <tableColumn id="5" xr3:uid="{FAF7873E-FAE0-4F3C-BAB5-7E4AC3926D8C}" name="battles-take-rate" dataDxfId="1101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1100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1099" headerRowBorderDxfId="1098" tableBorderDxfId="1097" totalsRowBorderDxfId="1096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1095">
      <calculatedColumnFormula>L8+L29+L50+L71+L92+L113</calculatedColumnFormula>
    </tableColumn>
    <tableColumn id="3" xr3:uid="{A06DED1F-7374-4755-8A38-527DEBEFD3C6}" name="wins" dataDxfId="1094">
      <calculatedColumnFormula>M8+M29+M50+M71+M92+M113</calculatedColumnFormula>
    </tableColumn>
    <tableColumn id="4" xr3:uid="{C56FD638-0548-4732-8F67-350D170E46E5}" name="battles-take-rate" dataDxfId="1093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1092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1091" headerRowBorderDxfId="1090" tableBorderDxfId="1089" totalsRowBorderDxfId="1088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1087">
      <calculatedColumnFormula>L13+L34+L55+L76+L97+L118</calculatedColumnFormula>
    </tableColumn>
    <tableColumn id="3" xr3:uid="{150079D1-0272-4CFB-8282-44464105457B}" name="wins" dataDxfId="1086">
      <calculatedColumnFormula>M13+M34+M55+M76+M97+M118</calculatedColumnFormula>
    </tableColumn>
    <tableColumn id="4" xr3:uid="{65FEB6D5-A05E-4FC8-B85E-99DFC519570C}" name="battles-take-rate" dataDxfId="1085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1084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1083" headerRowBorderDxfId="1082" tableBorderDxfId="1081" totalsRowBorderDxfId="1080">
  <autoFilter ref="A17:E20" xr:uid="{2AADA4A0-2F4A-4009-8ECF-0BECA693390C}"/>
  <tableColumns count="5">
    <tableColumn id="1" xr3:uid="{F38332B4-A633-4A53-A294-B990E53A9E9E}" name="ability" dataDxfId="1079"/>
    <tableColumn id="2" xr3:uid="{A659B804-FBC0-4B86-B0D0-259516FAF254}" name="takes" dataDxfId="1078">
      <calculatedColumnFormula>L18+L39+L60+L81+L102+L123</calculatedColumnFormula>
    </tableColumn>
    <tableColumn id="3" xr3:uid="{4DFB6D75-6E90-4DA5-BE74-537E8812340F}" name="wins" dataDxfId="1077">
      <calculatedColumnFormula>M18+M39+M60+M81+M102+M123</calculatedColumnFormula>
    </tableColumn>
    <tableColumn id="4" xr3:uid="{D1650154-5016-46B0-8BD5-16233AA11280}" name="battles-take-rate" dataDxfId="1076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1075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1074">
      <calculatedColumnFormula>R3+R24+R45+R66+R87+R108</calculatedColumnFormula>
    </tableColumn>
    <tableColumn id="4" xr3:uid="{5D997E40-F727-46C7-B765-00166A875EA3}" name="chestpiece" dataDxfId="107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1072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1071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1070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1069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380" totalsRowShown="0">
  <autoFilter ref="A2:G380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985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984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983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1068" headerRowBorderDxfId="1067" tableBorderDxfId="1066" totalsRowBorderDxfId="1065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1064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1063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1062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1061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1060" headerRowBorderDxfId="1059" tableBorderDxfId="1058" totalsRowBorderDxfId="1057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1056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1055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1054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1053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1052" headerRowBorderDxfId="1051" tableBorderDxfId="1050" totalsRowBorderDxfId="1049">
  <autoFilter ref="K17:O20" xr:uid="{01E0B516-A92C-45D4-946B-0FCF2F31D98A}"/>
  <tableColumns count="5">
    <tableColumn id="1" xr3:uid="{B1ECB730-0F58-4ABC-942D-CAE55E41CA9A}" name="ability" dataDxfId="1048"/>
    <tableColumn id="2" xr3:uid="{508F1330-F650-4934-B53E-5CF30E50850F}" name="takes" dataDxfId="1047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1046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1045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1044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1043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1042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1041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1040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1039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1038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1037" headerRowBorderDxfId="1036" tableBorderDxfId="1035" totalsRowBorderDxfId="1034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1033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1032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1031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1030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1029" headerRowBorderDxfId="1028" tableBorderDxfId="1027" totalsRowBorderDxfId="1026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1025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1024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1023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1022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1021" headerRowBorderDxfId="1020" tableBorderDxfId="1019" totalsRowBorderDxfId="1018">
  <autoFilter ref="K38:O41" xr:uid="{A1F38E75-59DE-4DB4-B81C-C0322397F6F7}"/>
  <tableColumns count="5">
    <tableColumn id="1" xr3:uid="{E95AEAE3-62BB-4DA7-B153-EB2086E73E57}" name="ability" dataDxfId="1017"/>
    <tableColumn id="2" xr3:uid="{2A9E73B8-CD6F-4011-BAC1-63B6A821F80F}" name="takes" dataDxfId="1016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1015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1014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1013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1012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1011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1010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1009">
      <calculatedColumnFormula>COUNTIF(Scenario2[winner1-ability1],AvatarAbilities1Scenario2[[#This Row],[ability]])</calculatedColumnFormula>
    </tableColumn>
    <tableColumn id="5" xr3:uid="{1E61EB7F-DF68-4EB7-80E2-73B696E16EFA}" name="battles-take-rate" dataDxfId="1008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1007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7">
  <autoFilter ref="I2:M37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982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981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980" totalsRowDxfId="1979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1006" headerRowBorderDxfId="1005" tableBorderDxfId="1004" totalsRowBorderDxfId="1003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1002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1001">
      <calculatedColumnFormula>COUNTIF(Scenario2[winner1-ability2],AvatarAbilities2Scenario2[[#This Row],[ability]])</calculatedColumnFormula>
    </tableColumn>
    <tableColumn id="4" xr3:uid="{C9E6BEDE-6D55-465F-A23C-088B0E5A7769}" name="battles-take-rate" dataDxfId="1000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999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998" headerRowBorderDxfId="997" tableBorderDxfId="996" totalsRowBorderDxfId="995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994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993">
      <calculatedColumnFormula>COUNTIF(Scenario2[winner1-ability3],AvatarAbilities3Scenario2[[#This Row],[ability]])</calculatedColumnFormula>
    </tableColumn>
    <tableColumn id="4" xr3:uid="{ADEFFFFC-593D-4983-81AB-62FCA7D838BE}" name="battles-take-rate" dataDxfId="992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991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990" headerRowBorderDxfId="989" tableBorderDxfId="988" totalsRowBorderDxfId="987">
  <autoFilter ref="K59:O62" xr:uid="{DDB7F110-02A6-4F67-8266-251AF48CB7C0}"/>
  <tableColumns count="5">
    <tableColumn id="1" xr3:uid="{41FFE711-9BC2-4C77-93E0-ED76EFB9F1D5}" name="ability" dataDxfId="986"/>
    <tableColumn id="2" xr3:uid="{79EA1ED0-B935-47D2-A86B-D83C6704E80A}" name="takes" dataDxfId="985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984">
      <calculatedColumnFormula>COUNTIF(Scenario2[winner1-ability4],AvatarAbilities4Scenario2[[#This Row],[ability]])</calculatedColumnFormula>
    </tableColumn>
    <tableColumn id="4" xr3:uid="{02651184-3B76-4AC5-89C2-D810EC158F1B}" name="battles-take-rate" dataDxfId="983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982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981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980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979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978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977">
      <calculatedColumnFormula>COUNTIF(Scenario3[winner1-ability1],AvatarAbilities1Scenario3[[#This Row],[ability]])</calculatedColumnFormula>
    </tableColumn>
    <tableColumn id="5" xr3:uid="{DCB58979-EA4F-4103-8C4A-C096D75756ED}" name="battles-take-rate" dataDxfId="976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975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974" headerRowBorderDxfId="973" tableBorderDxfId="972" totalsRowBorderDxfId="971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970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969">
      <calculatedColumnFormula>COUNTIF(Scenario3[winner1-ability2],AvatarAbilities2Scenario3[[#This Row],[ability]])</calculatedColumnFormula>
    </tableColumn>
    <tableColumn id="4" xr3:uid="{70DDA6D0-1C36-48E6-8E20-D94EDE0BDFEA}" name="battles-take-rate" dataDxfId="968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967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966" headerRowBorderDxfId="965" tableBorderDxfId="964" totalsRowBorderDxfId="963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962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961">
      <calculatedColumnFormula>COUNTIF(Scenario3[winner1-ability3],AvatarAbilities3Scenario3[[#This Row],[ability]])</calculatedColumnFormula>
    </tableColumn>
    <tableColumn id="4" xr3:uid="{C06BD8DF-C441-459D-85EE-FD64A2043DD6}" name="battles-take-rate" dataDxfId="960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959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958" headerRowBorderDxfId="957" tableBorderDxfId="956" totalsRowBorderDxfId="955">
  <autoFilter ref="K80:O83" xr:uid="{6EEA34E6-E459-456B-91DD-043B51317E20}"/>
  <tableColumns count="5">
    <tableColumn id="1" xr3:uid="{8A349459-D27C-4E5A-A944-0E74AA4FA7B4}" name="ability" dataDxfId="954"/>
    <tableColumn id="2" xr3:uid="{D6DB89E1-6F3B-4EA4-ADC1-184D6ABA99BE}" name="takes" dataDxfId="953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952">
      <calculatedColumnFormula>COUNTIF(Scenario3[winner1-ability4],AvatarAbilities4Scenario3[[#This Row],[ability]])</calculatedColumnFormula>
    </tableColumn>
    <tableColumn id="4" xr3:uid="{8AF2EF2E-5801-460B-AD63-71BB7539AA5F}" name="battles-take-rate" dataDxfId="951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950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949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948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10" totalsRowShown="0">
  <autoFilter ref="A1:J10" xr:uid="{63405EB0-A525-4FAC-AD12-CF7C798DE05C}"/>
  <tableColumns count="10">
    <tableColumn id="1" xr3:uid="{85B8E500-D508-49B7-B6C2-4293FF88864C}" name="hero"/>
    <tableColumn id="2" xr3:uid="{58A5592F-1F6D-4BC0-A001-DA1EE7044444}" name="battles" dataDxfId="1978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977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976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947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946">
      <calculatedColumnFormula>COUNTIF(Scenario4[winner1-ability1],AvatarAbilities1Scenario4[[#This Row],[ability]])</calculatedColumnFormula>
    </tableColumn>
    <tableColumn id="5" xr3:uid="{846FA7C9-7442-4196-AC20-39FB98DAF0BC}" name="battles-take-rate" dataDxfId="945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944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943" headerRowBorderDxfId="942" tableBorderDxfId="941" totalsRowBorderDxfId="940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939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938">
      <calculatedColumnFormula>COUNTIF(Scenario4[winner1-ability2],AvatarAbilities2Scenario4[[#This Row],[ability]])</calculatedColumnFormula>
    </tableColumn>
    <tableColumn id="4" xr3:uid="{F137D81F-3073-4FAD-9B08-809B82677FC3}" name="battles-take-rate" dataDxfId="937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936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935" headerRowBorderDxfId="934" tableBorderDxfId="933" totalsRowBorderDxfId="932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931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930">
      <calculatedColumnFormula>COUNTIF(Scenario4[winner1-ability3],AvatarAbilities3Scenario4[[#This Row],[ability]])</calculatedColumnFormula>
    </tableColumn>
    <tableColumn id="4" xr3:uid="{135BEB7A-915D-48E6-B091-0340F09F4D94}" name="battles-take-rate" dataDxfId="929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928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927" headerRowBorderDxfId="926" tableBorderDxfId="925" totalsRowBorderDxfId="924">
  <autoFilter ref="K101:O104" xr:uid="{B70B30A2-D94A-4C2F-A92C-F84D834CB3E7}"/>
  <tableColumns count="5">
    <tableColumn id="1" xr3:uid="{002E9049-8F7A-4096-964E-F4939A456F53}" name="ability" dataDxfId="923"/>
    <tableColumn id="2" xr3:uid="{8EB8EF4A-38F7-42BA-A433-E84AC27F3BE5}" name="takes" dataDxfId="922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921">
      <calculatedColumnFormula>COUNTIF(Scenario4[winner1-ability4],AvatarAbilities4Scenario4[[#This Row],[ability]])</calculatedColumnFormula>
    </tableColumn>
    <tableColumn id="4" xr3:uid="{65133FD4-CB3E-451F-9B0A-15A3A8F6140F}" name="battles-take-rate" dataDxfId="920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919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918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917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916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915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914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913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912" headerRowBorderDxfId="911" tableBorderDxfId="910" totalsRowBorderDxfId="909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908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907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906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905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904" headerRowBorderDxfId="903" tableBorderDxfId="902" totalsRowBorderDxfId="901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900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899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898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897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896" headerRowBorderDxfId="895" tableBorderDxfId="894" totalsRowBorderDxfId="893">
  <autoFilter ref="K122:O125" xr:uid="{E059746D-E675-4EF0-88F4-8791605FEEED}"/>
  <tableColumns count="5">
    <tableColumn id="1" xr3:uid="{20267F99-9DF2-489F-A0FB-268A63BB5519}" name="ability" dataDxfId="892"/>
    <tableColumn id="2" xr3:uid="{ED1C9F8E-8284-4586-BDDB-F607F38E81E8}" name="takes" dataDxfId="891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890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889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888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887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886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380" totalsRowShown="0">
  <autoFilter ref="A2:G380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036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035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2034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975">
      <calculatedColumnFormula>M3+M24+M45+M66+M87+M108</calculatedColumnFormula>
    </tableColumn>
    <tableColumn id="4" xr3:uid="{61A21492-49FF-4C06-A153-6F532C6C5A30}" name="wins" dataDxfId="1974">
      <calculatedColumnFormula>N3+N24+N45+N66+N87+N108</calculatedColumnFormula>
    </tableColumn>
    <tableColumn id="5" xr3:uid="{E54CF930-9561-430F-9E4C-4FBFE41AE34D}" name="battles-take-rate" dataDxfId="1973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972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885">
      <calculatedColumnFormula>L3+L24+L45+L66+L87+L108</calculatedColumnFormula>
    </tableColumn>
    <tableColumn id="4" xr3:uid="{E7594F03-C9FD-4ADD-810F-A5D3A80A11D0}" name="wins" dataDxfId="884">
      <calculatedColumnFormula>M3+M24+M45+M66+M87+M108</calculatedColumnFormula>
    </tableColumn>
    <tableColumn id="5" xr3:uid="{02A46B5D-C22D-499B-A57A-EDE540A8C147}" name="battles-take-rate" dataDxfId="883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882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881" headerRowBorderDxfId="880" tableBorderDxfId="879" totalsRowBorderDxfId="878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877">
      <calculatedColumnFormula>L8+L29+L50+L71+L92+L113</calculatedColumnFormula>
    </tableColumn>
    <tableColumn id="3" xr3:uid="{F5082C29-A973-4FDC-8C6D-DAB230FD220B}" name="wins" dataDxfId="876">
      <calculatedColumnFormula>M8+M29+M50+M71+M92+M113</calculatedColumnFormula>
    </tableColumn>
    <tableColumn id="4" xr3:uid="{955AA51C-C441-4923-93B4-21A375FB8EAB}" name="battles-take-rate" dataDxfId="875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874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873" headerRowBorderDxfId="872" tableBorderDxfId="871" totalsRowBorderDxfId="870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869">
      <calculatedColumnFormula>L13+L34+L55+L76+L97+L118</calculatedColumnFormula>
    </tableColumn>
    <tableColumn id="3" xr3:uid="{69A0AA59-1954-41A9-9184-3D9DCEC82306}" name="wins" dataDxfId="868">
      <calculatedColumnFormula>M13+M34+M55+M76+M97+M118</calculatedColumnFormula>
    </tableColumn>
    <tableColumn id="4" xr3:uid="{D2E0470C-3533-4EB8-BCB1-093B0305CFE5}" name="battles-take-rate" dataDxfId="867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866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865" headerRowBorderDxfId="864" tableBorderDxfId="863" totalsRowBorderDxfId="862">
  <autoFilter ref="A17:E20" xr:uid="{2AADA4A0-2F4A-4009-8ECF-0BECA693390C}"/>
  <tableColumns count="5">
    <tableColumn id="1" xr3:uid="{508E3F3C-793A-4D3F-8FE4-5033189433FA}" name="ability" dataDxfId="861"/>
    <tableColumn id="2" xr3:uid="{26190FBD-0D5B-4F70-AB7C-38105BD3682B}" name="takes" dataDxfId="860">
      <calculatedColumnFormula>L18+L39+L60+L81+L102+L123</calculatedColumnFormula>
    </tableColumn>
    <tableColumn id="3" xr3:uid="{6304B665-DF35-4910-8085-1B0F98C1C08E}" name="wins" dataDxfId="859">
      <calculatedColumnFormula>M18+M39+M60+M81+M102+M123</calculatedColumnFormula>
    </tableColumn>
    <tableColumn id="4" xr3:uid="{CE4233CF-2026-408F-A9F5-172CFF825DD4}" name="battles-take-rate" dataDxfId="858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857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856">
      <calculatedColumnFormula>R3+R24+R45+R66+R87+R108</calculatedColumnFormula>
    </tableColumn>
    <tableColumn id="4" xr3:uid="{066CD957-712B-40B8-9181-60B4B646F9D5}" name="chestpiece" dataDxfId="85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854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853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852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851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850" headerRowBorderDxfId="849" tableBorderDxfId="848" totalsRowBorderDxfId="847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846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845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844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843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842" headerRowBorderDxfId="841" tableBorderDxfId="840" totalsRowBorderDxfId="839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838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837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836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835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834" headerRowBorderDxfId="833" tableBorderDxfId="832" totalsRowBorderDxfId="831">
  <autoFilter ref="K17:O20" xr:uid="{01E0B516-A92C-45D4-946B-0FCF2F31D98A}"/>
  <tableColumns count="5">
    <tableColumn id="1" xr3:uid="{7A69B0E2-20CF-43A3-920A-9AE63CA4EDD6}" name="ability" dataDxfId="830"/>
    <tableColumn id="2" xr3:uid="{A0E31296-499C-405F-BCF6-B2EAB56FDACC}" name="takes" dataDxfId="829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828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827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826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825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824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971" headerRowBorderDxfId="1970" tableBorderDxfId="1969" totalsRowBorderDxfId="1968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967">
      <calculatedColumnFormula>M8+M29+M50+M71+M92+M113</calculatedColumnFormula>
    </tableColumn>
    <tableColumn id="3" xr3:uid="{80A922C6-64D8-44FE-96CB-B7E1F6FDC03C}" name="wins" dataDxfId="1966">
      <calculatedColumnFormula>N8+N29+N50+N71+N92+N113</calculatedColumnFormula>
    </tableColumn>
    <tableColumn id="4" xr3:uid="{554161FF-0726-4138-B76E-C5C63F8E633A}" name="battles-take-rate" dataDxfId="1965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964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823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822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821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820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819" headerRowBorderDxfId="818" tableBorderDxfId="817" totalsRowBorderDxfId="816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815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814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813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812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811" headerRowBorderDxfId="810" tableBorderDxfId="809" totalsRowBorderDxfId="808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807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806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805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804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803" headerRowBorderDxfId="802" tableBorderDxfId="801" totalsRowBorderDxfId="800">
  <autoFilter ref="K38:O41" xr:uid="{A1F38E75-59DE-4DB4-B81C-C0322397F6F7}"/>
  <tableColumns count="5">
    <tableColumn id="1" xr3:uid="{B95A8C1F-E83A-4A7B-ACAE-F997D171F354}" name="ability" dataDxfId="799"/>
    <tableColumn id="2" xr3:uid="{B5A87322-37A1-488C-B6C2-23B9D65EEB08}" name="takes" dataDxfId="798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797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796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795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794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793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792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791">
      <calculatedColumnFormula>COUNTIF(Scenario2[winner1-ability1],ShadowAbilities1Scenario2[[#This Row],[ability]])</calculatedColumnFormula>
    </tableColumn>
    <tableColumn id="5" xr3:uid="{AE0DC280-6579-4B86-B8B4-CDC9AF90EDBE}" name="battles-take-rate" dataDxfId="790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789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788" headerRowBorderDxfId="787" tableBorderDxfId="786" totalsRowBorderDxfId="785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784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783">
      <calculatedColumnFormula>COUNTIF(Scenario2[winner1-ability2],ShadowAbilities2Scenario2[[#This Row],[ability]])</calculatedColumnFormula>
    </tableColumn>
    <tableColumn id="4" xr3:uid="{348088A2-AD3A-435D-AAD6-1030EDC81266}" name="battles-take-rate" dataDxfId="782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781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780" headerRowBorderDxfId="779" tableBorderDxfId="778" totalsRowBorderDxfId="777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776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775">
      <calculatedColumnFormula>COUNTIF(Scenario2[winner1-ability3],ShadowAbilities3Scenario2[[#This Row],[ability]])</calculatedColumnFormula>
    </tableColumn>
    <tableColumn id="4" xr3:uid="{B6BC679A-540A-46F8-8039-4C37B6F8FAD6}" name="battles-take-rate" dataDxfId="774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773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772" headerRowBorderDxfId="771" tableBorderDxfId="770" totalsRowBorderDxfId="769">
  <autoFilter ref="K59:O62" xr:uid="{DDB7F110-02A6-4F67-8266-251AF48CB7C0}"/>
  <tableColumns count="5">
    <tableColumn id="1" xr3:uid="{808C7394-83C0-4054-AFB9-9F9E1965E6DC}" name="ability" dataDxfId="768"/>
    <tableColumn id="2" xr3:uid="{A8117EB0-F8AE-4362-841F-EBC31BDC80E7}" name="takes" dataDxfId="767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766">
      <calculatedColumnFormula>COUNTIF(Scenario2[winner1-ability4],ShadowAbilities4Scenario2[[#This Row],[ability]])</calculatedColumnFormula>
    </tableColumn>
    <tableColumn id="4" xr3:uid="{D18D0446-17DA-4367-8791-04B929BF7C7E}" name="battles-take-rate" dataDxfId="765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764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763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762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963" headerRowBorderDxfId="1962" tableBorderDxfId="1961" totalsRowBorderDxfId="1960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959">
      <calculatedColumnFormula>M13+M34+M55+M76+M97+M118</calculatedColumnFormula>
    </tableColumn>
    <tableColumn id="3" xr3:uid="{3EE75CB9-F097-4DDD-B43D-5E1FA49D5DA7}" name="wins" dataDxfId="1958">
      <calculatedColumnFormula>N13+N34+N55+N76+N97+N118</calculatedColumnFormula>
    </tableColumn>
    <tableColumn id="4" xr3:uid="{4386EDC2-3695-4FDE-BF81-4F581D693BFE}" name="battles-take-rate" dataDxfId="1957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956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761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760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759">
      <calculatedColumnFormula>COUNTIF(Scenario3[winner1-ability1],ShadowAbilities1Scenario3[[#This Row],[ability]])</calculatedColumnFormula>
    </tableColumn>
    <tableColumn id="5" xr3:uid="{CF3E5CA9-0667-4428-A210-89117623418E}" name="battles-take-rate" dataDxfId="758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757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756" headerRowBorderDxfId="755" tableBorderDxfId="754" totalsRowBorderDxfId="753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752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751">
      <calculatedColumnFormula>COUNTIF(Scenario3[winner1-ability2],ShadowAbilities2Scenario3[[#This Row],[ability]])</calculatedColumnFormula>
    </tableColumn>
    <tableColumn id="4" xr3:uid="{F55503FB-455E-4E35-B348-DB7A213DC482}" name="battles-take-rate" dataDxfId="750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749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748" headerRowBorderDxfId="747" tableBorderDxfId="746" totalsRowBorderDxfId="745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744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743">
      <calculatedColumnFormula>COUNTIF(Scenario3[winner1-ability3],ShadowAbilities3Scenario3[[#This Row],[ability]])</calculatedColumnFormula>
    </tableColumn>
    <tableColumn id="4" xr3:uid="{FE627B80-B071-44ED-96E3-2D22A6BFBE3E}" name="battles-take-rate" dataDxfId="742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741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740" headerRowBorderDxfId="739" tableBorderDxfId="738" totalsRowBorderDxfId="737">
  <autoFilter ref="K80:O83" xr:uid="{89998BA8-FF2B-4F78-B422-0769B096DA12}"/>
  <tableColumns count="5">
    <tableColumn id="1" xr3:uid="{9E2ED936-C92E-4DB6-8A8D-6A5D54890827}" name="ability" dataDxfId="736"/>
    <tableColumn id="2" xr3:uid="{30C20F36-9263-41F1-934F-C7B737783080}" name="takes" dataDxfId="735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734">
      <calculatedColumnFormula>COUNTIF(Scenario3[winner1-ability4],ShadowAbilities4Scenario3[[#This Row],[ability]])</calculatedColumnFormula>
    </tableColumn>
    <tableColumn id="4" xr3:uid="{C78891C3-5CB5-4131-9173-2B27B1A4D302}" name="battles-take-rate" dataDxfId="733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732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731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730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729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728">
      <calculatedColumnFormula>COUNTIF(Scenario4[winner1-ability1],ShadowAbilities1Scenario4[[#This Row],[ability]])</calculatedColumnFormula>
    </tableColumn>
    <tableColumn id="5" xr3:uid="{A901B921-06E8-4AEC-A96B-C713A120EDCD}" name="battles-take-rate" dataDxfId="727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726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725" headerRowBorderDxfId="724" tableBorderDxfId="723" totalsRowBorderDxfId="722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721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720">
      <calculatedColumnFormula>COUNTIF(Scenario4[winner1-ability2],ShadowAbilities2Scenario4[[#This Row],[ability]])</calculatedColumnFormula>
    </tableColumn>
    <tableColumn id="4" xr3:uid="{9729481F-2A5B-4AB2-B539-4C8B0BB903C3}" name="battles-take-rate" dataDxfId="719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718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717" headerRowBorderDxfId="716" tableBorderDxfId="715" totalsRowBorderDxfId="714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713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712">
      <calculatedColumnFormula>COUNTIF(Scenario4[winner1-ability3],ShadowAbilities3Scenario4[[#This Row],[ability]])</calculatedColumnFormula>
    </tableColumn>
    <tableColumn id="4" xr3:uid="{2B28F9B7-A49E-4828-AED2-A5F9D1DB620A}" name="battles-take-rate" dataDxfId="711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710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709" headerRowBorderDxfId="708" tableBorderDxfId="707" totalsRowBorderDxfId="706">
  <autoFilter ref="K101:O104" xr:uid="{1C609518-452E-4A91-AF17-394CB05FB0F3}"/>
  <tableColumns count="5">
    <tableColumn id="1" xr3:uid="{CC33268F-C34A-43D0-A56A-74B0F609F718}" name="ability" dataDxfId="705"/>
    <tableColumn id="2" xr3:uid="{6F12010D-206B-4AD4-9F1C-7792709F1041}" name="takes" dataDxfId="704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703">
      <calculatedColumnFormula>COUNTIF(Scenario4[winner1-ability4],ShadowAbilities4Scenario4[[#This Row],[ability]])</calculatedColumnFormula>
    </tableColumn>
    <tableColumn id="4" xr3:uid="{1F1D8ECE-DB99-4E3C-A674-360B53ED1293}" name="battles-take-rate" dataDxfId="702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701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955" headerRowBorderDxfId="1954" tableBorderDxfId="1953" totalsRowBorderDxfId="1952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951">
      <calculatedColumnFormula>M18+M39+M60+M81+M102+M123</calculatedColumnFormula>
    </tableColumn>
    <tableColumn id="3" xr3:uid="{FCDACB04-C3C9-4451-9344-563AAD645EE3}" name="wins" dataDxfId="1950">
      <calculatedColumnFormula>N18+N39+N60+N81+N102+N123</calculatedColumnFormula>
    </tableColumn>
    <tableColumn id="4" xr3:uid="{A43A8590-7A57-4069-B1B8-09F7A5FC26AC}" name="battles-take-rate" dataDxfId="1949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948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700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699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698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697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696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695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694" headerRowBorderDxfId="693" tableBorderDxfId="692" totalsRowBorderDxfId="691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690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689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688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687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686" headerRowBorderDxfId="685" tableBorderDxfId="684" totalsRowBorderDxfId="683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682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681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680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679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678" headerRowBorderDxfId="677" tableBorderDxfId="676" totalsRowBorderDxfId="675">
  <autoFilter ref="K122:O125" xr:uid="{74C00B1E-EEA9-48AB-A27C-B009AE4D0A5D}"/>
  <tableColumns count="5">
    <tableColumn id="1" xr3:uid="{0AB4169E-2A81-436A-8816-892597836570}" name="ability" dataDxfId="674"/>
    <tableColumn id="2" xr3:uid="{63FA27CA-DCA1-4F45-8BB0-FAAEBF52C2E6}" name="takes" dataDxfId="673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672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671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670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669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668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667">
      <calculatedColumnFormula>L3+L24+L45+L66+L87+L108</calculatedColumnFormula>
    </tableColumn>
    <tableColumn id="4" xr3:uid="{58CA11D9-169A-46E2-9A57-9E370495AE74}" name="wins" dataDxfId="666">
      <calculatedColumnFormula>M3+M24+M45+M66+M87+M108</calculatedColumnFormula>
    </tableColumn>
    <tableColumn id="5" xr3:uid="{FCD1957D-8B13-463F-918E-7541CD4802BE}" name="battles-take-rate" dataDxfId="665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664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663" headerRowBorderDxfId="662" tableBorderDxfId="661" totalsRowBorderDxfId="660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659">
      <calculatedColumnFormula>L8+L29+L50+L71+L92+L113</calculatedColumnFormula>
    </tableColumn>
    <tableColumn id="3" xr3:uid="{8036E5FE-9DB3-44E7-AF19-651F4FEED3A5}" name="wins" dataDxfId="658">
      <calculatedColumnFormula>M8+M29+M50+M71+M92+M113</calculatedColumnFormula>
    </tableColumn>
    <tableColumn id="4" xr3:uid="{F340980B-9818-44CD-839E-1CE580EFB60A}" name="battles-take-rate" dataDxfId="657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656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655" headerRowBorderDxfId="654" tableBorderDxfId="653" totalsRowBorderDxfId="652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651">
      <calculatedColumnFormula>L13+L34+L55+L76+L97+L118</calculatedColumnFormula>
    </tableColumn>
    <tableColumn id="3" xr3:uid="{C75B917B-4ECC-4DD1-9024-BE6CDFC7ADF6}" name="wins" dataDxfId="650">
      <calculatedColumnFormula>M13+M34+M55+M76+M97+M118</calculatedColumnFormula>
    </tableColumn>
    <tableColumn id="4" xr3:uid="{33AA1918-8E3F-4AE7-B461-1D2AFB04069A}" name="battles-take-rate" dataDxfId="649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648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647" headerRowBorderDxfId="646" tableBorderDxfId="645" totalsRowBorderDxfId="644">
  <autoFilter ref="A17:E20" xr:uid="{2AADA4A0-2F4A-4009-8ECF-0BECA693390C}"/>
  <tableColumns count="5">
    <tableColumn id="1" xr3:uid="{0F824B32-1B2D-4DB9-A0E4-042F6AAA65D0}" name="ability" dataDxfId="643"/>
    <tableColumn id="2" xr3:uid="{C861246F-E022-49C0-BFAD-6CD3013B0246}" name="takes" dataDxfId="642">
      <calculatedColumnFormula>L18+L39+L60+L81+L102+L123</calculatedColumnFormula>
    </tableColumn>
    <tableColumn id="3" xr3:uid="{3FA0E70F-04C8-4FC4-898C-79D0A5C6E6C3}" name="wins" dataDxfId="641">
      <calculatedColumnFormula>M18+M39+M60+M81+M102+M123</calculatedColumnFormula>
    </tableColumn>
    <tableColumn id="4" xr3:uid="{047E06AD-872B-4FB4-9AB8-8B8E2717658B}" name="battles-take-rate" dataDxfId="640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639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947">
      <calculatedColumnFormula>S3+S24+S45+S66+S87+S108</calculatedColumnFormula>
    </tableColumn>
    <tableColumn id="3" xr3:uid="{F4CFC04E-00E1-447E-954B-909DEBE33E7C}" name="shield" dataDxfId="1946">
      <calculatedColumnFormula>T3+T24+T45+T66+T87+T108</calculatedColumnFormula>
    </tableColumn>
    <tableColumn id="4" xr3:uid="{3051F8DD-C458-45A9-A22A-CA5DF4CE7313}" name="chestpiece" dataDxfId="1945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638">
      <calculatedColumnFormula>R3+R24+R45+R66+R87+R108</calculatedColumnFormula>
    </tableColumn>
    <tableColumn id="4" xr3:uid="{F2CC5FCF-C346-4903-B131-24F9A7A7ADC9}" name="chestpiece" dataDxfId="63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636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635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634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633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632" headerRowBorderDxfId="631" tableBorderDxfId="630" totalsRowBorderDxfId="629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628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627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626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625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624" headerRowBorderDxfId="623" tableBorderDxfId="622" totalsRowBorderDxfId="621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620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619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618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617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616" headerRowBorderDxfId="615" tableBorderDxfId="614" totalsRowBorderDxfId="613">
  <autoFilter ref="K17:O20" xr:uid="{01E0B516-A92C-45D4-946B-0FCF2F31D98A}"/>
  <tableColumns count="5">
    <tableColumn id="1" xr3:uid="{95251227-5274-48FA-A791-C1AC52DA6F2E}" name="ability" dataDxfId="612"/>
    <tableColumn id="2" xr3:uid="{B7211C4B-8C9B-4B1A-B9B4-26E32C837D31}" name="takes" dataDxfId="611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610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609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608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607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606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605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604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603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602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601" headerRowBorderDxfId="600" tableBorderDxfId="599" totalsRowBorderDxfId="598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597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596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595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594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593" headerRowBorderDxfId="592" tableBorderDxfId="591" totalsRowBorderDxfId="590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589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588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587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586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585" headerRowBorderDxfId="584" tableBorderDxfId="583" totalsRowBorderDxfId="582">
  <autoFilter ref="K38:O41" xr:uid="{A1F38E75-59DE-4DB4-B81C-C0322397F6F7}"/>
  <tableColumns count="5">
    <tableColumn id="1" xr3:uid="{D120DB3D-0A5D-420D-9741-6F25B01853C8}" name="ability" dataDxfId="581"/>
    <tableColumn id="2" xr3:uid="{917AA9FD-5BE5-479F-8517-062A9D4A84E5}" name="takes" dataDxfId="580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579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578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577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944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943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942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941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576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575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574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573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572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571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570" headerRowBorderDxfId="569" tableBorderDxfId="568" totalsRowBorderDxfId="567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566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565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564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563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562" headerRowBorderDxfId="561" tableBorderDxfId="560" totalsRowBorderDxfId="559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558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557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556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555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554" headerRowBorderDxfId="553" tableBorderDxfId="552" totalsRowBorderDxfId="551">
  <autoFilter ref="K59:O62" xr:uid="{DDB7F110-02A6-4F67-8266-251AF48CB7C0}"/>
  <tableColumns count="5">
    <tableColumn id="1" xr3:uid="{10AC8AF3-38AA-4A13-B22D-4BB6F815DE68}" name="ability" dataDxfId="550"/>
    <tableColumn id="2" xr3:uid="{71D3D958-AF17-4056-8501-6475CD621FEA}" name="takes" dataDxfId="549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548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547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546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545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544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543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542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541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540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539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538" headerRowBorderDxfId="537" tableBorderDxfId="536" totalsRowBorderDxfId="535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534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533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532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531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530" headerRowBorderDxfId="529" tableBorderDxfId="528" totalsRowBorderDxfId="527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526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525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524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523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940" headerRowBorderDxfId="1939" tableBorderDxfId="1938" totalsRowBorderDxfId="1937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936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935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934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933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522" headerRowBorderDxfId="521" tableBorderDxfId="520" totalsRowBorderDxfId="519">
  <autoFilter ref="K80:O83" xr:uid="{F49F780C-91EA-4137-817A-655CE8B0C91F}"/>
  <tableColumns count="5">
    <tableColumn id="1" xr3:uid="{138AE503-6600-46A3-BBD7-4F7DDB8524ED}" name="ability" dataDxfId="518"/>
    <tableColumn id="2" xr3:uid="{38FBAF79-85EE-4F74-89FD-CD7FAD9E38AA}" name="takes" dataDxfId="517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516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515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514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513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512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511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510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509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508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507" headerRowBorderDxfId="506" tableBorderDxfId="505" totalsRowBorderDxfId="504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503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502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501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500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499" headerRowBorderDxfId="498" tableBorderDxfId="497" totalsRowBorderDxfId="496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495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494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493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492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491" headerRowBorderDxfId="490" tableBorderDxfId="489" totalsRowBorderDxfId="488">
  <autoFilter ref="K101:O104" xr:uid="{C6F46D23-B1D4-4713-9D97-360EE74CE1F5}"/>
  <tableColumns count="5">
    <tableColumn id="1" xr3:uid="{B3B7DCCA-7B08-4F79-AC94-5F36F2CC9893}" name="ability" dataDxfId="487"/>
    <tableColumn id="2" xr3:uid="{72F61BD1-75B1-4082-BCF0-F09B0A4179AF}" name="takes" dataDxfId="486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485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484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483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482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481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480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479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478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477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476" headerRowBorderDxfId="475" tableBorderDxfId="474" totalsRowBorderDxfId="473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472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471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470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469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468" headerRowBorderDxfId="467" tableBorderDxfId="466" totalsRowBorderDxfId="465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464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463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462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461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932" headerRowBorderDxfId="1931" tableBorderDxfId="1930" totalsRowBorderDxfId="1929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928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927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926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925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460" headerRowBorderDxfId="459" tableBorderDxfId="458" totalsRowBorderDxfId="457">
  <autoFilter ref="K122:O125" xr:uid="{1A744E4A-3571-459A-BF22-53EBC8CB38DE}"/>
  <tableColumns count="5">
    <tableColumn id="1" xr3:uid="{979953D5-0824-493D-B92F-3E4881005717}" name="ability" dataDxfId="456"/>
    <tableColumn id="2" xr3:uid="{4ED6C1EE-CA65-44BD-8EB5-9DEE908DECE5}" name="takes" dataDxfId="455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454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453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452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451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450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449">
      <calculatedColumnFormula>M3+M24+M45+M66+M87+M108</calculatedColumnFormula>
    </tableColumn>
    <tableColumn id="4" xr3:uid="{CDAB9E23-22AA-4C01-8C82-A6CA62B02527}" name="wins" dataDxfId="448">
      <calculatedColumnFormula>N3+N24+N45+N66+N87+N108</calculatedColumnFormula>
    </tableColumn>
    <tableColumn id="5" xr3:uid="{10E225D8-ED8B-4DEA-B697-D56C9AC10EDE}" name="battles-take-rate" dataDxfId="447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446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445" headerRowBorderDxfId="444" tableBorderDxfId="443" totalsRowBorderDxfId="442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441">
      <calculatedColumnFormula>M8+M29+M50+M71+M92+M113</calculatedColumnFormula>
    </tableColumn>
    <tableColumn id="3" xr3:uid="{B90DED9A-FB36-4010-A0F2-A4F4295C587D}" name="wins" dataDxfId="440">
      <calculatedColumnFormula>N8+N29+N50+N71+N92+N113</calculatedColumnFormula>
    </tableColumn>
    <tableColumn id="4" xr3:uid="{BE0E10ED-A980-43A5-9BDF-619C73B41AFB}" name="battles-take-rate" dataDxfId="439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438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437" headerRowBorderDxfId="436" tableBorderDxfId="435" totalsRowBorderDxfId="434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433">
      <calculatedColumnFormula>M13+M34+M55+M76+M97+M118</calculatedColumnFormula>
    </tableColumn>
    <tableColumn id="3" xr3:uid="{4F19BEBF-12CE-4B6C-A863-4DF3FEA28027}" name="wins" dataDxfId="432">
      <calculatedColumnFormula>N13+N34+N55+N76+N97+N118</calculatedColumnFormula>
    </tableColumn>
    <tableColumn id="4" xr3:uid="{797719FB-C470-4B00-B35C-54DF472BB4A2}" name="battles-take-rate" dataDxfId="431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430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429" headerRowBorderDxfId="428" tableBorderDxfId="427" totalsRowBorderDxfId="426">
  <autoFilter ref="A17:E20" xr:uid="{2AADA4A0-2F4A-4009-8ECF-0BECA693390C}"/>
  <tableColumns count="5">
    <tableColumn id="1" xr3:uid="{797653A4-EDCA-4C4D-A3D4-CD6135488CE9}" name="ability" dataDxfId="425"/>
    <tableColumn id="2" xr3:uid="{9958885A-546E-4B41-BF74-36A6885A316D}" name="takes" dataDxfId="424">
      <calculatedColumnFormula>M18+M39+M60+M81+M102+M123</calculatedColumnFormula>
    </tableColumn>
    <tableColumn id="3" xr3:uid="{F49FD5D1-7963-494A-BE27-74BE85A96B9D}" name="wins" dataDxfId="423">
      <calculatedColumnFormula>N18+N39+N60+N81+N102+N123</calculatedColumnFormula>
    </tableColumn>
    <tableColumn id="4" xr3:uid="{F7EC00D3-61D4-46E7-BE58-31BDB9ED271A}" name="battles-take-rate" dataDxfId="422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421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420">
      <calculatedColumnFormula>S3+S24+S45+S66+S87+S108</calculatedColumnFormula>
    </tableColumn>
    <tableColumn id="3" xr3:uid="{39E8DCAE-D493-4A26-A9B3-9996C564CEE7}" name="blade" dataDxfId="419">
      <calculatedColumnFormula>T3+T24+T45+T66+T87+T108</calculatedColumnFormula>
    </tableColumn>
    <tableColumn id="4" xr3:uid="{F082B021-59DE-4852-B1B3-0AA25C478097}" name="chestpiece" dataDxfId="418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417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416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415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414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413" headerRowBorderDxfId="412" tableBorderDxfId="411" totalsRowBorderDxfId="410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409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408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407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406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405" headerRowBorderDxfId="404" tableBorderDxfId="403" totalsRowBorderDxfId="402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401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400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399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398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924" headerRowBorderDxfId="1923" tableBorderDxfId="1922" totalsRowBorderDxfId="1921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920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919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918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917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397" headerRowBorderDxfId="396" tableBorderDxfId="395" totalsRowBorderDxfId="394">
  <autoFilter ref="L17:P20" xr:uid="{01E0B516-A92C-45D4-946B-0FCF2F31D98A}"/>
  <tableColumns count="5">
    <tableColumn id="1" xr3:uid="{E980F6C0-E93A-4FFA-8E1B-7186BE3B4D2B}" name="ability" dataDxfId="393"/>
    <tableColumn id="2" xr3:uid="{387091C3-7426-4F2A-A753-72A1D81097AE}" name="takes" dataDxfId="392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391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390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389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388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387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386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385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384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383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382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381" headerRowBorderDxfId="380" tableBorderDxfId="379" totalsRowBorderDxfId="378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377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376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375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374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373" headerRowBorderDxfId="372" tableBorderDxfId="371" totalsRowBorderDxfId="370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369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368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367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366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365" headerRowBorderDxfId="364" tableBorderDxfId="363" totalsRowBorderDxfId="362">
  <autoFilter ref="L38:P41" xr:uid="{A1F38E75-59DE-4DB4-B81C-C0322397F6F7}"/>
  <tableColumns count="5">
    <tableColumn id="1" xr3:uid="{B108F2DF-4A32-4ECF-B16B-02A49181826D}" name="ability" dataDxfId="361"/>
    <tableColumn id="2" xr3:uid="{A47622D9-162B-4188-B077-F04987EF9266}" name="takes" dataDxfId="360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359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358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357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356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355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354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353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352">
      <calculatedColumnFormula>COUNTIF(Scenario2[winner1-ability1],AvengerAbilities1Scenario2[[#This Row],[ability]])</calculatedColumnFormula>
    </tableColumn>
    <tableColumn id="5" xr3:uid="{9DB36862-AC92-48F0-8B86-87B94516CEAF}" name="battles-take-rate" dataDxfId="351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350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349" headerRowBorderDxfId="348" tableBorderDxfId="347" totalsRowBorderDxfId="346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345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344">
      <calculatedColumnFormula>COUNTIF(Scenario2[winner1-ability2],AvengerAbilities2Scenario2[[#This Row],[ability]])</calculatedColumnFormula>
    </tableColumn>
    <tableColumn id="4" xr3:uid="{16676FDF-F72D-4A46-9456-4F4E86ACEDE3}" name="battles-take-rate" dataDxfId="343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342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341" headerRowBorderDxfId="340" tableBorderDxfId="339" totalsRowBorderDxfId="338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337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336">
      <calculatedColumnFormula>COUNTIF(Scenario2[winner1-ability3],AvengerAbilities3Scenario2[[#This Row],[ability]])</calculatedColumnFormula>
    </tableColumn>
    <tableColumn id="4" xr3:uid="{6EA1CE83-F097-4979-BAF4-5E5DD321C889}" name="battles-take-rate" dataDxfId="335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334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916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915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914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333" headerRowBorderDxfId="332" tableBorderDxfId="331" totalsRowBorderDxfId="330">
  <autoFilter ref="L59:P62" xr:uid="{DDB7F110-02A6-4F67-8266-251AF48CB7C0}"/>
  <tableColumns count="5">
    <tableColumn id="1" xr3:uid="{0228B3A4-F54D-4604-AAB4-26F241807E53}" name="ability" dataDxfId="329"/>
    <tableColumn id="2" xr3:uid="{BE2ED41F-9201-4A8E-B960-2268FAC34946}" name="takes" dataDxfId="328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327">
      <calculatedColumnFormula>COUNTIF(Scenario2[winner1-ability4],AvengerAbilities4Scenario2[[#This Row],[ability]])</calculatedColumnFormula>
    </tableColumn>
    <tableColumn id="4" xr3:uid="{5D2EF02F-DEB6-4E46-A7E5-3F277ED38E6B}" name="battles-take-rate" dataDxfId="326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325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324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323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322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321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320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319">
      <calculatedColumnFormula>COUNTIF(Scenario3[winner1-ability1],AvengerAbilities1Scenario3[[#This Row],[ability]])</calculatedColumnFormula>
    </tableColumn>
    <tableColumn id="5" xr3:uid="{925E1B42-8A3A-40EE-9A46-817810CDD8FB}" name="battles-take-rate" dataDxfId="318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317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316" headerRowBorderDxfId="315" tableBorderDxfId="314" totalsRowBorderDxfId="313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312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311">
      <calculatedColumnFormula>COUNTIF(Scenario3[winner1-ability2],AvengerAbilities2Scenario3[[#This Row],[ability]])</calculatedColumnFormula>
    </tableColumn>
    <tableColumn id="4" xr3:uid="{DA0323F7-D766-4C91-9345-7103E5B2B2FA}" name="battles-take-rate" dataDxfId="310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309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308" headerRowBorderDxfId="307" tableBorderDxfId="306" totalsRowBorderDxfId="305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304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303">
      <calculatedColumnFormula>COUNTIF(Scenario3[winner1-ability3],AvengerAbilities3Scenario3[[#This Row],[ability]])</calculatedColumnFormula>
    </tableColumn>
    <tableColumn id="4" xr3:uid="{DC30695C-AE61-4301-A803-CC651376959D}" name="battles-take-rate" dataDxfId="302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301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300" headerRowBorderDxfId="299" tableBorderDxfId="298" totalsRowBorderDxfId="297">
  <autoFilter ref="L80:P83" xr:uid="{DFBA6C76-2A45-4005-8A4B-B62B537356D5}"/>
  <tableColumns count="5">
    <tableColumn id="1" xr3:uid="{8C137A68-6D0C-49C3-8547-6CB48E7F2480}" name="ability" dataDxfId="296"/>
    <tableColumn id="2" xr3:uid="{BD1DED06-4C3E-47DC-8BD0-68CA34A1DA7A}" name="takes" dataDxfId="295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294">
      <calculatedColumnFormula>COUNTIF(Scenario3[winner1-ability4],AvengerAbilities4Scenario3[[#This Row],[ability]])</calculatedColumnFormula>
    </tableColumn>
    <tableColumn id="4" xr3:uid="{B8548539-0603-48EF-9DA8-3DCC5CD89D09}" name="battles-take-rate" dataDxfId="293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292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291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290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289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288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287">
      <calculatedColumnFormula>COUNTIF(Scenario4[winner1-ability1],AvengerAbilities1Scenario4[[#This Row],[ability]])</calculatedColumnFormula>
    </tableColumn>
    <tableColumn id="5" xr3:uid="{2B01D9E4-5C78-4A53-A8EA-8D87E0149485}" name="battles-take-rate" dataDxfId="286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285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284" headerRowBorderDxfId="283" tableBorderDxfId="282" totalsRowBorderDxfId="281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280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279">
      <calculatedColumnFormula>COUNTIF(Scenario4[winner1-ability2],AvengerAbilities2Scenario4[[#This Row],[ability]])</calculatedColumnFormula>
    </tableColumn>
    <tableColumn id="4" xr3:uid="{0CB5E9F8-1096-4C85-BE7F-5AA7B8C01603}" name="battles-take-rate" dataDxfId="278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277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7">
  <autoFilter ref="I2:M37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033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2032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2031" totalsRowDxfId="2030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913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912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911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910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276" headerRowBorderDxfId="275" tableBorderDxfId="274" totalsRowBorderDxfId="273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272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271">
      <calculatedColumnFormula>COUNTIF(Scenario4[winner1-ability3],AvengerAbilities3Scenario4[[#This Row],[ability]])</calculatedColumnFormula>
    </tableColumn>
    <tableColumn id="4" xr3:uid="{C7BFDFBD-FC68-477D-8FFA-2D300E1AA89D}" name="battles-take-rate" dataDxfId="270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269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268" headerRowBorderDxfId="267" tableBorderDxfId="266" totalsRowBorderDxfId="265">
  <autoFilter ref="L101:P104" xr:uid="{E0C2D5AA-63BE-4431-96B6-ED61F1B43B2C}"/>
  <tableColumns count="5">
    <tableColumn id="1" xr3:uid="{69A79FA2-C7FA-4C00-84A3-F37C8FA60546}" name="ability" dataDxfId="264"/>
    <tableColumn id="2" xr3:uid="{E2E7B263-F388-4826-AF29-E7140D39D1AF}" name="takes" dataDxfId="263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262">
      <calculatedColumnFormula>COUNTIF(Scenario4[winner1-ability4],AvengerAbilities4Scenario4[[#This Row],[ability]])</calculatedColumnFormula>
    </tableColumn>
    <tableColumn id="4" xr3:uid="{4AF24253-BE96-42B9-8264-BF3FCEE7A29E}" name="battles-take-rate" dataDxfId="261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260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259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258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257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256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255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54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53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52" headerRowBorderDxfId="251" tableBorderDxfId="250" totalsRowBorderDxfId="249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48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47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46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45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244" headerRowBorderDxfId="243" tableBorderDxfId="242" totalsRowBorderDxfId="241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40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39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38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37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36" headerRowBorderDxfId="235" tableBorderDxfId="234" totalsRowBorderDxfId="233">
  <autoFilter ref="L122:P125" xr:uid="{F160D1D4-E2CA-4D0C-84EC-AA2A7E301211}"/>
  <tableColumns count="5">
    <tableColumn id="1" xr3:uid="{F60168F8-23AE-4CFB-A091-D964CDF9CCBB}" name="ability" dataDxfId="232"/>
    <tableColumn id="2" xr3:uid="{3A51F650-A9B5-4C31-8F09-AC78E854A77D}" name="takes" dataDxfId="231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230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229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228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27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26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225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6A658BF5-3106-4DAA-9E0D-4FA9744FA7C6}" name="AvengerAbilities1309" displayName="AvengerAbilities1309" ref="A2:E5" totalsRowShown="0">
  <autoFilter ref="A2:E5" xr:uid="{DCA301F1-E0F8-4700-BEE5-2688AF43F23A}"/>
  <tableColumns count="5">
    <tableColumn id="2" xr3:uid="{AD5CBA40-229D-4B58-9AEB-2897A2299101}" name="ability"/>
    <tableColumn id="6" xr3:uid="{0526A825-78AA-49F2-9BD7-A4AADFA11EE6}" name="takes" dataDxfId="224">
      <calculatedColumnFormula>M3+M24+M45+M66+M87+M108</calculatedColumnFormula>
    </tableColumn>
    <tableColumn id="4" xr3:uid="{148F9E79-105E-4062-BCCF-7078A48D319B}" name="wins" dataDxfId="223">
      <calculatedColumnFormula>N3+N24+N45+N66+N87+N108</calculatedColumnFormula>
    </tableColumn>
    <tableColumn id="5" xr3:uid="{00508383-5597-4E29-BB6B-6D0FAAFA951A}" name="battles-take-rate" dataDxfId="222">
      <calculatedColumnFormula>IF(SUM(AvengerAbilities1309[[#This Row],[takes]]) &gt; 0,AvengerAbilities1309[[#This Row],[takes]]/SUM(AvengerAbilities1309[takes]),0)</calculatedColumnFormula>
    </tableColumn>
    <tableColumn id="7" xr3:uid="{0EEE16AC-2498-4903-A7D3-CF5D8EBD54F8}" name="take-win-rate" dataDxfId="221">
      <calculatedColumnFormula>IF(AvengerAbilities1309[[#This Row],[takes]]&gt;0,AvengerAbilities1309[[#This Row],[wins]]/AvengerAbilities1309[[#This Row],[takes]],0)</calculatedColumnFormula>
    </tableColumn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59CD0609-47A7-40E8-8975-491FAD233904}" name="AvengerAbilities2310" displayName="AvengerAbilities2310" ref="A7:E10" totalsRowShown="0" headerRowDxfId="220" headerRowBorderDxfId="219" tableBorderDxfId="218" totalsRowBorderDxfId="217">
  <autoFilter ref="A7:E10" xr:uid="{8ADAEE31-4DDA-4DF2-9EAD-04808D53FFC1}"/>
  <tableColumns count="5">
    <tableColumn id="1" xr3:uid="{9E15FF7A-68C3-44D7-9DC3-2DE32A21A7E0}" name="ability"/>
    <tableColumn id="2" xr3:uid="{3EBE7AD4-F1DA-44EB-AA4A-A406DEFDF300}" name="takes" dataDxfId="216">
      <calculatedColumnFormula>M8+M29+M50+M71+M92+M113</calculatedColumnFormula>
    </tableColumn>
    <tableColumn id="3" xr3:uid="{971C0626-644F-408A-ADA7-1D389A0CECFE}" name="wins" dataDxfId="215">
      <calculatedColumnFormula>N8+N29+N50+N71+N92+N113</calculatedColumnFormula>
    </tableColumn>
    <tableColumn id="4" xr3:uid="{5218E7ED-58A4-4A49-951E-ACBC4C4314D2}" name="battles-take-rate" dataDxfId="214">
      <calculatedColumnFormula>IF(SUM(AvengerAbilities2310[[#This Row],[takes]]) &gt; 0,AvengerAbilities2310[[#This Row],[takes]]/SUM(AvengerAbilities2310[takes]),0)</calculatedColumnFormula>
    </tableColumn>
    <tableColumn id="5" xr3:uid="{B7C663A0-4DAC-4941-9D1B-DA130BC98013}" name="take-win-rate" dataDxfId="213">
      <calculatedColumnFormula>IF(AvengerAbilities2310[[#This Row],[takes]]&gt;0,AvengerAbilities2310[[#This Row],[wins]]/AvengerAbilities2310[[#This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909" headerRowBorderDxfId="1908" tableBorderDxfId="1907" totalsRowBorderDxfId="1906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905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904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903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902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E0CAE74-EED8-4F42-B291-552E6A055848}" name="AvengerAbilities3311" displayName="AvengerAbilities3311" ref="A12:E15" totalsRowShown="0" headerRowDxfId="212" headerRowBorderDxfId="211" tableBorderDxfId="210" totalsRowBorderDxfId="209">
  <autoFilter ref="A12:E15" xr:uid="{1B0EA3CA-FA8E-4345-B52C-471D5C94AD38}"/>
  <tableColumns count="5">
    <tableColumn id="1" xr3:uid="{3E467C58-1F07-47A8-BED5-2A12AED49BEF}" name="ability"/>
    <tableColumn id="2" xr3:uid="{10FFB8EA-96BB-461C-8CAF-26865B7EA68D}" name="takes" dataDxfId="208">
      <calculatedColumnFormula>M13+M34+M55+M76+M97+M118</calculatedColumnFormula>
    </tableColumn>
    <tableColumn id="3" xr3:uid="{DD3B1868-85F8-4442-AB9F-48E1B64E0697}" name="wins" dataDxfId="207">
      <calculatedColumnFormula>N13+N34+N55+N76+N97+N118</calculatedColumnFormula>
    </tableColumn>
    <tableColumn id="4" xr3:uid="{ECF5A773-90B3-40AF-B185-CE707C190C1D}" name="battles-take-rate" dataDxfId="206">
      <calculatedColumnFormula>IF(SUM(AvengerAbilities3311[[#This Row],[takes]]) &gt; 0,AvengerAbilities3311[[#This Row],[takes]]/SUM(AvengerAbilities3311[takes]),0)</calculatedColumnFormula>
    </tableColumn>
    <tableColumn id="5" xr3:uid="{D65134D0-C04D-4AF1-9132-2A092D07A78C}" name="take-win-rate" dataDxfId="205">
      <calculatedColumnFormula>IF(AvengerAbilities3311[[#This Row],[takes]]&gt;0,AvengerAbilities3311[[#This Row],[wins]]/AvengerAbilities3311[[#This Row],[takes]],0)</calculatedColumnFormula>
    </tableColumn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E08C3541-37B4-4E01-99E0-8960E22316FF}" name="AvengerAbilities4312" displayName="AvengerAbilities4312" ref="A17:E20" totalsRowShown="0" headerRowDxfId="204" headerRowBorderDxfId="203" tableBorderDxfId="202" totalsRowBorderDxfId="201">
  <autoFilter ref="A17:E20" xr:uid="{2AADA4A0-2F4A-4009-8ECF-0BECA693390C}"/>
  <tableColumns count="5">
    <tableColumn id="1" xr3:uid="{5ADE635E-C89B-49B6-B9C4-203C96F3FF29}" name="ability" dataDxfId="200"/>
    <tableColumn id="2" xr3:uid="{9A986794-20C5-4090-85C5-3A58FCE72D5A}" name="takes" dataDxfId="199">
      <calculatedColumnFormula>M18+M39+M60+M81+M102+M123</calculatedColumnFormula>
    </tableColumn>
    <tableColumn id="3" xr3:uid="{3BB5DBF2-40A1-46C5-99C5-3E880D124F3A}" name="wins" dataDxfId="198">
      <calculatedColumnFormula>N18+N39+N60+N81+N102+N123</calculatedColumnFormula>
    </tableColumn>
    <tableColumn id="4" xr3:uid="{958D8B67-C464-42E3-B105-4458077BF215}" name="battles-take-rate" dataDxfId="197">
      <calculatedColumnFormula>IF(SUM(AvengerAbilities4312[[#This Row],[takes]]) &gt; 0,AvengerAbilities4312[[#This Row],[takes]]/SUM(AvengerAbilities4312[takes]),0)</calculatedColumnFormula>
    </tableColumn>
    <tableColumn id="5" xr3:uid="{1E34F870-A6EA-4054-87B4-88E04AB45EC3}" name="take-win-rate" dataDxfId="196">
      <calculatedColumnFormula>IF(AvengerAbilities4312[[#This Row],[takes]]&gt;0,AvengerAbilities4312[[#This Row],[wins]]/AvengerAbilities4312[[#This Row],[takes]],0)</calculatedColumnFormula>
    </tableColumn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8C91E791-714D-4D3E-BE17-A4160FC79644}" name="AvengerEquip313" displayName="AvengerEquip313" ref="G2:J5" totalsRowShown="0">
  <autoFilter ref="G2:J5" xr:uid="{C15024E5-2A00-4F8B-BBEB-0FE7A036BC54}"/>
  <tableColumns count="4">
    <tableColumn id="1" xr3:uid="{39BAC21D-7CC3-41A1-AAA8-B66D5E15531F}" name="level"/>
    <tableColumn id="2" xr3:uid="{0546C67A-DE2B-400F-BBCB-4AB99454F6EA}" name="kopis" dataDxfId="195">
      <calculatedColumnFormula>S3+S24+S45+S66+S87+S108</calculatedColumnFormula>
    </tableColumn>
    <tableColumn id="3" xr3:uid="{FA028547-6F6C-4190-9DC7-21612EA1F305}" name="gun" dataDxfId="194">
      <calculatedColumnFormula>T3+T24+T45+T66+T87+T108</calculatedColumnFormula>
    </tableColumn>
    <tableColumn id="4" xr3:uid="{07D35E94-0D8B-4CF5-BC55-D062523209B3}" name="chestpiece" dataDxfId="193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6227EF30-DD4C-4DEF-9971-19469847BCE6}" name="AvengerAbilities1Scenario0314" displayName="AvengerAbilities1Scenario0314" ref="L2:P5" totalsRowShown="0">
  <autoFilter ref="L2:P5" xr:uid="{4CDFB74F-734F-4444-929B-80D3797B5492}"/>
  <tableColumns count="5">
    <tableColumn id="2" xr3:uid="{B9AA29D9-097B-4ECE-AA70-EFC66F98355E}" name="ability"/>
    <tableColumn id="6" xr3:uid="{07369A94-AD31-4B0B-A21F-4915DB3ECAFB}" name="takes" dataDxfId="192">
      <calculatedColumnFormula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calculatedColumnFormula>
    </tableColumn>
    <tableColumn id="4" xr3:uid="{1BFFB4EB-1368-408E-8E3C-BCA8DB4DE001}" name="wins" dataDxfId="191">
      <calculatedColumnFormula>COUNTIF(Scenario0[winner1-ability1],AvengerAbilities1Scenario0314[[#This Row],[ability]])+COUNTIF(Scenario0[winner2-ability1],AvengerAbilities1Scenario0314[[#This Row],[ability]])</calculatedColumnFormula>
    </tableColumn>
    <tableColumn id="5" xr3:uid="{21CCD308-9B87-4609-9AC5-9D4CF750F493}" name="battles-take-rate" dataDxfId="190">
      <calculatedColumnFormula>IF(SUM(AvengerAbilities1Scenario0314[[#This Row],[takes]]) &gt; 0,AvengerAbilities1Scenario0314[[#This Row],[takes]]/SUM(AvengerAbilities1Scenario0314[takes]),0)</calculatedColumnFormula>
    </tableColumn>
    <tableColumn id="7" xr3:uid="{AEAA413B-5538-4D94-A9B4-B7FB3C00D3A5}" name="take-win-rate" dataDxfId="189">
      <calculatedColumnFormula>IF(AvengerAbilities1Scenario0314[[#This Row],[takes]]&gt;0,AvengerAbilities1Scenario0314[[#This Row],[wins]]/AvengerAbilities1Scenario0314[[#This Row],[takes]],0)</calculatedColumnFormula>
    </tableColumn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91405AC4-1226-470C-B4A0-CC847A67416A}" name="AvengerAbilities2Scenario0315" displayName="AvengerAbilities2Scenario0315" ref="L7:P10" totalsRowShown="0" headerRowDxfId="188" headerRowBorderDxfId="187" tableBorderDxfId="186" totalsRowBorderDxfId="185">
  <autoFilter ref="L7:P10" xr:uid="{07F4368A-34C9-4286-BBA2-89F699718525}"/>
  <tableColumns count="5">
    <tableColumn id="1" xr3:uid="{05166176-C6E4-4134-9BAE-52606568F34F}" name="ability"/>
    <tableColumn id="2" xr3:uid="{D2FBBE64-425C-41C1-8739-536E97264BAD}" name="takes" dataDxfId="184">
      <calculatedColumnFormula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calculatedColumnFormula>
    </tableColumn>
    <tableColumn id="3" xr3:uid="{59D87518-7245-4476-A2CD-4F8533C95D6F}" name="wins" dataDxfId="183">
      <calculatedColumnFormula>COUNTIF(Scenario0[winner1-ability2],AvengerAbilities2Scenario0315[[#This Row],[ability]])+COUNTIF(Scenario0[winner2-ability2],AvengerAbilities2Scenario0315[[#This Row],[ability]])</calculatedColumnFormula>
    </tableColumn>
    <tableColumn id="4" xr3:uid="{BEE6BA8F-0784-42B5-B6CA-2613E01972D4}" name="battles-take-rate" dataDxfId="182">
      <calculatedColumnFormula>IF(SUM(AvengerAbilities2Scenario0315[[#This Row],[takes]]) &gt; 0,AvengerAbilities2Scenario0315[[#This Row],[takes]]/SUM(AvengerAbilities2Scenario0315[takes]),0)</calculatedColumnFormula>
    </tableColumn>
    <tableColumn id="5" xr3:uid="{342960E0-6AD8-4918-87FE-B90CF32F714C}" name="take-win-rate" dataDxfId="181">
      <calculatedColumnFormula>IF(AvengerAbilities2Scenario0315[[#This Row],[takes]]&gt;0,AvengerAbilities2Scenario0315[[#This Row],[wins]]/AvengerAbilities2Scenario0315[[#This Row],[takes]],0)</calculatedColumnFormula>
    </tableColumn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9F341C33-88FB-4A6A-A956-130D27E3893D}" name="AvengerAbilities3Scenario0316" displayName="AvengerAbilities3Scenario0316" ref="L12:P15" totalsRowShown="0" headerRowDxfId="180" headerRowBorderDxfId="179" tableBorderDxfId="178" totalsRowBorderDxfId="177">
  <autoFilter ref="L12:P15" xr:uid="{E8520742-705B-4A78-A5FD-1F57726A369B}"/>
  <tableColumns count="5">
    <tableColumn id="1" xr3:uid="{D25D3C6C-B817-4BEF-9677-1C67630ACAC5}" name="ability"/>
    <tableColumn id="2" xr3:uid="{A905A74A-4F9F-4785-ABF6-DAF3BF3B7C0F}" name="takes" dataDxfId="176">
      <calculatedColumnFormula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calculatedColumnFormula>
    </tableColumn>
    <tableColumn id="3" xr3:uid="{D1CB7175-5CF2-4634-84E5-C60F32B33E1F}" name="wins" dataDxfId="175">
      <calculatedColumnFormula>COUNTIF(Scenario0[winner1-ability3],AvengerAbilities3Scenario0316[[#This Row],[ability]])+COUNTIF(Scenario0[winner2-ability3],AvengerAbilities3Scenario0316[[#This Row],[ability]])</calculatedColumnFormula>
    </tableColumn>
    <tableColumn id="4" xr3:uid="{840A0805-98B5-4C47-8C36-0AFFCF73B881}" name="battles-take-rate" dataDxfId="174">
      <calculatedColumnFormula>IF(SUM(AvengerAbilities3Scenario0316[[#This Row],[takes]]) &gt; 0,AvengerAbilities3Scenario0316[[#This Row],[takes]]/SUM(AvengerAbilities3Scenario0316[takes]),0)</calculatedColumnFormula>
    </tableColumn>
    <tableColumn id="5" xr3:uid="{EB332549-25DE-44DD-B350-9C9D42F324E1}" name="take-win-rate" dataDxfId="173">
      <calculatedColumnFormula>IF(AvengerAbilities3Scenario0316[[#This Row],[takes]]&gt;0,AvengerAbilities3Scenario0316[[#This Row],[wins]]/AvengerAbilities3Scenario0316[[#This Row],[takes]],0)</calculatedColumnFormula>
    </tableColumn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67A7C5DF-25AA-48D3-A2A8-6B81FB0D84B4}" name="AvengerAbilities4Scenario0317" displayName="AvengerAbilities4Scenario0317" ref="L17:P20" totalsRowShown="0" headerRowDxfId="172" headerRowBorderDxfId="171" tableBorderDxfId="170" totalsRowBorderDxfId="169">
  <autoFilter ref="L17:P20" xr:uid="{01E0B516-A92C-45D4-946B-0FCF2F31D98A}"/>
  <tableColumns count="5">
    <tableColumn id="1" xr3:uid="{2221B5AA-184D-4547-AE38-49FBBDC771A8}" name="ability" dataDxfId="168"/>
    <tableColumn id="2" xr3:uid="{979CE9DB-153B-4F9D-B7F8-C980FF001F50}" name="takes" dataDxfId="167">
      <calculatedColumnFormula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calculatedColumnFormula>
    </tableColumn>
    <tableColumn id="3" xr3:uid="{EB051B27-FD84-471B-945C-1EB632176955}" name="wins" dataDxfId="166">
      <calculatedColumnFormula>COUNTIF(Scenario0[winner1-ability4],AvengerAbilities4Scenario0317[[#This Row],[ability]])+COUNTIF(Scenario0[winner2-ability4],AvengerAbilities4Scenario0317[[#This Row],[ability]])</calculatedColumnFormula>
    </tableColumn>
    <tableColumn id="4" xr3:uid="{38A24405-FA05-495E-83BC-1B032F5E5972}" name="battles-take-rate" dataDxfId="165">
      <calculatedColumnFormula>IF(SUM(AvengerAbilities4Scenario0317[[#This Row],[takes]]) &gt; 0,AvengerAbilities4Scenario0317[[#This Row],[takes]]/SUM(AvengerAbilities4Scenario0317[takes]),0)</calculatedColumnFormula>
    </tableColumn>
    <tableColumn id="5" xr3:uid="{AAFA2A43-5E78-4C96-B179-69CF55EC1E47}" name="take-win-rate" dataDxfId="164">
      <calculatedColumnFormula>IF(AvengerAbilities4Scenario0317[[#This Row],[takes]]&gt;0,AvengerAbilities4Scenario0317[[#This Row],[wins]]/AvengerAbilities4Scenario0317[[#This Row],[takes]],0)</calculatedColumnFormula>
    </tableColumn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5B0CE861-D9AE-420E-AA4C-89456EA006D5}" name="AvengerEquipScenario0318" displayName="AvengerEquipScenario0318" ref="R2:U5" totalsRowShown="0">
  <autoFilter ref="R2:U5" xr:uid="{E84D91C4-DFF3-43B9-932F-3FEFFBEA9FF1}"/>
  <tableColumns count="4">
    <tableColumn id="1" xr3:uid="{CB023770-9C37-4EA3-8727-E648E273BC0D}" name="level"/>
    <tableColumn id="2" xr3:uid="{5D426DA4-FD2A-4505-93DA-6E28AA437010}" name="kopis" dataDxfId="163">
      <calculatedColumnFormula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calculatedColumnFormula>
    </tableColumn>
    <tableColumn id="3" xr3:uid="{B1CF9B0B-9BAD-4D09-8297-A700CCC47A1B}" name="gun" dataDxfId="162">
      <calculatedColumnFormula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calculatedColumnFormula>
    </tableColumn>
    <tableColumn id="4" xr3:uid="{C2D3945B-5437-4265-A691-AA4208B51C5F}" name="chestpiece" dataDxfId="161">
      <calculatedColumnFormula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calculatedColumnFormula>
    </tableColumn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B48315C6-1854-4E2C-9AAE-DA83DDC21431}" name="AvengerAbilities1Scenario1319" displayName="AvengerAbilities1Scenario1319" ref="L23:P26" totalsRowShown="0">
  <autoFilter ref="L23:P26" xr:uid="{A0A97CA7-01BF-4D92-A7D1-F51028CD7758}"/>
  <tableColumns count="5">
    <tableColumn id="2" xr3:uid="{48D63609-92E2-4450-853C-D1E86547660C}" name="ability"/>
    <tableColumn id="6" xr3:uid="{A4CA92C9-1F1D-41A6-847C-935816151FAD}" name="takes" dataDxfId="160">
      <calculatedColumnFormula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calculatedColumnFormula>
    </tableColumn>
    <tableColumn id="4" xr3:uid="{DC13F8BA-E5BD-4379-AADE-8F38DE8E5431}" name="wins" dataDxfId="159">
      <calculatedColumnFormula>COUNTIF(Scenario1[winner1-ability1],AvengerAbilities1Scenario1319[[#This Row],[ability]])+COUNTIF(Scenario1[winner2-ability1],AvengerAbilities1Scenario1319[[#This Row],[ability]])</calculatedColumnFormula>
    </tableColumn>
    <tableColumn id="5" xr3:uid="{12C9ADAF-E786-483C-9DF9-11C4FC6F87ED}" name="battles-take-rate" dataDxfId="158">
      <calculatedColumnFormula>IF(SUM(AvengerAbilities1Scenario1319[[#This Row],[takes]]) &gt; 0,AvengerAbilities1Scenario1319[[#This Row],[takes]]/SUM(AvengerAbilities1Scenario1319[takes]),0)</calculatedColumnFormula>
    </tableColumn>
    <tableColumn id="7" xr3:uid="{41926A09-020F-48D3-9872-A93ED4198FFF}" name="take-win-rate" dataDxfId="157">
      <calculatedColumnFormula>IF(AvengerAbilities1Scenario1319[[#This Row],[takes]]&gt;0,AvengerAbilities1Scenario1319[[#This Row],[wins]]/AvengerAbilities1Scenario1319[[#This Row],[takes]],0)</calculatedColumnFormula>
    </tableColumn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248F15F3-DEDB-448D-A9DB-5AC3406EF469}" name="AvengerAbilities2Scenario1320" displayName="AvengerAbilities2Scenario1320" ref="L28:P31" totalsRowShown="0" headerRowDxfId="156" headerRowBorderDxfId="155" tableBorderDxfId="154" totalsRowBorderDxfId="153">
  <autoFilter ref="L28:P31" xr:uid="{A29CF70A-0B84-46BB-A412-712C2F594795}"/>
  <tableColumns count="5">
    <tableColumn id="1" xr3:uid="{CA1EA67D-F538-41B1-B35C-61A1F76C8A8B}" name="ability"/>
    <tableColumn id="2" xr3:uid="{9F58019F-2AD8-4464-8501-937474BAB75A}" name="takes" dataDxfId="152">
      <calculatedColumnFormula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calculatedColumnFormula>
    </tableColumn>
    <tableColumn id="3" xr3:uid="{79536D49-B924-461A-980E-B68895C49885}" name="wins" dataDxfId="151">
      <calculatedColumnFormula>COUNTIF(Scenario1[winner1-ability2],AvengerAbilities2Scenario1320[[#This Row],[ability]])+COUNTIF(Scenario1[winner2-ability2],AvengerAbilities2Scenario1320[[#This Row],[ability]])</calculatedColumnFormula>
    </tableColumn>
    <tableColumn id="4" xr3:uid="{82AFF21E-0A03-4DAC-9D0D-F7B357065CFE}" name="battles-take-rate" dataDxfId="150">
      <calculatedColumnFormula>IF(SUM(AvengerAbilities2Scenario1320[[#This Row],[takes]]) &gt; 0,AvengerAbilities2Scenario1320[[#This Row],[takes]]/SUM(AvengerAbilities2Scenario1320[takes]),0)</calculatedColumnFormula>
    </tableColumn>
    <tableColumn id="5" xr3:uid="{B84D28DF-098C-4878-ABDF-C2E297A647CB}" name="take-win-rate" dataDxfId="149">
      <calculatedColumnFormula>IF(AvengerAbilities2Scenario1320[[#This Row],[takes]]&gt;0,AvengerAbilities2Scenario1320[[#This Row],[wins]]/AvengerAbilities2Scenario1320[[#This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901" headerRowBorderDxfId="1900" tableBorderDxfId="1899" totalsRowBorderDxfId="1898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897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896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895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894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91D15A78-57F6-4311-9D61-941AC88C6AEC}" name="AvengerAbilities3Scenario1321" displayName="AvengerAbilities3Scenario1321" ref="L33:P36" totalsRowShown="0" headerRowDxfId="148" headerRowBorderDxfId="147" tableBorderDxfId="146" totalsRowBorderDxfId="145">
  <autoFilter ref="L33:P36" xr:uid="{CBC18F4E-86CD-4BE3-9377-2B862ED3B826}"/>
  <tableColumns count="5">
    <tableColumn id="1" xr3:uid="{E68D90AC-0663-41CB-9D40-FE56AB8F3E44}" name="ability"/>
    <tableColumn id="2" xr3:uid="{969FE619-BE38-41E1-94B1-0BA89351A8B7}" name="takes" dataDxfId="144">
      <calculatedColumnFormula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calculatedColumnFormula>
    </tableColumn>
    <tableColumn id="3" xr3:uid="{AF981F20-666F-47F0-8BF3-71DBD9B4D74B}" name="wins" dataDxfId="143">
      <calculatedColumnFormula>COUNTIF(Scenario1[winner1-ability3],AvengerAbilities3Scenario1321[[#This Row],[ability]])+COUNTIF(Scenario1[winner2-ability3],AvengerAbilities3Scenario1321[[#This Row],[ability]])</calculatedColumnFormula>
    </tableColumn>
    <tableColumn id="4" xr3:uid="{410B7DA7-FF24-46A8-88D7-6755125E1705}" name="battles-take-rate" dataDxfId="142">
      <calculatedColumnFormula>IF(SUM(AvengerAbilities3Scenario1321[[#This Row],[takes]]) &gt; 0,AvengerAbilities3Scenario1321[[#This Row],[takes]]/SUM(AvengerAbilities3Scenario1321[takes]),0)</calculatedColumnFormula>
    </tableColumn>
    <tableColumn id="5" xr3:uid="{2137D0C4-4F35-42E2-8A3D-2725F2E6EFCB}" name="take-win-rate" dataDxfId="141">
      <calculatedColumnFormula>IF(AvengerAbilities3Scenario1321[[#This Row],[takes]]&gt;0,AvengerAbilities3Scenario1321[[#This Row],[wins]]/AvengerAbilities3Scenario1321[[#This Row],[takes]],0)</calculatedColumnFormula>
    </tableColumn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17D5814E-ACC3-4A0D-ADE9-852706D11389}" name="AvengerAbilities4Scenario1322" displayName="AvengerAbilities4Scenario1322" ref="L38:P41" totalsRowShown="0" headerRowDxfId="140" headerRowBorderDxfId="139" tableBorderDxfId="138" totalsRowBorderDxfId="137">
  <autoFilter ref="L38:P41" xr:uid="{A1F38E75-59DE-4DB4-B81C-C0322397F6F7}"/>
  <tableColumns count="5">
    <tableColumn id="1" xr3:uid="{BAC705CF-7A36-4711-8265-C8B5856901E0}" name="ability" dataDxfId="136"/>
    <tableColumn id="2" xr3:uid="{F1E28D8D-D41C-4847-9F95-DD8758371DB7}" name="takes" dataDxfId="135">
      <calculatedColumnFormula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calculatedColumnFormula>
    </tableColumn>
    <tableColumn id="3" xr3:uid="{63F79A2D-0156-4D0B-A1D2-20A22194D7A2}" name="wins" dataDxfId="134">
      <calculatedColumnFormula>COUNTIF(Scenario1[winner1-ability4],AvengerAbilities4Scenario1322[[#This Row],[ability]])+COUNTIF(Scenario1[winner2-ability4],AvengerAbilities4Scenario1322[[#This Row],[ability]])</calculatedColumnFormula>
    </tableColumn>
    <tableColumn id="4" xr3:uid="{C09D80C6-8E23-4684-A737-BBFEBD4714EF}" name="battles-take-rate" dataDxfId="133">
      <calculatedColumnFormula>IF(SUM(AvengerAbilities4Scenario1322[[#This Row],[takes]]) &gt; 0,AvengerAbilities4Scenario1322[[#This Row],[takes]]/SUM(AvengerAbilities4Scenario1322[takes]),0)</calculatedColumnFormula>
    </tableColumn>
    <tableColumn id="5" xr3:uid="{EFC21A6E-F0A4-4C8E-8A93-B0C075825D53}" name="take-win-rate" dataDxfId="132">
      <calculatedColumnFormula>IF(AvengerAbilities4Scenario1322[[#This Row],[takes]]&gt;0,AvengerAbilities4Scenario1322[[#This Row],[wins]]/AvengerAbilities4Scenario1322[[#This Row],[takes]],0)</calculatedColumnFormula>
    </tableColumn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B1589B1-4E5A-4BC8-A705-7B482625FF52}" name="AvengerEquipScenario1323" displayName="AvengerEquipScenario1323" ref="R23:U26" totalsRowShown="0">
  <autoFilter ref="R23:U26" xr:uid="{18EECD25-0AE5-4756-B5E1-492D523A2929}"/>
  <tableColumns count="4">
    <tableColumn id="1" xr3:uid="{81FB099B-9444-4725-AA2D-B7CFECDEEAD8}" name="level"/>
    <tableColumn id="2" xr3:uid="{B6AC7BDB-8438-492B-86A1-0E1A9E63CDB9}" name="kopis" dataDxfId="131">
      <calculatedColumnFormula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calculatedColumnFormula>
    </tableColumn>
    <tableColumn id="3" xr3:uid="{68740EF8-9F63-4DC7-8E23-C0E7286744DB}" name="gun" dataDxfId="130">
      <calculatedColumnFormula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calculatedColumnFormula>
    </tableColumn>
    <tableColumn id="4" xr3:uid="{D0430705-CD0E-471A-85AE-4A5294D4713E}" name="chestpiece" dataDxfId="129">
      <calculatedColumnFormula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calculatedColumnFormula>
    </tableColumn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54CE20FA-7EC7-4086-B099-E80AF5703356}" name="AvengerAbilities1Scenario2324" displayName="AvengerAbilities1Scenario2324" ref="L44:P47" totalsRowShown="0">
  <autoFilter ref="L44:P47" xr:uid="{81D76695-EE53-4A07-9351-842AC55F2540}"/>
  <tableColumns count="5">
    <tableColumn id="2" xr3:uid="{EAC6BED0-5234-49FB-84CE-EC15B29B9421}" name="ability"/>
    <tableColumn id="6" xr3:uid="{35A168CE-E29F-4C8C-A333-6B5EC71E21DE}" name="takes" dataDxfId="128">
      <calculatedColumnFormula>COUNTIF(Scenario2[winner1-ability1],AvengerAbilities1Scenario2324[[#This Row],[ability]])+COUNTIF(Scenario2[loser1-ability1],AvengerAbilities1Scenario2324[[#This Row],[ability]])</calculatedColumnFormula>
    </tableColumn>
    <tableColumn id="4" xr3:uid="{9542E516-994E-404D-9A93-056A9C188131}" name="wins" dataDxfId="127">
      <calculatedColumnFormula>COUNTIF(Scenario2[winner1-ability1],AvengerAbilities1Scenario2324[[#This Row],[ability]])</calculatedColumnFormula>
    </tableColumn>
    <tableColumn id="5" xr3:uid="{81EF5DB3-8607-49C7-9D6F-EDC8CBDBB3BD}" name="battles-take-rate" dataDxfId="126">
      <calculatedColumnFormula>IF(SUM(AvengerAbilities1Scenario2324[[#This Row],[takes]]) &gt; 0,AvengerAbilities1Scenario2324[[#This Row],[takes]]/SUM(AvengerAbilities1Scenario2324[takes]),0)</calculatedColumnFormula>
    </tableColumn>
    <tableColumn id="7" xr3:uid="{D88670B8-BC48-477A-8A8C-A6822043B32B}" name="take-win-rate" dataDxfId="125">
      <calculatedColumnFormula>IF(AvengerAbilities1Scenario2324[[#This Row],[takes]]&gt;0,AvengerAbilities1Scenario2324[[#This Row],[wins]]/AvengerAbilities1Scenario2324[[#This Row],[takes]],0)</calculatedColumnFormula>
    </tableColumn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6FF34369-9C46-4285-BEF8-187CA8A45050}" name="AvengerAbilities2Scenario2325" displayName="AvengerAbilities2Scenario2325" ref="L49:P52" totalsRowShown="0" headerRowDxfId="124" headerRowBorderDxfId="123" tableBorderDxfId="122" totalsRowBorderDxfId="121">
  <autoFilter ref="L49:P52" xr:uid="{B5828340-8DA1-4B65-ACEB-BDDDED872E64}"/>
  <tableColumns count="5">
    <tableColumn id="1" xr3:uid="{B321C141-AC15-410E-BB08-A3FC36E9F861}" name="ability"/>
    <tableColumn id="2" xr3:uid="{EC136602-E049-4B82-9E18-09D785C13306}" name="takes" dataDxfId="120">
      <calculatedColumnFormula>COUNTIF(Scenario2[winner1-ability2],AvengerAbilities2Scenario2325[[#This Row],[ability]])+COUNTIF(Scenario2[loser1-ability2],AvengerAbilities2Scenario2325[[#This Row],[ability]])</calculatedColumnFormula>
    </tableColumn>
    <tableColumn id="3" xr3:uid="{61194B6A-BA3A-46A6-9BD8-2AB2BAA0DEB8}" name="wins" dataDxfId="119">
      <calculatedColumnFormula>COUNTIF(Scenario2[winner1-ability2],AvengerAbilities2Scenario2325[[#This Row],[ability]])</calculatedColumnFormula>
    </tableColumn>
    <tableColumn id="4" xr3:uid="{0428E882-AFEC-4686-A8D3-87D04423BBB2}" name="battles-take-rate" dataDxfId="118">
      <calculatedColumnFormula>IF(SUM(AvengerAbilities2Scenario2325[[#This Row],[takes]]) &gt; 0,AvengerAbilities2Scenario2325[[#This Row],[takes]]/SUM(AvengerAbilities2Scenario2325[takes]),0)</calculatedColumnFormula>
    </tableColumn>
    <tableColumn id="5" xr3:uid="{A920DD7B-16F6-4B3B-85CC-5FDEE94B8E1A}" name="take-win-rate" dataDxfId="117">
      <calculatedColumnFormula>IF(AvengerAbilities2Scenario2325[[#This Row],[takes]]&gt;0,AvengerAbilities2Scenario2325[[#This Row],[wins]]/AvengerAbilities2Scenario2325[[#This Row],[takes]],0)</calculatedColumnFormula>
    </tableColumn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CA0DBBFA-59BF-4D26-8CFC-740670BD9DDD}" name="AvengerAbilities3Scenario2326" displayName="AvengerAbilities3Scenario2326" ref="L54:P57" totalsRowShown="0" headerRowDxfId="116" headerRowBorderDxfId="115" tableBorderDxfId="114" totalsRowBorderDxfId="113">
  <autoFilter ref="L54:P57" xr:uid="{34ED10E5-B169-4BBA-8F2C-73FF473D0922}"/>
  <tableColumns count="5">
    <tableColumn id="1" xr3:uid="{DCC6C822-497A-4989-8189-78A70199C263}" name="ability"/>
    <tableColumn id="2" xr3:uid="{B140446A-488E-44E8-AF7A-4F11E88E869C}" name="takes" dataDxfId="112">
      <calculatedColumnFormula>COUNTIF(Scenario2[winner1-ability3],AvengerAbilities3Scenario2326[[#This Row],[ability]])+COUNTIF(Scenario2[loser1-ability3],AvengerAbilities3Scenario2326[[#This Row],[ability]])</calculatedColumnFormula>
    </tableColumn>
    <tableColumn id="3" xr3:uid="{AF786711-417E-4014-A323-215D957B0CDC}" name="wins" dataDxfId="111">
      <calculatedColumnFormula>COUNTIF(Scenario2[winner1-ability3],AvengerAbilities3Scenario2326[[#This Row],[ability]])</calculatedColumnFormula>
    </tableColumn>
    <tableColumn id="4" xr3:uid="{53638BC7-519D-4E1A-9C27-B0ACDBBB95B0}" name="battles-take-rate" dataDxfId="110">
      <calculatedColumnFormula>IF(SUM(AvengerAbilities3Scenario2326[[#This Row],[takes]]) &gt; 0,AvengerAbilities3Scenario2326[[#This Row],[takes]]/SUM(AvengerAbilities3Scenario2326[takes]),0)</calculatedColumnFormula>
    </tableColumn>
    <tableColumn id="5" xr3:uid="{190770EF-65AA-4851-BA17-15035FFECEC0}" name="take-win-rate" dataDxfId="109">
      <calculatedColumnFormula>IF(AvengerAbilities3Scenario2326[[#This Row],[takes]]&gt;0,AvengerAbilities3Scenario2326[[#This Row],[wins]]/AvengerAbilities3Scenario2326[[#This Row],[takes]],0)</calculatedColumnFormula>
    </tableColumn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EFB6A4BF-39B0-46AE-B424-F9B1C92E87DF}" name="AvengerAbilities4Scenario2327" displayName="AvengerAbilities4Scenario2327" ref="L59:P62" totalsRowShown="0" headerRowDxfId="108" headerRowBorderDxfId="107" tableBorderDxfId="106" totalsRowBorderDxfId="105">
  <autoFilter ref="L59:P62" xr:uid="{DDB7F110-02A6-4F67-8266-251AF48CB7C0}"/>
  <tableColumns count="5">
    <tableColumn id="1" xr3:uid="{AE6286A7-339B-42E8-8C41-8C6F2732A8A5}" name="ability" dataDxfId="104"/>
    <tableColumn id="2" xr3:uid="{C024E4B3-9066-4479-A3BA-513E74B161D6}" name="takes" dataDxfId="103">
      <calculatedColumnFormula>COUNTIF(Scenario2[winner1-ability4],AvengerAbilities4Scenario2327[[#This Row],[ability]])+COUNTIF(Scenario2[loser1-ability4],AvengerAbilities4Scenario2327[[#This Row],[ability]])</calculatedColumnFormula>
    </tableColumn>
    <tableColumn id="3" xr3:uid="{149946B5-92CA-455B-A3F9-660FA33436C4}" name="wins" dataDxfId="102">
      <calculatedColumnFormula>COUNTIF(Scenario2[winner1-ability4],AvengerAbilities4Scenario2327[[#This Row],[ability]])</calculatedColumnFormula>
    </tableColumn>
    <tableColumn id="4" xr3:uid="{A21B9640-9712-44D4-A6F4-DA1CE464908C}" name="battles-take-rate" dataDxfId="101">
      <calculatedColumnFormula>IF(SUM(AvengerAbilities4Scenario2327[[#This Row],[takes]]) &gt; 0,AvengerAbilities4Scenario2327[[#This Row],[takes]]/SUM(AvengerAbilities4Scenario2327[takes]),0)</calculatedColumnFormula>
    </tableColumn>
    <tableColumn id="5" xr3:uid="{145E8CFB-651E-4FA5-B03E-89BE7FE38252}" name="take-win-rate" dataDxfId="100">
      <calculatedColumnFormula>IF(AvengerAbilities4Scenario2327[[#This Row],[takes]]&gt;0,AvengerAbilities4Scenario2327[[#This Row],[wins]]/AvengerAbilities4Scenario2327[[#This Row],[takes]],0)</calculatedColumnFormula>
    </tableColumn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4F2A7469-D788-4A0B-9703-26E7E5D23D2F}" name="AvengerEquipScenario2328" displayName="AvengerEquipScenario2328" ref="R44:U47" totalsRowShown="0">
  <autoFilter ref="R44:U47" xr:uid="{BDEC3E9D-FA56-4E08-A52D-2A8BEB87833A}"/>
  <tableColumns count="4">
    <tableColumn id="1" xr3:uid="{F8192ACB-F31B-4FA9-8BD6-BB1463C07171}" name="level"/>
    <tableColumn id="2" xr3:uid="{DE3DE7CD-F4AF-42D6-8C5F-6C6D48995F20}" name="kopis" dataDxfId="99">
      <calculatedColumnFormula>COUNTIFS(Scenario2[winner1],"navarch",Scenario2[winner1-pw],AvengerEquipScenario2328[[#This Row],[level]])+COUNTIFS(Scenario2[loser1],"navarch",Scenario2[loser1-pw],AvengerEquipScenario2328[[#This Row],[level]])</calculatedColumnFormula>
    </tableColumn>
    <tableColumn id="3" xr3:uid="{B35245E0-582A-42C0-B89C-EFC0D246B7DA}" name="gun" dataDxfId="98">
      <calculatedColumnFormula>COUNTIFS(Scenario2[winner1],"navarch",Scenario2[winner1-sw],AvengerEquipScenario2328[[#This Row],[level]])+COUNTIFS(Scenario2[loser1],"navarch",Scenario2[loser1-sw],AvengerEquipScenario2328[[#This Row],[level]])</calculatedColumnFormula>
    </tableColumn>
    <tableColumn id="4" xr3:uid="{4C362166-9BFF-4E60-8990-06551A95928A}" name="chestpiece" dataDxfId="97">
      <calculatedColumnFormula>COUNTIFS(Scenario2[winner1],"navarch",Scenario2[winner1-cp],AvengerEquipScenario2328[[#This Row],[level]])+COUNTIFS(Scenario2[loser1],"navarch",Scenario2[loser1-cp],AvengerEquipScenario2328[[#This Row],[level]])</calculatedColumnFormula>
    </tableColumn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8300B30C-0722-4073-9BFD-0AAB2B367E1D}" name="UpgradeStatistics1926329" displayName="UpgradeStatistics1926329" ref="W1:X11" totalsRowShown="0">
  <autoFilter ref="W1:X11" xr:uid="{212BB833-8AB0-4DDF-BBA3-11AC313A3C95}"/>
  <tableColumns count="2">
    <tableColumn id="1" xr3:uid="{6C3A6A05-DDCD-434D-8A4D-C1F4BB92B0B6}" name="upgrade"/>
    <tableColumn id="3" xr3:uid="{5FC4BEB1-9DF0-455D-BE25-A07AAC472666}" name="rate" dataDxfId="96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6FE08F54-1D60-45B6-AFCF-03098694F2AC}" name="AvengerAbilities1Scenario3330" displayName="AvengerAbilities1Scenario3330" ref="L65:P68" totalsRowShown="0">
  <autoFilter ref="L65:P68" xr:uid="{2C9EEF2E-AFFC-479E-AF80-7B9FC063A95B}"/>
  <tableColumns count="5">
    <tableColumn id="2" xr3:uid="{6FCF55F4-4034-45B7-A76D-AFFF315278F2}" name="ability"/>
    <tableColumn id="6" xr3:uid="{5CFB20D8-AE2D-4DEE-A503-B4246EFF53D7}" name="takes" dataDxfId="95">
      <calculatedColumnFormula>COUNTIF(Scenario3[winner1-ability1],AvengerAbilities1Scenario3330[[#This Row],[ability]])+COUNTIF(Scenario3[loser1-ability1],AvengerAbilities1Scenario3330[[#This Row],[ability]])+COUNTIF(Scenario3[loser2-ability1],AvengerAbilities1Scenario3330[[#This Row],[ability]])</calculatedColumnFormula>
    </tableColumn>
    <tableColumn id="4" xr3:uid="{688FA12A-9610-4854-8A00-AD8B5BEFB393}" name="wins" dataDxfId="94">
      <calculatedColumnFormula>COUNTIF(Scenario3[winner1-ability1],AvengerAbilities1Scenario3330[[#This Row],[ability]])</calculatedColumnFormula>
    </tableColumn>
    <tableColumn id="5" xr3:uid="{15B9DACA-39C9-4763-8C43-3EEFEBE9BB9B}" name="battles-take-rate" dataDxfId="93">
      <calculatedColumnFormula>IF(SUM(AvengerAbilities1Scenario3330[[#This Row],[takes]]) &gt; 0,AvengerAbilities1Scenario3330[[#This Row],[takes]]/SUM(AvengerAbilities1Scenario3330[takes]),0)</calculatedColumnFormula>
    </tableColumn>
    <tableColumn id="7" xr3:uid="{B7106313-1E9F-47DD-9EF8-71F40E430A68}" name="take-win-rate" dataDxfId="92">
      <calculatedColumnFormula>IF(AvengerAbilities1Scenario3330[[#This Row],[takes]]&gt;0,AvengerAbilities1Scenario3330[[#This Row],[wins]]/AvengerAbilities1Scenario3330[[#This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893" headerRowBorderDxfId="1892" tableBorderDxfId="1891" totalsRowBorderDxfId="1890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889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888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887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886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F63AAAF0-0219-424E-937F-1EAB24846475}" name="AvengerAbilities2Scenario3331" displayName="AvengerAbilities2Scenario3331" ref="L70:P73" totalsRowShown="0" headerRowDxfId="91" headerRowBorderDxfId="90" tableBorderDxfId="89" totalsRowBorderDxfId="88">
  <autoFilter ref="L70:P73" xr:uid="{01CFC75A-EE6F-42E4-A473-DC7F977FD41C}"/>
  <tableColumns count="5">
    <tableColumn id="1" xr3:uid="{F08CB341-206A-40FA-AA7B-AC6B6DB531D6}" name="ability"/>
    <tableColumn id="2" xr3:uid="{5448B9D7-E466-4081-BF59-925D678F1C9C}" name="takes" dataDxfId="87">
      <calculatedColumnFormula>COUNTIF(Scenario3[winner1-ability2],AvengerAbilities2Scenario3331[[#This Row],[ability]])+COUNTIF(Scenario3[loser1-ability2],AvengerAbilities2Scenario3331[[#This Row],[ability]])+COUNTIF(Scenario3[loser2-ability2],AvengerAbilities2Scenario3331[[#This Row],[ability]])</calculatedColumnFormula>
    </tableColumn>
    <tableColumn id="3" xr3:uid="{E1D3D9A3-A9CD-44EC-8FB8-4D28DFFCABAF}" name="wins" dataDxfId="86">
      <calculatedColumnFormula>COUNTIF(Scenario3[winner1-ability2],AvengerAbilities2Scenario3331[[#This Row],[ability]])</calculatedColumnFormula>
    </tableColumn>
    <tableColumn id="4" xr3:uid="{E3A4E81A-DF5F-4B95-AB26-465828D28B51}" name="battles-take-rate" dataDxfId="85">
      <calculatedColumnFormula>IF(SUM(AvengerAbilities2Scenario3331[[#This Row],[takes]]) &gt; 0,AvengerAbilities2Scenario3331[[#This Row],[takes]]/SUM(AvengerAbilities2Scenario3331[takes]),0)</calculatedColumnFormula>
    </tableColumn>
    <tableColumn id="5" xr3:uid="{2096DB70-DBF4-48A5-8700-F16C44AC4201}" name="take-win-rate" dataDxfId="84">
      <calculatedColumnFormula>IF(AvengerAbilities2Scenario3331[[#This Row],[takes]]&gt;0,AvengerAbilities2Scenario3331[[#This Row],[wins]]/AvengerAbilities2Scenario3331[[#This Row],[takes]],0)</calculatedColumnFormula>
    </tableColumn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2B01ED37-36DF-4CC9-A374-6113D1646395}" name="AvengerAbilities3Scenario3332" displayName="AvengerAbilities3Scenario3332" ref="L75:P78" totalsRowShown="0" headerRowDxfId="83" headerRowBorderDxfId="82" tableBorderDxfId="81" totalsRowBorderDxfId="80">
  <autoFilter ref="L75:P78" xr:uid="{E0198DEC-FCBB-4FA6-B0FC-EB2F9B9D081F}"/>
  <tableColumns count="5">
    <tableColumn id="1" xr3:uid="{9E88676F-6A64-44EF-B3C0-EC3FB05F0960}" name="ability"/>
    <tableColumn id="2" xr3:uid="{7778FC25-C25A-4A96-BFFD-13C3196F725E}" name="takes" dataDxfId="79">
      <calculatedColumnFormula>COUNTIF(Scenario3[winner1-ability3],AvengerAbilities3Scenario3332[[#This Row],[ability]])+COUNTIF(Scenario3[loser1-ability3],AvengerAbilities3Scenario3332[[#This Row],[ability]])+COUNTIF(Scenario3[loser2-ability3],AvengerAbilities3Scenario3332[[#This Row],[ability]])</calculatedColumnFormula>
    </tableColumn>
    <tableColumn id="3" xr3:uid="{BBCE30F3-A644-4564-948B-BA1243AE37CE}" name="wins" dataDxfId="78">
      <calculatedColumnFormula>COUNTIF(Scenario3[winner1-ability3],AvengerAbilities3Scenario3332[[#This Row],[ability]])</calculatedColumnFormula>
    </tableColumn>
    <tableColumn id="4" xr3:uid="{D70927FB-573F-45AE-B323-5C7B49B36C20}" name="battles-take-rate" dataDxfId="77">
      <calculatedColumnFormula>IF(SUM(AvengerAbilities3Scenario3332[[#This Row],[takes]]) &gt; 0,AvengerAbilities3Scenario3332[[#This Row],[takes]]/SUM(AvengerAbilities3Scenario3332[takes]),0)</calculatedColumnFormula>
    </tableColumn>
    <tableColumn id="5" xr3:uid="{44A296F1-8A43-4587-A69A-0292B4A77CD1}" name="take-win-rate" dataDxfId="76">
      <calculatedColumnFormula>IF(AvengerAbilities3Scenario3332[[#This Row],[takes]]&gt;0,AvengerAbilities3Scenario3332[[#This Row],[wins]]/AvengerAbilities3Scenario3332[[#This Row],[takes]],0)</calculatedColumnFormula>
    </tableColumn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3C536464-FDFF-447F-B849-FA4195F42F6F}" name="AvengerAbilities4Scenario3333" displayName="AvengerAbilities4Scenario3333" ref="L80:P83" totalsRowShown="0" headerRowDxfId="75" headerRowBorderDxfId="74" tableBorderDxfId="73" totalsRowBorderDxfId="72">
  <autoFilter ref="L80:P83" xr:uid="{DFBA6C76-2A45-4005-8A4B-B62B537356D5}"/>
  <tableColumns count="5">
    <tableColumn id="1" xr3:uid="{F082A61F-846F-4BC1-B3F2-3E0624D1F22E}" name="ability" dataDxfId="71"/>
    <tableColumn id="2" xr3:uid="{B1B16773-F1FF-4B0F-878A-C523F950B8C3}" name="takes" dataDxfId="70">
      <calculatedColumnFormula>COUNTIF(Scenario3[winner1-ability4],AvengerAbilities4Scenario3333[[#This Row],[ability]])+COUNTIF(Scenario3[loser1-ability4],AvengerAbilities4Scenario3333[[#This Row],[ability]])+COUNTIF(Scenario3[loser2-ability4],AvengerAbilities4Scenario3333[[#This Row],[ability]])</calculatedColumnFormula>
    </tableColumn>
    <tableColumn id="3" xr3:uid="{74D731BB-10B2-4C9A-AB5A-99F0E8F1D12A}" name="wins" dataDxfId="69">
      <calculatedColumnFormula>COUNTIF(Scenario3[winner1-ability4],AvengerAbilities4Scenario3333[[#This Row],[ability]])</calculatedColumnFormula>
    </tableColumn>
    <tableColumn id="4" xr3:uid="{15BCF8C1-6F32-4786-B8EC-A8D430D9D69A}" name="battles-take-rate" dataDxfId="68">
      <calculatedColumnFormula>IF(SUM(AvengerAbilities4Scenario3333[[#This Row],[takes]]) &gt; 0,AvengerAbilities4Scenario3333[[#This Row],[takes]]/SUM(AvengerAbilities4Scenario3333[takes]),0)</calculatedColumnFormula>
    </tableColumn>
    <tableColumn id="5" xr3:uid="{5187B384-08D1-489F-9C3E-D80CE7A1580E}" name="take-win-rate" dataDxfId="67">
      <calculatedColumnFormula>IF(AvengerAbilities4Scenario3333[[#This Row],[takes]]&gt;0,AvengerAbilities4Scenario3333[[#This Row],[wins]]/AvengerAbilities4Scenario3333[[#This Row],[takes]],0)</calculatedColumnFormula>
    </tableColumn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7594104E-07DE-4AB2-B090-0AF405083688}" name="AvengerEquipScenario3334" displayName="AvengerEquipScenario3334" ref="R65:U68" totalsRowShown="0">
  <autoFilter ref="R65:U68" xr:uid="{CD519AA8-2FD7-481F-8689-CC94BEAB1F4C}"/>
  <tableColumns count="4">
    <tableColumn id="1" xr3:uid="{BD4DD31D-0B39-4956-89CF-70FE64CB589C}" name="level"/>
    <tableColumn id="2" xr3:uid="{18AAB543-7CB6-43AC-BFD3-5F0201030043}" name="kopis" dataDxfId="66">
      <calculatedColumnFormula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calculatedColumnFormula>
    </tableColumn>
    <tableColumn id="3" xr3:uid="{5539D526-4B2D-4A5B-8EEB-272A22FD3A08}" name="gun" dataDxfId="65">
      <calculatedColumnFormula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calculatedColumnFormula>
    </tableColumn>
    <tableColumn id="4" xr3:uid="{DE3D2F80-0B01-4A75-99C0-D9B15591E0B7}" name="chestpiece" dataDxfId="64">
      <calculatedColumnFormula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calculatedColumnFormula>
    </tableColumn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9A87953-45AB-4CEC-B391-A89A79EAFDD1}" name="AvengerAbilities1Scenario4335" displayName="AvengerAbilities1Scenario4335" ref="L86:P89" totalsRowShown="0">
  <autoFilter ref="L86:P89" xr:uid="{3062414F-0307-4E31-869D-F4935D589A75}"/>
  <tableColumns count="5">
    <tableColumn id="2" xr3:uid="{DD860F50-8F71-4B20-93C9-3EB42828AD22}" name="ability"/>
    <tableColumn id="6" xr3:uid="{75567355-7571-4914-8989-9B433B9A5123}" name="takes" dataDxfId="63">
      <calculatedColumnFormula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calculatedColumnFormula>
    </tableColumn>
    <tableColumn id="4" xr3:uid="{94CBC97A-2C27-40DB-A961-00ED1B11D6F0}" name="wins" dataDxfId="62">
      <calculatedColumnFormula>COUNTIF(Scenario4[winner1-ability1],AvengerAbilities1Scenario4335[[#This Row],[ability]])</calculatedColumnFormula>
    </tableColumn>
    <tableColumn id="5" xr3:uid="{AF7F2A5A-45A1-4BCD-80EF-2CBD89F960B3}" name="battles-take-rate" dataDxfId="61">
      <calculatedColumnFormula>IF(SUM(AvengerAbilities1Scenario4335[[#This Row],[takes]]) &gt; 0,AvengerAbilities1Scenario4335[[#This Row],[takes]]/SUM(AvengerAbilities1Scenario4335[takes]),0)</calculatedColumnFormula>
    </tableColumn>
    <tableColumn id="7" xr3:uid="{2303B663-D553-4154-8D00-25D1F8766BED}" name="take-win-rate" dataDxfId="60">
      <calculatedColumnFormula>IF(AvengerAbilities1Scenario4335[[#This Row],[takes]]&gt;0,AvengerAbilities1Scenario4335[[#This Row],[wins]]/AvengerAbilities1Scenario4335[[#This Row],[takes]],0)</calculatedColumnFormula>
    </tableColumn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D3EC2513-A597-4C6E-A411-801E11A14AE9}" name="AvengerAbilities2Scenario4336" displayName="AvengerAbilities2Scenario4336" ref="L91:P94" totalsRowShown="0" headerRowDxfId="59" headerRowBorderDxfId="58" tableBorderDxfId="57" totalsRowBorderDxfId="56">
  <autoFilter ref="L91:P94" xr:uid="{E4C1192C-838B-412B-8856-5A65351BD147}"/>
  <tableColumns count="5">
    <tableColumn id="1" xr3:uid="{71ED32C2-7B0F-43EE-9AB4-D93FC496C9F6}" name="ability"/>
    <tableColumn id="2" xr3:uid="{EC435F40-A36E-4F61-839F-EBA7015FCF90}" name="takes" dataDxfId="55">
      <calculatedColumnFormula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calculatedColumnFormula>
    </tableColumn>
    <tableColumn id="3" xr3:uid="{99F6E76E-8F6B-46FC-B29B-820E84676126}" name="wins" dataDxfId="54">
      <calculatedColumnFormula>COUNTIF(Scenario4[winner1-ability2],AvengerAbilities2Scenario4336[[#This Row],[ability]])</calculatedColumnFormula>
    </tableColumn>
    <tableColumn id="4" xr3:uid="{3F328C44-B1E2-4305-A897-2BFA570B22AA}" name="battles-take-rate" dataDxfId="53">
      <calculatedColumnFormula>IF(SUM(AvengerAbilities2Scenario4336[[#This Row],[takes]]) &gt; 0,AvengerAbilities2Scenario4336[[#This Row],[takes]]/SUM(AvengerAbilities2Scenario4336[takes]),0)</calculatedColumnFormula>
    </tableColumn>
    <tableColumn id="5" xr3:uid="{38898A50-5957-49D4-9803-567D1355CE10}" name="take-win-rate" dataDxfId="52">
      <calculatedColumnFormula>IF(AvengerAbilities2Scenario4336[[#This Row],[takes]]&gt;0,AvengerAbilities2Scenario4336[[#This Row],[wins]]/AvengerAbilities2Scenario4336[[#This Row],[takes]],0)</calculatedColumnFormula>
    </tableColumn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2AC0B0D7-09CB-41E1-8A7D-396002F73481}" name="AvengerAbilities3Scenario4337" displayName="AvengerAbilities3Scenario4337" ref="L96:P99" totalsRowShown="0" headerRowDxfId="51" headerRowBorderDxfId="50" tableBorderDxfId="49" totalsRowBorderDxfId="48">
  <autoFilter ref="L96:P99" xr:uid="{73CD5CF4-EB8D-4510-9AD9-31A7E1F0585E}"/>
  <tableColumns count="5">
    <tableColumn id="1" xr3:uid="{47C04BDC-4D37-405A-A4FC-4592A41D01E5}" name="ability"/>
    <tableColumn id="2" xr3:uid="{DD443CBF-9EE0-4186-8994-E139F58D1D64}" name="takes" dataDxfId="47">
      <calculatedColumnFormula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calculatedColumnFormula>
    </tableColumn>
    <tableColumn id="3" xr3:uid="{BBB975F7-AFA9-41A9-B2A2-FA41A36E14AB}" name="wins" dataDxfId="46">
      <calculatedColumnFormula>COUNTIF(Scenario4[winner1-ability3],AvengerAbilities3Scenario4337[[#This Row],[ability]])</calculatedColumnFormula>
    </tableColumn>
    <tableColumn id="4" xr3:uid="{8BE0E628-071A-4B10-8710-4E6CEBBD3521}" name="battles-take-rate" dataDxfId="45">
      <calculatedColumnFormula>IF(SUM(AvengerAbilities3Scenario4337[[#This Row],[takes]]) &gt; 0,AvengerAbilities3Scenario4337[[#This Row],[takes]]/SUM(AvengerAbilities3Scenario4337[takes]),0)</calculatedColumnFormula>
    </tableColumn>
    <tableColumn id="5" xr3:uid="{E7F0888D-8126-4F3E-BC9D-9F8560135B16}" name="take-win-rate" dataDxfId="44">
      <calculatedColumnFormula>IF(AvengerAbilities3Scenario4337[[#This Row],[takes]]&gt;0,AvengerAbilities3Scenario4337[[#This Row],[wins]]/AvengerAbilities3Scenario4337[[#This Row],[takes]],0)</calculatedColumnFormula>
    </tableColumn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20237B98-D2A9-4B22-8BD7-D40D4FDD0180}" name="AvengerAbilities4Scenario4338" displayName="AvengerAbilities4Scenario4338" ref="L101:P104" totalsRowShown="0" headerRowDxfId="43" headerRowBorderDxfId="42" tableBorderDxfId="41" totalsRowBorderDxfId="40">
  <autoFilter ref="L101:P104" xr:uid="{E0C2D5AA-63BE-4431-96B6-ED61F1B43B2C}"/>
  <tableColumns count="5">
    <tableColumn id="1" xr3:uid="{FAABDA20-4060-4702-B3CE-C325D8A799F4}" name="ability" dataDxfId="39"/>
    <tableColumn id="2" xr3:uid="{2CD457A0-E655-45A2-AFE4-4C8FDADACF85}" name="takes" dataDxfId="38">
      <calculatedColumnFormula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calculatedColumnFormula>
    </tableColumn>
    <tableColumn id="3" xr3:uid="{45EE5FDF-6286-4429-B307-E2A12BF152D4}" name="wins" dataDxfId="37">
      <calculatedColumnFormula>COUNTIF(Scenario4[winner1-ability4],AvengerAbilities4Scenario4338[[#This Row],[ability]])</calculatedColumnFormula>
    </tableColumn>
    <tableColumn id="4" xr3:uid="{05B7E83F-124A-4586-8FAA-C18DD706C39B}" name="battles-take-rate" dataDxfId="36">
      <calculatedColumnFormula>IF(SUM(AvengerAbilities4Scenario4338[[#This Row],[takes]]) &gt; 0,AvengerAbilities4Scenario4338[[#This Row],[takes]]/SUM(AvengerAbilities4Scenario4338[takes]),0)</calculatedColumnFormula>
    </tableColumn>
    <tableColumn id="5" xr3:uid="{EEC85C4D-9654-414A-A516-C6A1FB384079}" name="take-win-rate" dataDxfId="35">
      <calculatedColumnFormula>IF(AvengerAbilities4Scenario4338[[#This Row],[takes]]&gt;0,AvengerAbilities4Scenario4338[[#This Row],[wins]]/AvengerAbilities4Scenario4338[[#This Row],[takes]],0)</calculatedColumnFormula>
    </tableColumn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3A0D3C27-D8A8-4459-B54D-938278D60E08}" name="AvengerEquipScenario4339" displayName="AvengerEquipScenario4339" ref="R86:U89" totalsRowShown="0">
  <autoFilter ref="R86:U89" xr:uid="{C0AB1F27-C48F-49FC-A367-088923D74917}"/>
  <tableColumns count="4">
    <tableColumn id="1" xr3:uid="{0F8FE760-B106-4841-8132-79DA3D35FFC8}" name="level"/>
    <tableColumn id="2" xr3:uid="{5C24CB61-2DE1-4B5D-908C-3B7C39637DE1}" name="kopis" dataDxfId="34">
      <calculatedColumnFormula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calculatedColumnFormula>
    </tableColumn>
    <tableColumn id="3" xr3:uid="{A0C91939-8AF5-44B8-8954-E5A1B9CF18EC}" name="gun" dataDxfId="33">
      <calculatedColumnFormula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calculatedColumnFormula>
    </tableColumn>
    <tableColumn id="4" xr3:uid="{D223AE86-0DC8-40A7-8CF3-3E63A7F321D8}" name="chestpiece" dataDxfId="32">
      <calculatedColumnFormula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calculatedColumnFormula>
    </tableColumn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973D9C16-BDBD-4318-8B7E-56A722383658}" name="AvengerAbilities1Scenario5340" displayName="AvengerAbilities1Scenario5340" ref="L107:P110" totalsRowShown="0">
  <autoFilter ref="L107:P110" xr:uid="{A63FB71A-E28D-4CA6-97AB-031ADA5AAAE2}"/>
  <tableColumns count="5">
    <tableColumn id="2" xr3:uid="{47CE7D81-B52E-4AAF-B850-140FE0ABC00F}" name="ability"/>
    <tableColumn id="6" xr3:uid="{0F885D62-B2F4-47F5-899F-95BCA8FC1E83}" name="takes" dataDxfId="31">
      <calculatedColumnFormula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calculatedColumnFormula>
    </tableColumn>
    <tableColumn id="4" xr3:uid="{09856947-F4B0-4E67-A1DE-46437A0D40C2}" name="wins" dataDxfId="30">
      <calculatedColumnFormula>COUNTIF(Scenario5[winner1-ability1],AvengerAbilities1Scenario5340[[#This Row],[ability]])+COUNTIF(Scenario5[winner2-ability1],AvengerAbilities1Scenario5340[[#This Row],[ability]])</calculatedColumnFormula>
    </tableColumn>
    <tableColumn id="5" xr3:uid="{8C2C4069-196B-4F1C-872C-4A30706488D8}" name="battles-take-rate" dataDxfId="29">
      <calculatedColumnFormula>IF(SUM(AvengerAbilities1Scenario5340[[#This Row],[takes]]) &gt; 0,AvengerAbilities1Scenario5340[[#This Row],[takes]]/SUM(AvengerAbilities1Scenario5340[takes]),0)</calculatedColumnFormula>
    </tableColumn>
    <tableColumn id="7" xr3:uid="{09C142BD-6D0F-46EB-A20B-D559C021C7A3}" name="take-win-rate" dataDxfId="28">
      <calculatedColumnFormula>IF(AvengerAbilities1Scenario5340[[#This Row],[takes]]&gt;0,AvengerAbilities1Scenario5340[[#This Row],[wins]]/AvengerAbilities1Scenario5340[[#This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885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884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883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232CEE4E-8F87-4E2A-ABA7-8491F9A8EDFE}" name="AvengerAbilities2Scenario5341" displayName="AvengerAbilities2Scenario5341" ref="L112:P115" totalsRowShown="0" headerRowDxfId="27" headerRowBorderDxfId="26" tableBorderDxfId="25" totalsRowBorderDxfId="24">
  <autoFilter ref="L112:P115" xr:uid="{C98A1175-5CEA-4F11-8BEB-DB6DE0ABD439}"/>
  <tableColumns count="5">
    <tableColumn id="1" xr3:uid="{83740E72-1EB8-4326-A1B1-9C3BF17C4AE6}" name="ability"/>
    <tableColumn id="2" xr3:uid="{543A18ED-DE1A-4272-B079-F06D5BF86E0A}" name="takes" dataDxfId="23">
      <calculatedColumnFormula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calculatedColumnFormula>
    </tableColumn>
    <tableColumn id="3" xr3:uid="{B81FF28F-F259-4CB9-AEE2-EE660619B8DE}" name="wins" dataDxfId="22">
      <calculatedColumnFormula>COUNTIF(Scenario5[winner1-ability2],AvengerAbilities2Scenario5341[[#This Row],[ability]])+COUNTIF(Scenario5[winner2-ability2],AvengerAbilities2Scenario5341[[#This Row],[ability]])</calculatedColumnFormula>
    </tableColumn>
    <tableColumn id="4" xr3:uid="{CA2C5F1E-B713-454B-A4E6-7425DA063041}" name="battles-take-rate" dataDxfId="21">
      <calculatedColumnFormula>IF(SUM(AvengerAbilities2Scenario5341[[#This Row],[takes]]) &gt; 0,AvengerAbilities2Scenario5341[[#This Row],[takes]]/SUM(AvengerAbilities2Scenario5341[takes]),0)</calculatedColumnFormula>
    </tableColumn>
    <tableColumn id="5" xr3:uid="{7AAFA192-B5C6-4DA4-A5F9-401A391D6BA8}" name="take-win-rate" dataDxfId="20">
      <calculatedColumnFormula>IF(AvengerAbilities2Scenario5341[[#This Row],[takes]]&gt;0,AvengerAbilities2Scenario5341[[#This Row],[wins]]/AvengerAbilities2Scenario5341[[#This Row],[takes]],0)</calculatedColumnFormula>
    </tableColumn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557D9542-F5C4-41EA-A533-AF1894614420}" name="AvengerAbilities3Scenario5342" displayName="AvengerAbilities3Scenario5342" ref="L117:P120" totalsRowShown="0" headerRowDxfId="19" headerRowBorderDxfId="18" tableBorderDxfId="17" totalsRowBorderDxfId="16">
  <autoFilter ref="L117:P120" xr:uid="{AB91CA97-A290-47BB-8CFE-C37C508952F2}"/>
  <tableColumns count="5">
    <tableColumn id="1" xr3:uid="{35642A02-8858-489C-B45D-CAB6FFAFC276}" name="ability"/>
    <tableColumn id="2" xr3:uid="{21B1382A-DA76-42A9-BC4B-F19DCA771CED}" name="takes" dataDxfId="15">
      <calculatedColumnFormula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calculatedColumnFormula>
    </tableColumn>
    <tableColumn id="3" xr3:uid="{49215BDD-F8E8-4276-8E69-63F780EFA3A0}" name="wins" dataDxfId="14">
      <calculatedColumnFormula>COUNTIF(Scenario5[winner1-ability3],AvengerAbilities3Scenario5342[[#This Row],[ability]])+COUNTIF(Scenario5[winner2-ability3],AvengerAbilities3Scenario5342[[#This Row],[ability]])</calculatedColumnFormula>
    </tableColumn>
    <tableColumn id="4" xr3:uid="{7C9117D5-5A1C-413B-8615-0441CA4C1618}" name="battles-take-rate" dataDxfId="13">
      <calculatedColumnFormula>IF(SUM(AvengerAbilities3Scenario5342[[#This Row],[takes]]) &gt; 0,AvengerAbilities3Scenario5342[[#This Row],[takes]]/SUM(AvengerAbilities3Scenario5342[takes]),0)</calculatedColumnFormula>
    </tableColumn>
    <tableColumn id="5" xr3:uid="{69C97637-E92A-41A1-8033-C4A9A5291A50}" name="take-win-rate" dataDxfId="12">
      <calculatedColumnFormula>IF(AvengerAbilities3Scenario5342[[#This Row],[takes]]&gt;0,AvengerAbilities3Scenario5342[[#This Row],[wins]]/AvengerAbilities3Scenario5342[[#This Row],[takes]],0)</calculatedColumnFormula>
    </tableColumn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E2A93810-2BDB-4C86-AC2C-0E36E1AA0B83}" name="AvengerAbilities4Scenario5343" displayName="AvengerAbilities4Scenario5343" ref="L122:P125" totalsRowShown="0" headerRowDxfId="11" headerRowBorderDxfId="10" tableBorderDxfId="9" totalsRowBorderDxfId="8">
  <autoFilter ref="L122:P125" xr:uid="{F160D1D4-E2CA-4D0C-84EC-AA2A7E301211}"/>
  <tableColumns count="5">
    <tableColumn id="1" xr3:uid="{13F4CD29-8823-40DF-81F0-0EB140070855}" name="ability" dataDxfId="7"/>
    <tableColumn id="2" xr3:uid="{19703636-AB12-4F54-9CAB-DA7D91D33258}" name="takes" dataDxfId="6">
      <calculatedColumnFormula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calculatedColumnFormula>
    </tableColumn>
    <tableColumn id="3" xr3:uid="{B4D79C87-D1E7-4C48-8404-25E82620B9FD}" name="wins" dataDxfId="5">
      <calculatedColumnFormula>COUNTIF(Scenario5[winner1-ability4],AvengerAbilities4Scenario5343[[#This Row],[ability]])+COUNTIF(Scenario5[winner2-ability4],AvengerAbilities4Scenario5343[[#This Row],[ability]])</calculatedColumnFormula>
    </tableColumn>
    <tableColumn id="4" xr3:uid="{1A0CA98B-6655-486C-9E1E-D4B3E334167D}" name="battles-take-rate" dataDxfId="4">
      <calculatedColumnFormula>IF(SUM(AvengerAbilities4Scenario5343[[#This Row],[takes]]) &gt; 0,AvengerAbilities4Scenario5343[[#This Row],[takes]]/SUM(AvengerAbilities4Scenario5343[takes]),0)</calculatedColumnFormula>
    </tableColumn>
    <tableColumn id="5" xr3:uid="{ECD26B7D-0245-4CA1-9DFA-83D9AE056984}" name="take-win-rate" dataDxfId="3">
      <calculatedColumnFormula>IF(AvengerAbilities4Scenario5343[[#This Row],[takes]]&gt;0,AvengerAbilities4Scenario5343[[#This Row],[wins]]/AvengerAbilities4Scenario5343[[#This Row],[takes]],0)</calculatedColumnFormula>
    </tableColumn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34276324-F825-48CE-AF3C-C89401A6795C}" name="AvengerEquipScenario5344" displayName="AvengerEquipScenario5344" ref="R107:U110" totalsRowShown="0">
  <autoFilter ref="R107:U110" xr:uid="{90CBCC98-52A2-41AF-9A51-EA670E4041FF}"/>
  <tableColumns count="4">
    <tableColumn id="1" xr3:uid="{19A5D719-C552-455C-A241-E926633C2FEA}" name="level"/>
    <tableColumn id="2" xr3:uid="{2E67ECA5-8FF5-463B-95C4-8DFC31A298FE}" name="kopis" dataDxfId="2">
      <calculatedColumnFormula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calculatedColumnFormula>
    </tableColumn>
    <tableColumn id="3" xr3:uid="{90B04B0B-216F-4F6C-9338-7BACED58FC47}" name="gun" dataDxfId="1">
      <calculatedColumnFormula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calculatedColumnFormula>
    </tableColumn>
    <tableColumn id="4" xr3:uid="{50266A3A-20E6-4CB7-91E3-8489EC9B788E}" name="chestpiece" dataDxfId="0">
      <calculatedColumnFormula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882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881">
      <calculatedColumnFormula>COUNTIF(Scenario2[winner1-ability1],ParagonAbilities1Scenario2[[#This Row],[ability]])</calculatedColumnFormula>
    </tableColumn>
    <tableColumn id="5" xr3:uid="{B6F725F9-59F1-4BBC-88E3-95CB9FA3D9B4}" name="battles-take-rate" dataDxfId="1880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879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878" headerRowBorderDxfId="1877" tableBorderDxfId="1876" totalsRowBorderDxfId="1875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874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873">
      <calculatedColumnFormula>COUNTIF(Scenario2[winner1-ability2],ParagonAbilities2Scenario2[[#This Row],[ability]])</calculatedColumnFormula>
    </tableColumn>
    <tableColumn id="4" xr3:uid="{E051F2C9-AD26-4F86-BA73-06F989437A9B}" name="battles-take-rate" dataDxfId="1872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871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870" headerRowBorderDxfId="1869" tableBorderDxfId="1868" totalsRowBorderDxfId="1867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866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865">
      <calculatedColumnFormula>COUNTIF(Scenario2[winner1-ability3],ParagonAbilities3Scenario2[[#This Row],[ability]])</calculatedColumnFormula>
    </tableColumn>
    <tableColumn id="4" xr3:uid="{A7CC83B2-A2E6-4450-9696-B55D92586553}" name="battles-take-rate" dataDxfId="1864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863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862" headerRowBorderDxfId="1861" tableBorderDxfId="1860" totalsRowBorderDxfId="1859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858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857">
      <calculatedColumnFormula>COUNTIF(Scenario2[winner1-ability4],ParagonAbilities4Scenario2[[#This Row],[ability]])</calculatedColumnFormula>
    </tableColumn>
    <tableColumn id="4" xr3:uid="{CA8861D8-C4EC-4F7B-8C03-8907F286C5FD}" name="battles-take-rate" dataDxfId="1856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855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854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853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852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" totalsRowShown="0">
  <autoFilter ref="A1:AJ2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85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850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849">
      <calculatedColumnFormula>COUNTIF(Scenario3[winner1-ability1],ParagonAbilities1Scenario3[[#This Row],[ability]])</calculatedColumnFormula>
    </tableColumn>
    <tableColumn id="5" xr3:uid="{BF58455F-D839-40A6-B834-044CCA3A9D62}" name="battles-take-rate" dataDxfId="1848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847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846" headerRowBorderDxfId="1845" tableBorderDxfId="1844" totalsRowBorderDxfId="1843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842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841">
      <calculatedColumnFormula>COUNTIF(Scenario3[winner1-ability2],ParagonAbilities2Scenario3[[#This Row],[ability]])</calculatedColumnFormula>
    </tableColumn>
    <tableColumn id="4" xr3:uid="{A47A03CE-64B7-48DE-84FE-4869BB655C1E}" name="battles-take-rate" dataDxfId="1840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839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838" headerRowBorderDxfId="1837" tableBorderDxfId="1836" totalsRowBorderDxfId="1835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834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833">
      <calculatedColumnFormula>COUNTIF(Scenario3[winner1-ability3],ParagonAbilities3Scenario3[[#This Row],[ability]])</calculatedColumnFormula>
    </tableColumn>
    <tableColumn id="4" xr3:uid="{6962BF6D-C2E4-4653-B2E5-14FA4D687B66}" name="battles-take-rate" dataDxfId="1832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831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830" headerRowBorderDxfId="1829" tableBorderDxfId="1828" totalsRowBorderDxfId="1827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826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825">
      <calculatedColumnFormula>COUNTIF(Scenario3[winner1-ability4],ParagonAbilities4Scenario3[[#This Row],[ability]])</calculatedColumnFormula>
    </tableColumn>
    <tableColumn id="4" xr3:uid="{5564EF3F-A1E6-47F3-9245-63CBC8BF13EA}" name="battles-take-rate" dataDxfId="1824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823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822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821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820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819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818">
      <calculatedColumnFormula>COUNTIF(Scenario4[winner1-ability1],ParagonAbilities1Scenario4[[#This Row],[ability]])</calculatedColumnFormula>
    </tableColumn>
    <tableColumn id="5" xr3:uid="{A3A712DA-79C2-4E0A-B45F-24046DDDC055}" name="battles-take-rate" dataDxfId="1817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816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815" headerRowBorderDxfId="1814" tableBorderDxfId="1813" totalsRowBorderDxfId="1812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811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810">
      <calculatedColumnFormula>COUNTIF(Scenario4[winner1-ability2],ParagonAbilities2Scenario4[[#This Row],[ability]])</calculatedColumnFormula>
    </tableColumn>
    <tableColumn id="4" xr3:uid="{1F4853F6-9A8B-440D-A883-73FBA3E2B146}" name="battles-take-rate" dataDxfId="1809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808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807" headerRowBorderDxfId="1806" tableBorderDxfId="1805" totalsRowBorderDxfId="1804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803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802">
      <calculatedColumnFormula>COUNTIF(Scenario4[winner1-ability3],ParagonAbilities3Scenario4[[#This Row],[ability]])</calculatedColumnFormula>
    </tableColumn>
    <tableColumn id="4" xr3:uid="{90E5726D-20F9-4F3A-A0E6-A5A6EC87E009}" name="battles-take-rate" dataDxfId="1801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800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799" headerRowBorderDxfId="1798" tableBorderDxfId="1797" totalsRowBorderDxfId="1796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795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794">
      <calculatedColumnFormula>COUNTIF(Scenario4[winner1-ability4],ParagonAbilities4Scenario4[[#This Row],[ability]])</calculatedColumnFormula>
    </tableColumn>
    <tableColumn id="4" xr3:uid="{5FA50C4E-7E25-4F47-8E1C-377ED6B583BF}" name="battles-take-rate" dataDxfId="1793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792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380" totalsRowShown="0">
  <autoFilter ref="A2:G380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2026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2025"/>
    <tableColumn id="5" xr3:uid="{128C557E-8342-4183-B44E-301E27402F84}" name="hero-4"/>
    <tableColumn id="7" xr3:uid="{AAC6C4FD-799F-4646-B17E-E24AA4D9541B}" name="team-2-win" dataDxfId="2024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2023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791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790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789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788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787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786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785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784" headerRowBorderDxfId="1783" tableBorderDxfId="1782" totalsRowBorderDxfId="1781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780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779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778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777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776" headerRowBorderDxfId="1775" tableBorderDxfId="1774" totalsRowBorderDxfId="1773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772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771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770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769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768" headerRowBorderDxfId="1767" tableBorderDxfId="1766" totalsRowBorderDxfId="1765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764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763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762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761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760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759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758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757">
      <calculatedColumnFormula>L3+L24+L45+L66+L87+L108</calculatedColumnFormula>
    </tableColumn>
    <tableColumn id="4" xr3:uid="{6AD8A7A2-0013-4031-8DAB-5AD3D8FCB173}" name="wins" dataDxfId="1756">
      <calculatedColumnFormula>M3+M24+M45+M66+M87+M108</calculatedColumnFormula>
    </tableColumn>
    <tableColumn id="5" xr3:uid="{B3552DFB-EAFC-4577-B811-AF0F9687BA5C}" name="battles-take-rate" dataDxfId="1755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754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753" headerRowBorderDxfId="1752" tableBorderDxfId="1751" totalsRowBorderDxfId="1750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749">
      <calculatedColumnFormula>L8+L29+L50+L71+L92+L113</calculatedColumnFormula>
    </tableColumn>
    <tableColumn id="3" xr3:uid="{8FEED0FA-3268-41B1-9503-BD07DCBD59EB}" name="wins" dataDxfId="1748">
      <calculatedColumnFormula>M8+M29+M50+M71+M92+M113</calculatedColumnFormula>
    </tableColumn>
    <tableColumn id="4" xr3:uid="{791570BF-CF63-4FF3-98A5-66F96870FBA2}" name="battles-take-rate" dataDxfId="1747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746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745" headerRowBorderDxfId="1744" tableBorderDxfId="1743" totalsRowBorderDxfId="1742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741">
      <calculatedColumnFormula>L13+L34+L55+L76+L97+L118</calculatedColumnFormula>
    </tableColumn>
    <tableColumn id="3" xr3:uid="{03C77734-0BE9-4820-9770-29ACD0AF0635}" name="wins" dataDxfId="1740">
      <calculatedColumnFormula>M13+M34+M55+M76+M97+M118</calculatedColumnFormula>
    </tableColumn>
    <tableColumn id="4" xr3:uid="{FE54A2A3-BC60-46B8-89C1-8C761FDDC67F}" name="battles-take-rate" dataDxfId="1739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738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737" headerRowBorderDxfId="1736" tableBorderDxfId="1735" totalsRowBorderDxfId="1734">
  <autoFilter ref="A17:E20" xr:uid="{2AADA4A0-2F4A-4009-8ECF-0BECA693390C}"/>
  <tableColumns count="5">
    <tableColumn id="1" xr3:uid="{87950E31-BAB1-44C5-9C72-3AB67D671CA7}" name="ability" dataDxfId="1733"/>
    <tableColumn id="2" xr3:uid="{C84CD939-93B2-4F85-A4F0-569665A45FE6}" name="takes" dataDxfId="1732">
      <calculatedColumnFormula>L18+L39+L60+L81+L102+L123</calculatedColumnFormula>
    </tableColumn>
    <tableColumn id="3" xr3:uid="{6B188D82-4BD2-4FF2-8C12-D56DAEB9B117}" name="wins" dataDxfId="1731">
      <calculatedColumnFormula>M18+M39+M60+M81+M102+M123</calculatedColumnFormula>
    </tableColumn>
    <tableColumn id="4" xr3:uid="{00FCF0E9-BE21-44DD-BE30-37EA8F3BBCFF}" name="battles-take-rate" dataDxfId="1730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729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7">
  <autoFilter ref="I2:M37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2022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2021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2020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728">
      <calculatedColumnFormula>R3+R24+R45+R66+R87+R108</calculatedColumnFormula>
    </tableColumn>
    <tableColumn id="4" xr3:uid="{6BFD5C7B-4CFB-4B7D-B8E9-5C10F667B91B}" name="chestpiece" dataDxfId="172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726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725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724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723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722" headerRowBorderDxfId="1721" tableBorderDxfId="1720" totalsRowBorderDxfId="1719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718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717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716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715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714" headerRowBorderDxfId="1713" tableBorderDxfId="1712" totalsRowBorderDxfId="1711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710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709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708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707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706" headerRowBorderDxfId="1705" tableBorderDxfId="1704" totalsRowBorderDxfId="1703">
  <autoFilter ref="K17:O20" xr:uid="{01E0B516-A92C-45D4-946B-0FCF2F31D98A}"/>
  <tableColumns count="5">
    <tableColumn id="1" xr3:uid="{AA1B6D33-74EE-498E-B851-AABC093752BF}" name="ability" dataDxfId="1702"/>
    <tableColumn id="2" xr3:uid="{638C4C88-BC79-4B67-BB2F-FBF29994B680}" name="takes" dataDxfId="1701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700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699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698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697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696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695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694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693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692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691" headerRowBorderDxfId="1690" tableBorderDxfId="1689" totalsRowBorderDxfId="1688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687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686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685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684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683" headerRowBorderDxfId="1682" tableBorderDxfId="1681" totalsRowBorderDxfId="1680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679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678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677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676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675" headerRowBorderDxfId="1674" tableBorderDxfId="1673" totalsRowBorderDxfId="1672">
  <autoFilter ref="K38:O41" xr:uid="{A1F38E75-59DE-4DB4-B81C-C0322397F6F7}"/>
  <tableColumns count="5">
    <tableColumn id="1" xr3:uid="{769AEF11-64B1-48E1-81F7-44ED789A5436}" name="ability" dataDxfId="1671"/>
    <tableColumn id="2" xr3:uid="{329ABE97-FD25-4B89-85FE-EF4B7E705884}" name="takes" dataDxfId="1670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669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668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667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73" totalsRowShown="0">
  <autoFilter ref="A1:T73" xr:uid="{00000000-0009-0000-0100-000001000000}"/>
  <tableColumns count="20">
    <tableColumn id="1" xr3:uid="{936E5295-3BC3-4630-97BC-068124807D82}" name="battle" dataDxfId="2017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666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665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664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663">
      <calculatedColumnFormula>COUNTIF(Scenario2[winner1-ability1],HighlanderAbilities1Scenario2[[#This Row],[ability]])</calculatedColumnFormula>
    </tableColumn>
    <tableColumn id="5" xr3:uid="{76F1983E-CA15-4A41-958C-4EAB1B656281}" name="battles-take-rate" dataDxfId="1662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661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660" headerRowBorderDxfId="1659" tableBorderDxfId="1658" totalsRowBorderDxfId="1657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656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655">
      <calculatedColumnFormula>COUNTIF(Scenario2[winner1-ability2],HighlanderAbilities2Scenario2[[#This Row],[ability]])</calculatedColumnFormula>
    </tableColumn>
    <tableColumn id="4" xr3:uid="{CBEF0BDE-C3C4-4A23-8448-66FC7E8209FB}" name="battles-take-rate" dataDxfId="1654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653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652" headerRowBorderDxfId="1651" tableBorderDxfId="1650" totalsRowBorderDxfId="1649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648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647">
      <calculatedColumnFormula>COUNTIF(Scenario2[winner1-ability3],HighlanderAbilities3Scenario2[[#This Row],[ability]])</calculatedColumnFormula>
    </tableColumn>
    <tableColumn id="4" xr3:uid="{30063EAF-50ED-4235-8FA0-74C713EDE547}" name="battles-take-rate" dataDxfId="1646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645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644" headerRowBorderDxfId="1643" tableBorderDxfId="1642" totalsRowBorderDxfId="1641">
  <autoFilter ref="K59:O62" xr:uid="{DDB7F110-02A6-4F67-8266-251AF48CB7C0}"/>
  <tableColumns count="5">
    <tableColumn id="1" xr3:uid="{24AD3B9C-E89B-4255-AF6A-993728E1E88D}" name="ability" dataDxfId="1640"/>
    <tableColumn id="2" xr3:uid="{D8585D3A-FC34-4996-9EF2-60CC70EA9A7A}" name="takes" dataDxfId="1639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638">
      <calculatedColumnFormula>COUNTIF(Scenario2[winner1-ability4],HighlanderAbilities4Scenario2[[#This Row],[ability]])</calculatedColumnFormula>
    </tableColumn>
    <tableColumn id="4" xr3:uid="{DFED8343-DB73-48A3-85AC-08485FB0C7E7}" name="battles-take-rate" dataDxfId="1637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636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635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634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633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632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631">
      <calculatedColumnFormula>COUNTIF(Scenario3[winner1-ability1],HighlanderAbilities1Scenario3[[#This Row],[ability]])</calculatedColumnFormula>
    </tableColumn>
    <tableColumn id="5" xr3:uid="{4E705C48-ED13-47DE-B143-107CFC4A9CB6}" name="battles-take-rate" dataDxfId="1630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629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628" headerRowBorderDxfId="1627" tableBorderDxfId="1626" totalsRowBorderDxfId="1625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624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623">
      <calculatedColumnFormula>COUNTIF(Scenario3[winner1-ability2],HighlanderAbilities2Scenario3[[#This Row],[ability]])</calculatedColumnFormula>
    </tableColumn>
    <tableColumn id="4" xr3:uid="{AC2E8A6D-1967-4F4D-9C38-3C0B9FDFCCDD}" name="battles-take-rate" dataDxfId="1622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621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620" headerRowBorderDxfId="1619" tableBorderDxfId="1618" totalsRowBorderDxfId="1617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616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615">
      <calculatedColumnFormula>COUNTIF(Scenario3[winner1-ability3],HighlanderAbilities3Scenario3[[#This Row],[ability]])</calculatedColumnFormula>
    </tableColumn>
    <tableColumn id="4" xr3:uid="{7F7C697F-AC90-4790-AA3C-9EFBA9C5C3BF}" name="battles-take-rate" dataDxfId="1614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613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8" totalsRowShown="0">
  <autoFilter ref="A2:E38" xr:uid="{00000000-0009-0000-0100-000002000000}"/>
  <tableColumns count="5">
    <tableColumn id="1" xr3:uid="{93718735-18B3-4DE5-A9EA-B527E4C64D70}" name="hero-1"/>
    <tableColumn id="4" xr3:uid="{B5F2BD57-B761-44AD-ACDF-19ADDC946822}" name="team-1-win" dataDxfId="2016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2015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2014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612" headerRowBorderDxfId="1611" tableBorderDxfId="1610" totalsRowBorderDxfId="1609">
  <autoFilter ref="K80:O83" xr:uid="{52A1E26F-8C1E-4E44-A492-D2899C5A6AF6}"/>
  <tableColumns count="5">
    <tableColumn id="1" xr3:uid="{169774FB-455A-4DE4-A18D-B9D975DF3A85}" name="ability" dataDxfId="1608"/>
    <tableColumn id="2" xr3:uid="{E20A1519-EC59-41A4-BE08-D8DBEAC7CA6C}" name="takes" dataDxfId="1607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606">
      <calculatedColumnFormula>COUNTIF(Scenario3[winner1-ability4],HighlanderAbilities4Scenario3[[#This Row],[ability]])</calculatedColumnFormula>
    </tableColumn>
    <tableColumn id="4" xr3:uid="{E0060D4D-D837-469A-8126-E998C0BE67B4}" name="battles-take-rate" dataDxfId="1605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604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603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602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601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600">
      <calculatedColumnFormula>COUNTIF(Scenario4[winner1-ability1],HighlanderAbilities1Scenario4[[#This Row],[ability]])</calculatedColumnFormula>
    </tableColumn>
    <tableColumn id="5" xr3:uid="{6E0B87E2-94F5-47B4-A9C5-24FE38EC78C3}" name="battles-take-rate" dataDxfId="1599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598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597" headerRowBorderDxfId="1596" tableBorderDxfId="1595" totalsRowBorderDxfId="1594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593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592">
      <calculatedColumnFormula>COUNTIF(Scenario4[winner1-ability2],HighlanderAbilities2Scenario4[[#This Row],[ability]])</calculatedColumnFormula>
    </tableColumn>
    <tableColumn id="4" xr3:uid="{A289992E-5099-433A-839B-22BE62264AB7}" name="battles-take-rate" dataDxfId="1591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590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589" headerRowBorderDxfId="1588" tableBorderDxfId="1587" totalsRowBorderDxfId="1586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585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584">
      <calculatedColumnFormula>COUNTIF(Scenario4[winner1-ability3],HighlanderAbilities3Scenario4[[#This Row],[ability]])</calculatedColumnFormula>
    </tableColumn>
    <tableColumn id="4" xr3:uid="{C7700EEB-22A4-475D-847D-673B54FC744B}" name="battles-take-rate" dataDxfId="1583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582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581" headerRowBorderDxfId="1580" tableBorderDxfId="1579" totalsRowBorderDxfId="1578">
  <autoFilter ref="K101:O104" xr:uid="{3021A274-1944-499F-919F-F5D82E87C071}"/>
  <tableColumns count="5">
    <tableColumn id="1" xr3:uid="{6A10C915-2B4E-4171-B1A6-BA0E08BCB5E6}" name="ability" dataDxfId="1577"/>
    <tableColumn id="2" xr3:uid="{1B63CB98-3358-4BF6-B784-DAB5C7511C79}" name="takes" dataDxfId="1576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575">
      <calculatedColumnFormula>COUNTIF(Scenario4[winner1-ability4],HighlanderAbilities4Scenario4[[#This Row],[ability]])</calculatedColumnFormula>
    </tableColumn>
    <tableColumn id="4" xr3:uid="{7473A2D8-3F3F-4FFA-BAB1-C8B71D109AB0}" name="battles-take-rate" dataDxfId="1574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573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572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571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570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569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568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567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566" headerRowBorderDxfId="1565" tableBorderDxfId="1564" totalsRowBorderDxfId="1563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562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561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560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559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558" headerRowBorderDxfId="1557" tableBorderDxfId="1556" totalsRowBorderDxfId="1555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554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553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552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551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1">
  <autoFilter ref="G2:J11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2013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2012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2011" totalsRowDxfId="2010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550" headerRowBorderDxfId="1549" tableBorderDxfId="1548" totalsRowBorderDxfId="1547">
  <autoFilter ref="K122:O125" xr:uid="{865DBF38-999A-4183-A029-CB08FB30F44C}"/>
  <tableColumns count="5">
    <tableColumn id="1" xr3:uid="{41E29E68-60A8-423B-9021-7DFA08756E06}" name="ability" dataDxfId="1546"/>
    <tableColumn id="2" xr3:uid="{9CC3CC3F-42CE-4277-9DE5-B1A61D3DB62A}" name="takes" dataDxfId="1545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544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543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542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541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540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539">
      <calculatedColumnFormula>L3+L24+L45+L66+L87+L108</calculatedColumnFormula>
    </tableColumn>
    <tableColumn id="4" xr3:uid="{30745929-46B0-48D6-B955-7A2AC6D9C7E1}" name="wins" dataDxfId="1538">
      <calculatedColumnFormula>M3+M24+M45+M66+M87+M108</calculatedColumnFormula>
    </tableColumn>
    <tableColumn id="5" xr3:uid="{6D02BF52-C170-4CC1-9A86-21AB4BDB7626}" name="battles-take-rate" dataDxfId="1537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536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535" headerRowBorderDxfId="1534" tableBorderDxfId="1533" totalsRowBorderDxfId="1532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531">
      <calculatedColumnFormula>L8+L29+L50+L71+L92+L113</calculatedColumnFormula>
    </tableColumn>
    <tableColumn id="3" xr3:uid="{48DF5F5A-0975-4E8D-B144-712277591A94}" name="wins" dataDxfId="1530">
      <calculatedColumnFormula>M8+M29+M50+M71+M92+M113</calculatedColumnFormula>
    </tableColumn>
    <tableColumn id="4" xr3:uid="{268E7864-1892-40A3-BCCF-FE157CEB565E}" name="battles-take-rate" dataDxfId="1529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528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527" headerRowBorderDxfId="1526" tableBorderDxfId="1525" totalsRowBorderDxfId="1524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523">
      <calculatedColumnFormula>L13+L34+L55+L76+L97+L118</calculatedColumnFormula>
    </tableColumn>
    <tableColumn id="3" xr3:uid="{925C0493-2E5C-4E18-B248-24590FEA740E}" name="wins" dataDxfId="1522">
      <calculatedColumnFormula>M13+M34+M55+M76+M97+M118</calculatedColumnFormula>
    </tableColumn>
    <tableColumn id="4" xr3:uid="{7164F2B9-2D78-40B4-A513-E10635D154E9}" name="battles-take-rate" dataDxfId="1521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520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519" headerRowBorderDxfId="1518" tableBorderDxfId="1517" totalsRowBorderDxfId="1516">
  <autoFilter ref="A17:E20" xr:uid="{2AADA4A0-2F4A-4009-8ECF-0BECA693390C}"/>
  <tableColumns count="5">
    <tableColumn id="1" xr3:uid="{B55E8E85-9B14-4EFC-B40F-2ADF016F740F}" name="ability" dataDxfId="1515"/>
    <tableColumn id="2" xr3:uid="{076E566F-F5E9-47AA-B1B5-F3E7825F4999}" name="takes" dataDxfId="1514">
      <calculatedColumnFormula>L18+L39+L60+L81+L102+L123</calculatedColumnFormula>
    </tableColumn>
    <tableColumn id="3" xr3:uid="{322B89F0-887F-4B61-98E6-57F772ED36C6}" name="wins" dataDxfId="1513">
      <calculatedColumnFormula>M18+M39+M60+M81+M102+M123</calculatedColumnFormula>
    </tableColumn>
    <tableColumn id="4" xr3:uid="{DD000198-4098-4FC5-A3B5-6351F4B85BF2}" name="battles-take-rate" dataDxfId="1512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511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510">
      <calculatedColumnFormula>R3+R24+R45+R66+R87+R108</calculatedColumnFormula>
    </tableColumn>
    <tableColumn id="4" xr3:uid="{59B0F45B-3883-4EBA-BA1D-13246CC2FDE2}" name="chestpiece" dataDxfId="150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508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507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506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505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504" headerRowBorderDxfId="1503" tableBorderDxfId="1502" totalsRowBorderDxfId="1501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500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499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498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497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496" headerRowBorderDxfId="1495" tableBorderDxfId="1494" totalsRowBorderDxfId="1493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492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491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490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489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9.xml"/><Relationship Id="rId18" Type="http://schemas.openxmlformats.org/officeDocument/2006/relationships/table" Target="../tables/table324.xml"/><Relationship Id="rId26" Type="http://schemas.openxmlformats.org/officeDocument/2006/relationships/table" Target="../tables/table332.xml"/><Relationship Id="rId21" Type="http://schemas.openxmlformats.org/officeDocument/2006/relationships/table" Target="../tables/table327.xml"/><Relationship Id="rId34" Type="http://schemas.openxmlformats.org/officeDocument/2006/relationships/table" Target="../tables/table340.xml"/><Relationship Id="rId7" Type="http://schemas.openxmlformats.org/officeDocument/2006/relationships/table" Target="../tables/table313.xml"/><Relationship Id="rId12" Type="http://schemas.openxmlformats.org/officeDocument/2006/relationships/table" Target="../tables/table318.xml"/><Relationship Id="rId17" Type="http://schemas.openxmlformats.org/officeDocument/2006/relationships/table" Target="../tables/table323.xml"/><Relationship Id="rId25" Type="http://schemas.openxmlformats.org/officeDocument/2006/relationships/table" Target="../tables/table331.xml"/><Relationship Id="rId33" Type="http://schemas.openxmlformats.org/officeDocument/2006/relationships/table" Target="../tables/table339.xml"/><Relationship Id="rId2" Type="http://schemas.openxmlformats.org/officeDocument/2006/relationships/table" Target="../tables/table308.xml"/><Relationship Id="rId16" Type="http://schemas.openxmlformats.org/officeDocument/2006/relationships/table" Target="../tables/table322.xml"/><Relationship Id="rId20" Type="http://schemas.openxmlformats.org/officeDocument/2006/relationships/table" Target="../tables/table326.xml"/><Relationship Id="rId29" Type="http://schemas.openxmlformats.org/officeDocument/2006/relationships/table" Target="../tables/table335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312.xml"/><Relationship Id="rId11" Type="http://schemas.openxmlformats.org/officeDocument/2006/relationships/table" Target="../tables/table317.xml"/><Relationship Id="rId24" Type="http://schemas.openxmlformats.org/officeDocument/2006/relationships/table" Target="../tables/table330.xml"/><Relationship Id="rId32" Type="http://schemas.openxmlformats.org/officeDocument/2006/relationships/table" Target="../tables/table338.xml"/><Relationship Id="rId37" Type="http://schemas.openxmlformats.org/officeDocument/2006/relationships/table" Target="../tables/table343.xml"/><Relationship Id="rId5" Type="http://schemas.openxmlformats.org/officeDocument/2006/relationships/table" Target="../tables/table311.xml"/><Relationship Id="rId15" Type="http://schemas.openxmlformats.org/officeDocument/2006/relationships/table" Target="../tables/table321.xml"/><Relationship Id="rId23" Type="http://schemas.openxmlformats.org/officeDocument/2006/relationships/table" Target="../tables/table329.xml"/><Relationship Id="rId28" Type="http://schemas.openxmlformats.org/officeDocument/2006/relationships/table" Target="../tables/table334.xml"/><Relationship Id="rId36" Type="http://schemas.openxmlformats.org/officeDocument/2006/relationships/table" Target="../tables/table342.xml"/><Relationship Id="rId10" Type="http://schemas.openxmlformats.org/officeDocument/2006/relationships/table" Target="../tables/table316.xml"/><Relationship Id="rId19" Type="http://schemas.openxmlformats.org/officeDocument/2006/relationships/table" Target="../tables/table325.xml"/><Relationship Id="rId31" Type="http://schemas.openxmlformats.org/officeDocument/2006/relationships/table" Target="../tables/table337.xml"/><Relationship Id="rId4" Type="http://schemas.openxmlformats.org/officeDocument/2006/relationships/table" Target="../tables/table310.xml"/><Relationship Id="rId9" Type="http://schemas.openxmlformats.org/officeDocument/2006/relationships/table" Target="../tables/table315.xml"/><Relationship Id="rId14" Type="http://schemas.openxmlformats.org/officeDocument/2006/relationships/table" Target="../tables/table320.xml"/><Relationship Id="rId22" Type="http://schemas.openxmlformats.org/officeDocument/2006/relationships/table" Target="../tables/table328.xml"/><Relationship Id="rId27" Type="http://schemas.openxmlformats.org/officeDocument/2006/relationships/table" Target="../tables/table333.xml"/><Relationship Id="rId30" Type="http://schemas.openxmlformats.org/officeDocument/2006/relationships/table" Target="../tables/table336.xml"/><Relationship Id="rId35" Type="http://schemas.openxmlformats.org/officeDocument/2006/relationships/table" Target="../tables/table341.xml"/><Relationship Id="rId8" Type="http://schemas.openxmlformats.org/officeDocument/2006/relationships/table" Target="../tables/table314.xml"/><Relationship Id="rId3" Type="http://schemas.openxmlformats.org/officeDocument/2006/relationships/table" Target="../tables/table3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workbookViewId="0">
      <selection activeCell="C7" sqref="C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2</v>
      </c>
      <c r="C2" t="s">
        <v>48</v>
      </c>
      <c r="D2">
        <v>1</v>
      </c>
      <c r="F2">
        <v>1</v>
      </c>
      <c r="G2" t="s">
        <v>49</v>
      </c>
      <c r="H2" t="s">
        <v>84</v>
      </c>
      <c r="I2" t="s">
        <v>51</v>
      </c>
      <c r="K2" t="s">
        <v>45</v>
      </c>
      <c r="L2">
        <v>3</v>
      </c>
      <c r="N2">
        <v>2</v>
      </c>
      <c r="O2" t="s">
        <v>47</v>
      </c>
      <c r="S2" t="s">
        <v>53</v>
      </c>
      <c r="T2">
        <v>3</v>
      </c>
      <c r="U2">
        <v>3</v>
      </c>
      <c r="V2">
        <v>1</v>
      </c>
      <c r="W2" t="s">
        <v>54</v>
      </c>
      <c r="X2" t="s">
        <v>55</v>
      </c>
      <c r="AA2" t="s">
        <v>56</v>
      </c>
      <c r="AB2">
        <v>1</v>
      </c>
      <c r="AD2">
        <v>1</v>
      </c>
      <c r="AE2" t="s">
        <v>68</v>
      </c>
      <c r="AI2">
        <v>10</v>
      </c>
      <c r="AJ2">
        <v>38</v>
      </c>
    </row>
  </sheetData>
  <phoneticPr fontId="3" type="noConversion"/>
  <conditionalFormatting sqref="B1:B1048576">
    <cfRule type="duplicateValues" dxfId="2039" priority="1"/>
  </conditionalFormatting>
  <conditionalFormatting sqref="A2:B2">
    <cfRule type="duplicateValues" dxfId="2038" priority="283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128"/>
  <sheetViews>
    <sheetView workbookViewId="0">
      <selection activeCell="P14" sqref="P14"/>
    </sheetView>
  </sheetViews>
  <sheetFormatPr defaultRowHeight="15" x14ac:dyDescent="0.25"/>
  <cols>
    <col min="1" max="1" width="10.5703125" bestFit="1" customWidth="1"/>
    <col min="2" max="2" width="13.5703125" customWidth="1"/>
    <col min="3" max="3" width="11.42578125" bestFit="1" customWidth="1"/>
    <col min="4" max="4" width="13.5703125" customWidth="1"/>
    <col min="5" max="5" width="11.42578125" bestFit="1" customWidth="1"/>
    <col min="6" max="6" width="13.5703125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6" t="s">
        <v>78</v>
      </c>
      <c r="B1" s="37"/>
      <c r="C1" s="37"/>
      <c r="D1" s="37"/>
      <c r="E1" s="37"/>
      <c r="F1" s="37"/>
      <c r="G1" s="37"/>
      <c r="H1" s="37"/>
      <c r="I1" s="38"/>
      <c r="K1" s="36" t="s">
        <v>82</v>
      </c>
      <c r="L1" s="37"/>
      <c r="M1" s="37"/>
      <c r="N1" s="38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0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3" s="3">
        <f>IF(ScenarioTeams4[[#This Row],[battles]],ScenarioTeams4[[#This Row],[wins]]/ScenarioTeams4[[#This Row],[battles]],0)</f>
        <v>0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</v>
      </c>
      <c r="N4" s="3">
        <f>IF(ScenarioTeams4[[#This Row],[battles]],ScenarioTeams4[[#This Row],[wins]]/ScenarioTeams4[[#This Row],[battles]],0)</f>
        <v>1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0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5" s="3">
        <f>IF(ScenarioTeams4[[#This Row],[battles]],ScenarioTeams4[[#This Row],[wins]]/ScenarioTeams4[[#This Row],[battles]],0)</f>
        <v>0</v>
      </c>
      <c r="P5" s="4" t="s">
        <v>158</v>
      </c>
      <c r="Q5" s="30">
        <f>MIN(Scenario4[turns])</f>
        <v>53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0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6" s="3">
        <f>IF(ScenarioTeams4[[#This Row],[battles]],ScenarioTeams4[[#This Row],[wins]]/ScenarioTeams4[[#This Row],[battles]],0)</f>
        <v>0</v>
      </c>
      <c r="P6" s="5" t="s">
        <v>108</v>
      </c>
      <c r="Q6" s="31">
        <f>AVERAGE(Scenario4[turns])</f>
        <v>53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0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7" s="3">
        <f>IF(ScenarioTeams4[[#This Row],[battles]],ScenarioTeams4[[#This Row],[wins]]/ScenarioTeams4[[#This Row],[battles]],0)</f>
        <v>0</v>
      </c>
      <c r="P7" s="5" t="s">
        <v>160</v>
      </c>
      <c r="Q7" s="31">
        <f>MAX(Scenario4[turns])</f>
        <v>53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48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232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0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8" s="3">
        <f>IF(ScenarioTeams4[[#This Row],[battles]],ScenarioTeams4[[#This Row],[wins]]/ScenarioTeams4[[#This Row],[battles]],0)</f>
        <v>0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43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0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9" s="3">
        <f>IF(ScenarioTeams4[[#This Row],[battles]],ScenarioTeams4[[#This Row],[wins]]/ScenarioTeams4[[#This Row],[battles]],0)</f>
        <v>0</v>
      </c>
      <c r="P9" s="4" t="s">
        <v>185</v>
      </c>
      <c r="Q9" s="30">
        <f>120000*$Q$6/1000/60</f>
        <v>106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45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0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0" s="3">
        <f>IF(ScenarioTeams4[[#This Row],[battles]],ScenarioTeams4[[#This Row],[wins]]/ScenarioTeams4[[#This Row],[battles]],0)</f>
        <v>0</v>
      </c>
      <c r="P10" s="5" t="s">
        <v>186</v>
      </c>
      <c r="Q10" s="6">
        <f>Q9*COUNTA(ScenarioStat4[hero-1])/60/24*2</f>
        <v>18.55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63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0</v>
      </c>
      <c r="K11" t="s">
        <v>232</v>
      </c>
      <c r="L11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1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1" s="3">
        <f>IF(ScenarioTeams4[[#This Row],[battles]],ScenarioTeams4[[#This Row],[wins]]/ScenarioTeams4[[#This Row],[battles]],0)</f>
        <v>0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33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38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0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33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232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0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45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0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43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0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43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0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43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232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0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56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45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63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0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56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45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38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0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56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45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232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0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56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63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0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56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63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232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0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56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38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232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0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33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43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0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33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45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0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33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63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0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33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0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48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33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232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0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48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45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0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48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63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0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48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43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38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0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48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43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232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0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48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45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63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0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48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38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0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48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232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0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48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0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48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232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0</v>
      </c>
    </row>
    <row r="38" spans="1:9" x14ac:dyDescent="0.25">
      <c r="A38" t="s">
        <v>53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38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232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0</v>
      </c>
    </row>
    <row r="39" spans="1:9" x14ac:dyDescent="0.25">
      <c r="A39" t="s">
        <v>53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33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43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0</v>
      </c>
    </row>
    <row r="40" spans="1:9" x14ac:dyDescent="0.25">
      <c r="A40" t="s">
        <v>53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33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43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0</v>
      </c>
    </row>
    <row r="41" spans="1:9" x14ac:dyDescent="0.25">
      <c r="A41" t="s">
        <v>53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33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43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0</v>
      </c>
    </row>
    <row r="42" spans="1:9" x14ac:dyDescent="0.25">
      <c r="A42" t="s">
        <v>53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33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232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0</v>
      </c>
    </row>
    <row r="43" spans="1:9" x14ac:dyDescent="0.25">
      <c r="A43" t="s">
        <v>53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33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45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0</v>
      </c>
    </row>
    <row r="44" spans="1:9" x14ac:dyDescent="0.25">
      <c r="A44" t="s">
        <v>53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33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45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0</v>
      </c>
    </row>
    <row r="45" spans="1:9" x14ac:dyDescent="0.25">
      <c r="A45" t="s">
        <v>53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33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232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0</v>
      </c>
    </row>
    <row r="46" spans="1:9" x14ac:dyDescent="0.25">
      <c r="A46" t="s">
        <v>53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33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63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0</v>
      </c>
    </row>
    <row r="47" spans="1:9" x14ac:dyDescent="0.25">
      <c r="A47" t="s">
        <v>53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33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232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0</v>
      </c>
    </row>
    <row r="48" spans="1:9" x14ac:dyDescent="0.25">
      <c r="A48" t="s">
        <v>53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38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232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0</v>
      </c>
    </row>
    <row r="49" spans="1:9" x14ac:dyDescent="0.25">
      <c r="A49" t="s">
        <v>53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43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45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0</v>
      </c>
    </row>
    <row r="50" spans="1:9" x14ac:dyDescent="0.25">
      <c r="A50" t="s">
        <v>53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43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45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0</v>
      </c>
    </row>
    <row r="51" spans="1:9" x14ac:dyDescent="0.25">
      <c r="A51" t="s">
        <v>53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43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232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0</v>
      </c>
    </row>
    <row r="52" spans="1:9" x14ac:dyDescent="0.25">
      <c r="A52" t="s">
        <v>53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43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63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0</v>
      </c>
    </row>
    <row r="53" spans="1:9" x14ac:dyDescent="0.25">
      <c r="A53" t="s">
        <v>53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43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232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0</v>
      </c>
    </row>
    <row r="54" spans="1:9" x14ac:dyDescent="0.25">
      <c r="A54" t="s">
        <v>53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38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232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0</v>
      </c>
    </row>
    <row r="55" spans="1:9" x14ac:dyDescent="0.25">
      <c r="A55" t="s">
        <v>53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45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63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0</v>
      </c>
    </row>
    <row r="56" spans="1:9" x14ac:dyDescent="0.25">
      <c r="A56" t="s">
        <v>53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45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232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0</v>
      </c>
    </row>
    <row r="57" spans="1:9" x14ac:dyDescent="0.25">
      <c r="A57" t="s">
        <v>53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38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232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0</v>
      </c>
    </row>
    <row r="58" spans="1:9" x14ac:dyDescent="0.25">
      <c r="A58" t="s">
        <v>53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63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38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232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0</v>
      </c>
    </row>
    <row r="59" spans="1:9" x14ac:dyDescent="0.25">
      <c r="A59" t="s">
        <v>56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48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33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43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0</v>
      </c>
    </row>
    <row r="60" spans="1:9" x14ac:dyDescent="0.25">
      <c r="A60" t="s">
        <v>56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48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33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45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0</v>
      </c>
    </row>
    <row r="61" spans="1:9" x14ac:dyDescent="0.25">
      <c r="A61" t="s">
        <v>56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48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33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0</v>
      </c>
    </row>
    <row r="62" spans="1:9" x14ac:dyDescent="0.25">
      <c r="A62" t="s">
        <v>56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48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33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0</v>
      </c>
    </row>
    <row r="63" spans="1:9" x14ac:dyDescent="0.25">
      <c r="A63" t="s">
        <v>56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48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33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232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0</v>
      </c>
    </row>
    <row r="64" spans="1:9" x14ac:dyDescent="0.25">
      <c r="A64" t="s">
        <v>56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48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43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45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0</v>
      </c>
    </row>
    <row r="65" spans="1:9" x14ac:dyDescent="0.25">
      <c r="A65" t="s">
        <v>56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48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43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63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0</v>
      </c>
    </row>
    <row r="66" spans="1:9" x14ac:dyDescent="0.25">
      <c r="A66" t="s">
        <v>56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48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43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0</v>
      </c>
    </row>
    <row r="67" spans="1:9" x14ac:dyDescent="0.25">
      <c r="A67" t="s">
        <v>56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48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43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232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0</v>
      </c>
    </row>
    <row r="68" spans="1:9" x14ac:dyDescent="0.25">
      <c r="A68" t="s">
        <v>56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48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0</v>
      </c>
    </row>
    <row r="69" spans="1:9" x14ac:dyDescent="0.25">
      <c r="A69" t="s">
        <v>56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48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0</v>
      </c>
    </row>
    <row r="70" spans="1:9" x14ac:dyDescent="0.25">
      <c r="A70" t="s">
        <v>56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48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45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232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0</v>
      </c>
    </row>
    <row r="71" spans="1:9" x14ac:dyDescent="0.25">
      <c r="A71" t="s">
        <v>56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48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0</v>
      </c>
    </row>
    <row r="72" spans="1:9" x14ac:dyDescent="0.25">
      <c r="A72" t="s">
        <v>56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48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232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0</v>
      </c>
    </row>
    <row r="73" spans="1:9" x14ac:dyDescent="0.25">
      <c r="A73" t="s">
        <v>56</v>
      </c>
      <c r="B7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3" t="s">
        <v>48</v>
      </c>
      <c r="D7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3" t="s">
        <v>38</v>
      </c>
      <c r="F7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3" t="s">
        <v>232</v>
      </c>
      <c r="H7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3">
        <f>ScenarioStat4[[#This Row],[team-1-win]]+ScenarioStat4[[#This Row],[team-2-win]]+ScenarioStat4[[#This Row],[team-3-win]]+ScenarioStat4[[#This Row],[team-4-win]]</f>
        <v>0</v>
      </c>
    </row>
    <row r="74" spans="1:9" x14ac:dyDescent="0.25">
      <c r="A74" t="s">
        <v>56</v>
      </c>
      <c r="B7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4" t="s">
        <v>33</v>
      </c>
      <c r="D7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4" t="s">
        <v>43</v>
      </c>
      <c r="F7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4" t="s">
        <v>45</v>
      </c>
      <c r="H7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4">
        <f>ScenarioStat4[[#This Row],[team-1-win]]+ScenarioStat4[[#This Row],[team-2-win]]+ScenarioStat4[[#This Row],[team-3-win]]+ScenarioStat4[[#This Row],[team-4-win]]</f>
        <v>0</v>
      </c>
    </row>
    <row r="75" spans="1:9" x14ac:dyDescent="0.25">
      <c r="A75" t="s">
        <v>56</v>
      </c>
      <c r="B7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5" t="s">
        <v>33</v>
      </c>
      <c r="D7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5" t="s">
        <v>43</v>
      </c>
      <c r="F7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5" t="s">
        <v>63</v>
      </c>
      <c r="H7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5">
        <f>ScenarioStat4[[#This Row],[team-1-win]]+ScenarioStat4[[#This Row],[team-2-win]]+ScenarioStat4[[#This Row],[team-3-win]]+ScenarioStat4[[#This Row],[team-4-win]]</f>
        <v>0</v>
      </c>
    </row>
    <row r="76" spans="1:9" x14ac:dyDescent="0.25">
      <c r="A76" t="s">
        <v>56</v>
      </c>
      <c r="B7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6" t="s">
        <v>33</v>
      </c>
      <c r="D7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6" t="s">
        <v>43</v>
      </c>
      <c r="F7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6" t="s">
        <v>38</v>
      </c>
      <c r="H7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6">
        <f>ScenarioStat4[[#This Row],[team-1-win]]+ScenarioStat4[[#This Row],[team-2-win]]+ScenarioStat4[[#This Row],[team-3-win]]+ScenarioStat4[[#This Row],[team-4-win]]</f>
        <v>0</v>
      </c>
    </row>
    <row r="77" spans="1:9" x14ac:dyDescent="0.25">
      <c r="A77" t="s">
        <v>56</v>
      </c>
      <c r="B7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7" t="s">
        <v>33</v>
      </c>
      <c r="D7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7" t="s">
        <v>43</v>
      </c>
      <c r="F7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7" t="s">
        <v>232</v>
      </c>
      <c r="H7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7">
        <f>ScenarioStat4[[#This Row],[team-1-win]]+ScenarioStat4[[#This Row],[team-2-win]]+ScenarioStat4[[#This Row],[team-3-win]]+ScenarioStat4[[#This Row],[team-4-win]]</f>
        <v>0</v>
      </c>
    </row>
    <row r="78" spans="1:9" x14ac:dyDescent="0.25">
      <c r="A78" t="s">
        <v>56</v>
      </c>
      <c r="B7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8" t="s">
        <v>33</v>
      </c>
      <c r="D7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8" t="s">
        <v>45</v>
      </c>
      <c r="F7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8" t="s">
        <v>63</v>
      </c>
      <c r="H7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8">
        <f>ScenarioStat4[[#This Row],[team-1-win]]+ScenarioStat4[[#This Row],[team-2-win]]+ScenarioStat4[[#This Row],[team-3-win]]+ScenarioStat4[[#This Row],[team-4-win]]</f>
        <v>0</v>
      </c>
    </row>
    <row r="79" spans="1:9" x14ac:dyDescent="0.25">
      <c r="A79" t="s">
        <v>56</v>
      </c>
      <c r="B7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9" t="s">
        <v>33</v>
      </c>
      <c r="D7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9" t="s">
        <v>45</v>
      </c>
      <c r="F7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9" t="s">
        <v>38</v>
      </c>
      <c r="H7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9">
        <f>ScenarioStat4[[#This Row],[team-1-win]]+ScenarioStat4[[#This Row],[team-2-win]]+ScenarioStat4[[#This Row],[team-3-win]]+ScenarioStat4[[#This Row],[team-4-win]]</f>
        <v>0</v>
      </c>
    </row>
    <row r="80" spans="1:9" x14ac:dyDescent="0.25">
      <c r="A80" t="s">
        <v>56</v>
      </c>
      <c r="B8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0" t="s">
        <v>33</v>
      </c>
      <c r="D8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0" t="s">
        <v>45</v>
      </c>
      <c r="F8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0" t="s">
        <v>232</v>
      </c>
      <c r="H8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0">
        <f>ScenarioStat4[[#This Row],[team-1-win]]+ScenarioStat4[[#This Row],[team-2-win]]+ScenarioStat4[[#This Row],[team-3-win]]+ScenarioStat4[[#This Row],[team-4-win]]</f>
        <v>0</v>
      </c>
    </row>
    <row r="81" spans="1:9" x14ac:dyDescent="0.25">
      <c r="A81" t="s">
        <v>56</v>
      </c>
      <c r="B8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1" t="s">
        <v>33</v>
      </c>
      <c r="D8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1" t="s">
        <v>63</v>
      </c>
      <c r="F8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1" t="s">
        <v>38</v>
      </c>
      <c r="H8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1">
        <f>ScenarioStat4[[#This Row],[team-1-win]]+ScenarioStat4[[#This Row],[team-2-win]]+ScenarioStat4[[#This Row],[team-3-win]]+ScenarioStat4[[#This Row],[team-4-win]]</f>
        <v>0</v>
      </c>
    </row>
    <row r="82" spans="1:9" x14ac:dyDescent="0.25">
      <c r="A82" t="s">
        <v>56</v>
      </c>
      <c r="B8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2" t="s">
        <v>33</v>
      </c>
      <c r="D8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2" t="s">
        <v>63</v>
      </c>
      <c r="F8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2" t="s">
        <v>232</v>
      </c>
      <c r="H8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2">
        <f>ScenarioStat4[[#This Row],[team-1-win]]+ScenarioStat4[[#This Row],[team-2-win]]+ScenarioStat4[[#This Row],[team-3-win]]+ScenarioStat4[[#This Row],[team-4-win]]</f>
        <v>0</v>
      </c>
    </row>
    <row r="83" spans="1:9" x14ac:dyDescent="0.25">
      <c r="A83" t="s">
        <v>56</v>
      </c>
      <c r="B8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3" t="s">
        <v>33</v>
      </c>
      <c r="D8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3" t="s">
        <v>38</v>
      </c>
      <c r="F8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3" t="s">
        <v>232</v>
      </c>
      <c r="H8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3">
        <f>ScenarioStat4[[#This Row],[team-1-win]]+ScenarioStat4[[#This Row],[team-2-win]]+ScenarioStat4[[#This Row],[team-3-win]]+ScenarioStat4[[#This Row],[team-4-win]]</f>
        <v>0</v>
      </c>
    </row>
    <row r="84" spans="1:9" x14ac:dyDescent="0.25">
      <c r="A84" t="s">
        <v>56</v>
      </c>
      <c r="B8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4" t="s">
        <v>43</v>
      </c>
      <c r="D8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4" t="s">
        <v>45</v>
      </c>
      <c r="F8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4" t="s">
        <v>63</v>
      </c>
      <c r="H8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4">
        <f>ScenarioStat4[[#This Row],[team-1-win]]+ScenarioStat4[[#This Row],[team-2-win]]+ScenarioStat4[[#This Row],[team-3-win]]+ScenarioStat4[[#This Row],[team-4-win]]</f>
        <v>0</v>
      </c>
    </row>
    <row r="85" spans="1:9" x14ac:dyDescent="0.25">
      <c r="A85" t="s">
        <v>56</v>
      </c>
      <c r="B8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5" t="s">
        <v>43</v>
      </c>
      <c r="D8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5" t="s">
        <v>45</v>
      </c>
      <c r="F8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5" t="s">
        <v>38</v>
      </c>
      <c r="H8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5">
        <f>ScenarioStat4[[#This Row],[team-1-win]]+ScenarioStat4[[#This Row],[team-2-win]]+ScenarioStat4[[#This Row],[team-3-win]]+ScenarioStat4[[#This Row],[team-4-win]]</f>
        <v>0</v>
      </c>
    </row>
    <row r="86" spans="1:9" x14ac:dyDescent="0.25">
      <c r="A86" t="s">
        <v>56</v>
      </c>
      <c r="B8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6" t="s">
        <v>43</v>
      </c>
      <c r="D8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6" t="s">
        <v>45</v>
      </c>
      <c r="F8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6" t="s">
        <v>232</v>
      </c>
      <c r="H8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6">
        <f>ScenarioStat4[[#This Row],[team-1-win]]+ScenarioStat4[[#This Row],[team-2-win]]+ScenarioStat4[[#This Row],[team-3-win]]+ScenarioStat4[[#This Row],[team-4-win]]</f>
        <v>0</v>
      </c>
    </row>
    <row r="87" spans="1:9" x14ac:dyDescent="0.25">
      <c r="A87" t="s">
        <v>56</v>
      </c>
      <c r="B8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7" t="s">
        <v>43</v>
      </c>
      <c r="D8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7" t="s">
        <v>63</v>
      </c>
      <c r="F8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7" t="s">
        <v>38</v>
      </c>
      <c r="H8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7">
        <f>ScenarioStat4[[#This Row],[team-1-win]]+ScenarioStat4[[#This Row],[team-2-win]]+ScenarioStat4[[#This Row],[team-3-win]]+ScenarioStat4[[#This Row],[team-4-win]]</f>
        <v>0</v>
      </c>
    </row>
    <row r="88" spans="1:9" x14ac:dyDescent="0.25">
      <c r="A88" t="s">
        <v>56</v>
      </c>
      <c r="B8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8" t="s">
        <v>43</v>
      </c>
      <c r="D8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8" t="s">
        <v>63</v>
      </c>
      <c r="F8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8" t="s">
        <v>232</v>
      </c>
      <c r="H8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8">
        <f>ScenarioStat4[[#This Row],[team-1-win]]+ScenarioStat4[[#This Row],[team-2-win]]+ScenarioStat4[[#This Row],[team-3-win]]+ScenarioStat4[[#This Row],[team-4-win]]</f>
        <v>0</v>
      </c>
    </row>
    <row r="89" spans="1:9" x14ac:dyDescent="0.25">
      <c r="A89" t="s">
        <v>56</v>
      </c>
      <c r="B8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9" t="s">
        <v>43</v>
      </c>
      <c r="D8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9" t="s">
        <v>38</v>
      </c>
      <c r="F8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9" t="s">
        <v>232</v>
      </c>
      <c r="H8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9">
        <f>ScenarioStat4[[#This Row],[team-1-win]]+ScenarioStat4[[#This Row],[team-2-win]]+ScenarioStat4[[#This Row],[team-3-win]]+ScenarioStat4[[#This Row],[team-4-win]]</f>
        <v>0</v>
      </c>
    </row>
    <row r="90" spans="1:9" x14ac:dyDescent="0.25">
      <c r="A90" t="s">
        <v>56</v>
      </c>
      <c r="B9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0" t="s">
        <v>45</v>
      </c>
      <c r="D9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0" t="s">
        <v>63</v>
      </c>
      <c r="F9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0" t="s">
        <v>38</v>
      </c>
      <c r="H9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0">
        <f>ScenarioStat4[[#This Row],[team-1-win]]+ScenarioStat4[[#This Row],[team-2-win]]+ScenarioStat4[[#This Row],[team-3-win]]+ScenarioStat4[[#This Row],[team-4-win]]</f>
        <v>0</v>
      </c>
    </row>
    <row r="91" spans="1:9" x14ac:dyDescent="0.25">
      <c r="A91" t="s">
        <v>56</v>
      </c>
      <c r="B9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1" t="s">
        <v>45</v>
      </c>
      <c r="D9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1" t="s">
        <v>63</v>
      </c>
      <c r="F9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1" t="s">
        <v>232</v>
      </c>
      <c r="H9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1">
        <f>ScenarioStat4[[#This Row],[team-1-win]]+ScenarioStat4[[#This Row],[team-2-win]]+ScenarioStat4[[#This Row],[team-3-win]]+ScenarioStat4[[#This Row],[team-4-win]]</f>
        <v>0</v>
      </c>
    </row>
    <row r="92" spans="1:9" x14ac:dyDescent="0.25">
      <c r="A92" t="s">
        <v>56</v>
      </c>
      <c r="B9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2" t="s">
        <v>45</v>
      </c>
      <c r="D9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2" t="s">
        <v>38</v>
      </c>
      <c r="F9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2" t="s">
        <v>232</v>
      </c>
      <c r="H9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2">
        <f>ScenarioStat4[[#This Row],[team-1-win]]+ScenarioStat4[[#This Row],[team-2-win]]+ScenarioStat4[[#This Row],[team-3-win]]+ScenarioStat4[[#This Row],[team-4-win]]</f>
        <v>0</v>
      </c>
    </row>
    <row r="93" spans="1:9" x14ac:dyDescent="0.25">
      <c r="A93" t="s">
        <v>56</v>
      </c>
      <c r="B9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3" t="s">
        <v>63</v>
      </c>
      <c r="D9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3" t="s">
        <v>38</v>
      </c>
      <c r="F9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3" t="s">
        <v>232</v>
      </c>
      <c r="H9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3">
        <f>ScenarioStat4[[#This Row],[team-1-win]]+ScenarioStat4[[#This Row],[team-2-win]]+ScenarioStat4[[#This Row],[team-3-win]]+ScenarioStat4[[#This Row],[team-4-win]]</f>
        <v>0</v>
      </c>
    </row>
    <row r="94" spans="1:9" x14ac:dyDescent="0.25">
      <c r="A94" t="s">
        <v>48</v>
      </c>
      <c r="B9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4" t="s">
        <v>33</v>
      </c>
      <c r="D9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4" t="s">
        <v>43</v>
      </c>
      <c r="F9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4" t="s">
        <v>45</v>
      </c>
      <c r="H9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4">
        <f>ScenarioStat4[[#This Row],[team-1-win]]+ScenarioStat4[[#This Row],[team-2-win]]+ScenarioStat4[[#This Row],[team-3-win]]+ScenarioStat4[[#This Row],[team-4-win]]</f>
        <v>0</v>
      </c>
    </row>
    <row r="95" spans="1:9" x14ac:dyDescent="0.25">
      <c r="A95" t="s">
        <v>48</v>
      </c>
      <c r="B9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5" t="s">
        <v>33</v>
      </c>
      <c r="D9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5" t="s">
        <v>43</v>
      </c>
      <c r="F9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5" t="s">
        <v>63</v>
      </c>
      <c r="H9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5">
        <f>ScenarioStat4[[#This Row],[team-1-win]]+ScenarioStat4[[#This Row],[team-2-win]]+ScenarioStat4[[#This Row],[team-3-win]]+ScenarioStat4[[#This Row],[team-4-win]]</f>
        <v>0</v>
      </c>
    </row>
    <row r="96" spans="1:9" x14ac:dyDescent="0.25">
      <c r="A96" t="s">
        <v>48</v>
      </c>
      <c r="B9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6" t="s">
        <v>33</v>
      </c>
      <c r="D9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6" t="s">
        <v>43</v>
      </c>
      <c r="F9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6" t="s">
        <v>38</v>
      </c>
      <c r="H9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6">
        <f>ScenarioStat4[[#This Row],[team-1-win]]+ScenarioStat4[[#This Row],[team-2-win]]+ScenarioStat4[[#This Row],[team-3-win]]+ScenarioStat4[[#This Row],[team-4-win]]</f>
        <v>0</v>
      </c>
    </row>
    <row r="97" spans="1:9" x14ac:dyDescent="0.25">
      <c r="A97" t="s">
        <v>48</v>
      </c>
      <c r="B9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7" t="s">
        <v>33</v>
      </c>
      <c r="D9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7" t="s">
        <v>43</v>
      </c>
      <c r="F9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7" t="s">
        <v>232</v>
      </c>
      <c r="H9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7">
        <f>ScenarioStat4[[#This Row],[team-1-win]]+ScenarioStat4[[#This Row],[team-2-win]]+ScenarioStat4[[#This Row],[team-3-win]]+ScenarioStat4[[#This Row],[team-4-win]]</f>
        <v>0</v>
      </c>
    </row>
    <row r="98" spans="1:9" x14ac:dyDescent="0.25">
      <c r="A98" t="s">
        <v>48</v>
      </c>
      <c r="B9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8" t="s">
        <v>33</v>
      </c>
      <c r="D9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8" t="s">
        <v>45</v>
      </c>
      <c r="F9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8" t="s">
        <v>63</v>
      </c>
      <c r="H9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8">
        <f>ScenarioStat4[[#This Row],[team-1-win]]+ScenarioStat4[[#This Row],[team-2-win]]+ScenarioStat4[[#This Row],[team-3-win]]+ScenarioStat4[[#This Row],[team-4-win]]</f>
        <v>0</v>
      </c>
    </row>
    <row r="99" spans="1:9" x14ac:dyDescent="0.25">
      <c r="A99" t="s">
        <v>48</v>
      </c>
      <c r="B9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9" t="s">
        <v>33</v>
      </c>
      <c r="D9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9" t="s">
        <v>45</v>
      </c>
      <c r="F9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9" t="s">
        <v>38</v>
      </c>
      <c r="H9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9">
        <f>ScenarioStat4[[#This Row],[team-1-win]]+ScenarioStat4[[#This Row],[team-2-win]]+ScenarioStat4[[#This Row],[team-3-win]]+ScenarioStat4[[#This Row],[team-4-win]]</f>
        <v>0</v>
      </c>
    </row>
    <row r="100" spans="1:9" x14ac:dyDescent="0.25">
      <c r="A100" t="s">
        <v>48</v>
      </c>
      <c r="B10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0" t="s">
        <v>33</v>
      </c>
      <c r="D10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0" t="s">
        <v>45</v>
      </c>
      <c r="F10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0" t="s">
        <v>232</v>
      </c>
      <c r="H10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0">
        <f>ScenarioStat4[[#This Row],[team-1-win]]+ScenarioStat4[[#This Row],[team-2-win]]+ScenarioStat4[[#This Row],[team-3-win]]+ScenarioStat4[[#This Row],[team-4-win]]</f>
        <v>0</v>
      </c>
    </row>
    <row r="101" spans="1:9" x14ac:dyDescent="0.25">
      <c r="A101" t="s">
        <v>48</v>
      </c>
      <c r="B10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1" t="s">
        <v>33</v>
      </c>
      <c r="D10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1" t="s">
        <v>63</v>
      </c>
      <c r="F10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1" t="s">
        <v>38</v>
      </c>
      <c r="H10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1">
        <f>ScenarioStat4[[#This Row],[team-1-win]]+ScenarioStat4[[#This Row],[team-2-win]]+ScenarioStat4[[#This Row],[team-3-win]]+ScenarioStat4[[#This Row],[team-4-win]]</f>
        <v>0</v>
      </c>
    </row>
    <row r="102" spans="1:9" x14ac:dyDescent="0.25">
      <c r="A102" t="s">
        <v>48</v>
      </c>
      <c r="B10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2" t="s">
        <v>33</v>
      </c>
      <c r="D10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2" t="s">
        <v>63</v>
      </c>
      <c r="F10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2" t="s">
        <v>232</v>
      </c>
      <c r="H10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2">
        <f>ScenarioStat4[[#This Row],[team-1-win]]+ScenarioStat4[[#This Row],[team-2-win]]+ScenarioStat4[[#This Row],[team-3-win]]+ScenarioStat4[[#This Row],[team-4-win]]</f>
        <v>0</v>
      </c>
    </row>
    <row r="103" spans="1:9" x14ac:dyDescent="0.25">
      <c r="A103" t="s">
        <v>48</v>
      </c>
      <c r="B10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3" t="s">
        <v>33</v>
      </c>
      <c r="D10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3" t="s">
        <v>38</v>
      </c>
      <c r="F10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3" t="s">
        <v>232</v>
      </c>
      <c r="H10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3">
        <f>ScenarioStat4[[#This Row],[team-1-win]]+ScenarioStat4[[#This Row],[team-2-win]]+ScenarioStat4[[#This Row],[team-3-win]]+ScenarioStat4[[#This Row],[team-4-win]]</f>
        <v>0</v>
      </c>
    </row>
    <row r="104" spans="1:9" x14ac:dyDescent="0.25">
      <c r="A104" t="s">
        <v>48</v>
      </c>
      <c r="B10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4" t="s">
        <v>43</v>
      </c>
      <c r="D10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4" t="s">
        <v>45</v>
      </c>
      <c r="F10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4" t="s">
        <v>63</v>
      </c>
      <c r="H10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4">
        <f>ScenarioStat4[[#This Row],[team-1-win]]+ScenarioStat4[[#This Row],[team-2-win]]+ScenarioStat4[[#This Row],[team-3-win]]+ScenarioStat4[[#This Row],[team-4-win]]</f>
        <v>0</v>
      </c>
    </row>
    <row r="105" spans="1:9" x14ac:dyDescent="0.25">
      <c r="A105" t="s">
        <v>48</v>
      </c>
      <c r="B10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5" t="s">
        <v>43</v>
      </c>
      <c r="D10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5" t="s">
        <v>45</v>
      </c>
      <c r="F10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5" t="s">
        <v>38</v>
      </c>
      <c r="H10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5">
        <f>ScenarioStat4[[#This Row],[team-1-win]]+ScenarioStat4[[#This Row],[team-2-win]]+ScenarioStat4[[#This Row],[team-3-win]]+ScenarioStat4[[#This Row],[team-4-win]]</f>
        <v>0</v>
      </c>
    </row>
    <row r="106" spans="1:9" x14ac:dyDescent="0.25">
      <c r="A106" t="s">
        <v>48</v>
      </c>
      <c r="B10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6" t="s">
        <v>43</v>
      </c>
      <c r="D10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6" t="s">
        <v>45</v>
      </c>
      <c r="F10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6" t="s">
        <v>232</v>
      </c>
      <c r="H10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6">
        <f>ScenarioStat4[[#This Row],[team-1-win]]+ScenarioStat4[[#This Row],[team-2-win]]+ScenarioStat4[[#This Row],[team-3-win]]+ScenarioStat4[[#This Row],[team-4-win]]</f>
        <v>0</v>
      </c>
    </row>
    <row r="107" spans="1:9" x14ac:dyDescent="0.25">
      <c r="A107" t="s">
        <v>48</v>
      </c>
      <c r="B10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7" t="s">
        <v>43</v>
      </c>
      <c r="D10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7" t="s">
        <v>63</v>
      </c>
      <c r="F10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7" t="s">
        <v>38</v>
      </c>
      <c r="H10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7">
        <f>ScenarioStat4[[#This Row],[team-1-win]]+ScenarioStat4[[#This Row],[team-2-win]]+ScenarioStat4[[#This Row],[team-3-win]]+ScenarioStat4[[#This Row],[team-4-win]]</f>
        <v>0</v>
      </c>
    </row>
    <row r="108" spans="1:9" x14ac:dyDescent="0.25">
      <c r="A108" t="s">
        <v>48</v>
      </c>
      <c r="B10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8" t="s">
        <v>43</v>
      </c>
      <c r="D10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8" t="s">
        <v>63</v>
      </c>
      <c r="F10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8" t="s">
        <v>232</v>
      </c>
      <c r="H10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8">
        <f>ScenarioStat4[[#This Row],[team-1-win]]+ScenarioStat4[[#This Row],[team-2-win]]+ScenarioStat4[[#This Row],[team-3-win]]+ScenarioStat4[[#This Row],[team-4-win]]</f>
        <v>0</v>
      </c>
    </row>
    <row r="109" spans="1:9" x14ac:dyDescent="0.25">
      <c r="A109" t="s">
        <v>48</v>
      </c>
      <c r="B10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9" t="s">
        <v>43</v>
      </c>
      <c r="D10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9" t="s">
        <v>38</v>
      </c>
      <c r="F10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9" t="s">
        <v>232</v>
      </c>
      <c r="H10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9">
        <f>ScenarioStat4[[#This Row],[team-1-win]]+ScenarioStat4[[#This Row],[team-2-win]]+ScenarioStat4[[#This Row],[team-3-win]]+ScenarioStat4[[#This Row],[team-4-win]]</f>
        <v>0</v>
      </c>
    </row>
    <row r="110" spans="1:9" x14ac:dyDescent="0.25">
      <c r="A110" t="s">
        <v>48</v>
      </c>
      <c r="B1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0" t="s">
        <v>45</v>
      </c>
      <c r="D1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0" t="s">
        <v>63</v>
      </c>
      <c r="F1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0" t="s">
        <v>38</v>
      </c>
      <c r="H1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0">
        <f>ScenarioStat4[[#This Row],[team-1-win]]+ScenarioStat4[[#This Row],[team-2-win]]+ScenarioStat4[[#This Row],[team-3-win]]+ScenarioStat4[[#This Row],[team-4-win]]</f>
        <v>0</v>
      </c>
    </row>
    <row r="111" spans="1:9" x14ac:dyDescent="0.25">
      <c r="A111" t="s">
        <v>48</v>
      </c>
      <c r="B1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1" t="s">
        <v>45</v>
      </c>
      <c r="D1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1" t="s">
        <v>63</v>
      </c>
      <c r="F1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1" t="s">
        <v>232</v>
      </c>
      <c r="H1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1">
        <f>ScenarioStat4[[#This Row],[team-1-win]]+ScenarioStat4[[#This Row],[team-2-win]]+ScenarioStat4[[#This Row],[team-3-win]]+ScenarioStat4[[#This Row],[team-4-win]]</f>
        <v>0</v>
      </c>
    </row>
    <row r="112" spans="1:9" x14ac:dyDescent="0.25">
      <c r="A112" t="s">
        <v>48</v>
      </c>
      <c r="B1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2" t="s">
        <v>45</v>
      </c>
      <c r="D1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2" t="s">
        <v>38</v>
      </c>
      <c r="F1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2" t="s">
        <v>232</v>
      </c>
      <c r="H1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2">
        <f>ScenarioStat4[[#This Row],[team-1-win]]+ScenarioStat4[[#This Row],[team-2-win]]+ScenarioStat4[[#This Row],[team-3-win]]+ScenarioStat4[[#This Row],[team-4-win]]</f>
        <v>0</v>
      </c>
    </row>
    <row r="113" spans="1:9" x14ac:dyDescent="0.25">
      <c r="A113" t="s">
        <v>48</v>
      </c>
      <c r="B1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3" t="s">
        <v>63</v>
      </c>
      <c r="D1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3" t="s">
        <v>38</v>
      </c>
      <c r="F1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3" t="s">
        <v>232</v>
      </c>
      <c r="H1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3">
        <f>ScenarioStat4[[#This Row],[team-1-win]]+ScenarioStat4[[#This Row],[team-2-win]]+ScenarioStat4[[#This Row],[team-3-win]]+ScenarioStat4[[#This Row],[team-4-win]]</f>
        <v>0</v>
      </c>
    </row>
    <row r="114" spans="1:9" x14ac:dyDescent="0.25">
      <c r="A114" t="s">
        <v>33</v>
      </c>
      <c r="B1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4" t="s">
        <v>43</v>
      </c>
      <c r="D1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4" t="s">
        <v>45</v>
      </c>
      <c r="F1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4" t="s">
        <v>63</v>
      </c>
      <c r="H1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4">
        <f>ScenarioStat4[[#This Row],[team-1-win]]+ScenarioStat4[[#This Row],[team-2-win]]+ScenarioStat4[[#This Row],[team-3-win]]+ScenarioStat4[[#This Row],[team-4-win]]</f>
        <v>0</v>
      </c>
    </row>
    <row r="115" spans="1:9" x14ac:dyDescent="0.25">
      <c r="A115" t="s">
        <v>33</v>
      </c>
      <c r="B1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5" t="s">
        <v>43</v>
      </c>
      <c r="D1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5" t="s">
        <v>45</v>
      </c>
      <c r="F1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5" t="s">
        <v>38</v>
      </c>
      <c r="H1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5">
        <f>ScenarioStat4[[#This Row],[team-1-win]]+ScenarioStat4[[#This Row],[team-2-win]]+ScenarioStat4[[#This Row],[team-3-win]]+ScenarioStat4[[#This Row],[team-4-win]]</f>
        <v>0</v>
      </c>
    </row>
    <row r="116" spans="1:9" x14ac:dyDescent="0.25">
      <c r="A116" t="s">
        <v>33</v>
      </c>
      <c r="B1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6" t="s">
        <v>43</v>
      </c>
      <c r="D1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6" t="s">
        <v>45</v>
      </c>
      <c r="F1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6" t="s">
        <v>232</v>
      </c>
      <c r="H1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6">
        <f>ScenarioStat4[[#This Row],[team-1-win]]+ScenarioStat4[[#This Row],[team-2-win]]+ScenarioStat4[[#This Row],[team-3-win]]+ScenarioStat4[[#This Row],[team-4-win]]</f>
        <v>0</v>
      </c>
    </row>
    <row r="117" spans="1:9" x14ac:dyDescent="0.25">
      <c r="A117" t="s">
        <v>33</v>
      </c>
      <c r="B1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7" t="s">
        <v>43</v>
      </c>
      <c r="D1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7" t="s">
        <v>63</v>
      </c>
      <c r="F1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7" t="s">
        <v>38</v>
      </c>
      <c r="H1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7">
        <f>ScenarioStat4[[#This Row],[team-1-win]]+ScenarioStat4[[#This Row],[team-2-win]]+ScenarioStat4[[#This Row],[team-3-win]]+ScenarioStat4[[#This Row],[team-4-win]]</f>
        <v>0</v>
      </c>
    </row>
    <row r="118" spans="1:9" x14ac:dyDescent="0.25">
      <c r="A118" t="s">
        <v>33</v>
      </c>
      <c r="B1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8" t="s">
        <v>43</v>
      </c>
      <c r="D1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8" t="s">
        <v>63</v>
      </c>
      <c r="F1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8" t="s">
        <v>232</v>
      </c>
      <c r="H1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8">
        <f>ScenarioStat4[[#This Row],[team-1-win]]+ScenarioStat4[[#This Row],[team-2-win]]+ScenarioStat4[[#This Row],[team-3-win]]+ScenarioStat4[[#This Row],[team-4-win]]</f>
        <v>0</v>
      </c>
    </row>
    <row r="119" spans="1:9" x14ac:dyDescent="0.25">
      <c r="A119" t="s">
        <v>33</v>
      </c>
      <c r="B1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9" t="s">
        <v>43</v>
      </c>
      <c r="D1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9" t="s">
        <v>38</v>
      </c>
      <c r="F1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9" t="s">
        <v>232</v>
      </c>
      <c r="H1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9">
        <f>ScenarioStat4[[#This Row],[team-1-win]]+ScenarioStat4[[#This Row],[team-2-win]]+ScenarioStat4[[#This Row],[team-3-win]]+ScenarioStat4[[#This Row],[team-4-win]]</f>
        <v>0</v>
      </c>
    </row>
    <row r="120" spans="1:9" x14ac:dyDescent="0.25">
      <c r="A120" t="s">
        <v>33</v>
      </c>
      <c r="B1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0" t="s">
        <v>45</v>
      </c>
      <c r="D1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0" t="s">
        <v>63</v>
      </c>
      <c r="F1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0" t="s">
        <v>38</v>
      </c>
      <c r="H1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0">
        <f>ScenarioStat4[[#This Row],[team-1-win]]+ScenarioStat4[[#This Row],[team-2-win]]+ScenarioStat4[[#This Row],[team-3-win]]+ScenarioStat4[[#This Row],[team-4-win]]</f>
        <v>0</v>
      </c>
    </row>
    <row r="121" spans="1:9" x14ac:dyDescent="0.25">
      <c r="A121" t="s">
        <v>33</v>
      </c>
      <c r="B1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1" t="s">
        <v>45</v>
      </c>
      <c r="D1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1" t="s">
        <v>63</v>
      </c>
      <c r="F1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1" t="s">
        <v>232</v>
      </c>
      <c r="H1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1">
        <f>ScenarioStat4[[#This Row],[team-1-win]]+ScenarioStat4[[#This Row],[team-2-win]]+ScenarioStat4[[#This Row],[team-3-win]]+ScenarioStat4[[#This Row],[team-4-win]]</f>
        <v>0</v>
      </c>
    </row>
    <row r="122" spans="1:9" x14ac:dyDescent="0.25">
      <c r="A122" t="s">
        <v>33</v>
      </c>
      <c r="B1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2" t="s">
        <v>45</v>
      </c>
      <c r="D1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2" t="s">
        <v>38</v>
      </c>
      <c r="F1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2" t="s">
        <v>232</v>
      </c>
      <c r="H1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2">
        <f>ScenarioStat4[[#This Row],[team-1-win]]+ScenarioStat4[[#This Row],[team-2-win]]+ScenarioStat4[[#This Row],[team-3-win]]+ScenarioStat4[[#This Row],[team-4-win]]</f>
        <v>0</v>
      </c>
    </row>
    <row r="123" spans="1:9" x14ac:dyDescent="0.25">
      <c r="A123" t="s">
        <v>33</v>
      </c>
      <c r="B1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3" t="s">
        <v>63</v>
      </c>
      <c r="D1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3" t="s">
        <v>38</v>
      </c>
      <c r="F1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3" t="s">
        <v>232</v>
      </c>
      <c r="H1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3">
        <f>ScenarioStat4[[#This Row],[team-1-win]]+ScenarioStat4[[#This Row],[team-2-win]]+ScenarioStat4[[#This Row],[team-3-win]]+ScenarioStat4[[#This Row],[team-4-win]]</f>
        <v>0</v>
      </c>
    </row>
    <row r="124" spans="1:9" x14ac:dyDescent="0.25">
      <c r="A124" t="s">
        <v>43</v>
      </c>
      <c r="B1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4" t="s">
        <v>45</v>
      </c>
      <c r="D1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4" t="s">
        <v>63</v>
      </c>
      <c r="F1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4" t="s">
        <v>38</v>
      </c>
      <c r="H1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4">
        <f>ScenarioStat4[[#This Row],[team-1-win]]+ScenarioStat4[[#This Row],[team-2-win]]+ScenarioStat4[[#This Row],[team-3-win]]+ScenarioStat4[[#This Row],[team-4-win]]</f>
        <v>0</v>
      </c>
    </row>
    <row r="125" spans="1:9" x14ac:dyDescent="0.25">
      <c r="A125" t="s">
        <v>43</v>
      </c>
      <c r="B1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5" t="s">
        <v>45</v>
      </c>
      <c r="D1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5" t="s">
        <v>63</v>
      </c>
      <c r="F1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5" t="s">
        <v>232</v>
      </c>
      <c r="H1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5">
        <f>ScenarioStat4[[#This Row],[team-1-win]]+ScenarioStat4[[#This Row],[team-2-win]]+ScenarioStat4[[#This Row],[team-3-win]]+ScenarioStat4[[#This Row],[team-4-win]]</f>
        <v>0</v>
      </c>
    </row>
    <row r="126" spans="1:9" x14ac:dyDescent="0.25">
      <c r="A126" t="s">
        <v>43</v>
      </c>
      <c r="B1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6" t="s">
        <v>45</v>
      </c>
      <c r="D1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6" t="s">
        <v>38</v>
      </c>
      <c r="F1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6" t="s">
        <v>232</v>
      </c>
      <c r="H1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6">
        <f>ScenarioStat4[[#This Row],[team-1-win]]+ScenarioStat4[[#This Row],[team-2-win]]+ScenarioStat4[[#This Row],[team-3-win]]+ScenarioStat4[[#This Row],[team-4-win]]</f>
        <v>0</v>
      </c>
    </row>
    <row r="127" spans="1:9" x14ac:dyDescent="0.25">
      <c r="A127" t="s">
        <v>43</v>
      </c>
      <c r="B1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7" t="s">
        <v>63</v>
      </c>
      <c r="D1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7" t="s">
        <v>38</v>
      </c>
      <c r="F1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7" t="s">
        <v>232</v>
      </c>
      <c r="H1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7">
        <f>ScenarioStat4[[#This Row],[team-1-win]]+ScenarioStat4[[#This Row],[team-2-win]]+ScenarioStat4[[#This Row],[team-3-win]]+ScenarioStat4[[#This Row],[team-4-win]]</f>
        <v>0</v>
      </c>
    </row>
    <row r="128" spans="1:9" x14ac:dyDescent="0.25">
      <c r="A128" t="s">
        <v>45</v>
      </c>
      <c r="B1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8" t="s">
        <v>63</v>
      </c>
      <c r="D1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8" t="s">
        <v>38</v>
      </c>
      <c r="F1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8" t="s">
        <v>232</v>
      </c>
      <c r="H1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8">
        <f>ScenarioStat4[[#This Row],[team-1-win]]+ScenarioStat4[[#This Row],[team-2-win]]+ScenarioStat4[[#This Row],[team-3-win]]+ScenarioStat4[[#This Row],[team-4-win]]</f>
        <v>0</v>
      </c>
    </row>
  </sheetData>
  <mergeCells count="2">
    <mergeCell ref="A1:I1"/>
    <mergeCell ref="K1:N1"/>
  </mergeCells>
  <phoneticPr fontId="3" type="noConversion"/>
  <conditionalFormatting sqref="N3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"/>
  <sheetViews>
    <sheetView workbookViewId="0">
      <selection activeCell="AL23" sqref="AL23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231</v>
      </c>
      <c r="B2">
        <v>2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114</v>
      </c>
      <c r="J2" t="s">
        <v>98</v>
      </c>
      <c r="K2" t="s">
        <v>56</v>
      </c>
      <c r="L2">
        <v>2</v>
      </c>
      <c r="N2">
        <v>3</v>
      </c>
      <c r="O2" t="s">
        <v>120</v>
      </c>
      <c r="P2" t="s">
        <v>121</v>
      </c>
      <c r="Q2" t="s">
        <v>123</v>
      </c>
      <c r="S2" t="s">
        <v>48</v>
      </c>
      <c r="T2">
        <v>3</v>
      </c>
      <c r="V2">
        <v>1</v>
      </c>
      <c r="W2" t="s">
        <v>126</v>
      </c>
      <c r="X2" t="s">
        <v>84</v>
      </c>
      <c r="Y2" t="s">
        <v>51</v>
      </c>
      <c r="Z2" t="s">
        <v>129</v>
      </c>
      <c r="AA2" t="s">
        <v>45</v>
      </c>
      <c r="AB2">
        <v>3</v>
      </c>
      <c r="AD2">
        <v>3</v>
      </c>
      <c r="AE2" t="s">
        <v>86</v>
      </c>
      <c r="AF2" t="s">
        <v>141</v>
      </c>
      <c r="AG2" t="s">
        <v>93</v>
      </c>
      <c r="AH2" t="s">
        <v>94</v>
      </c>
      <c r="AI2">
        <v>0</v>
      </c>
      <c r="AJ2">
        <v>32</v>
      </c>
    </row>
  </sheetData>
  <conditionalFormatting sqref="B1:B1048576">
    <cfRule type="duplicateValues" dxfId="1988" priority="1"/>
  </conditionalFormatting>
  <conditionalFormatting sqref="A2:B2">
    <cfRule type="duplicateValues" dxfId="1987" priority="286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380"/>
  <sheetViews>
    <sheetView workbookViewId="0">
      <selection activeCell="O14" sqref="O1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">
        <f>ScenarioStat5[[#This Row],[team-1-win]]+ScenarioStat5[[#This Row],[team-2-win]]</f>
        <v>0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3" s="3">
        <f>IF(ScenarioTeams5[[#This Row],[battles]],ScenarioTeams5[[#This Row],[wins]]/ScenarioTeams5[[#This Row],[battles]],0)</f>
        <v>1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0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4" s="3">
        <f>IF(ScenarioTeams5[[#This Row],[battles]],ScenarioTeams5[[#This Row],[wins]]/ScenarioTeams5[[#This Row],[battles]],0)</f>
        <v>0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5" s="3">
        <f>IF(ScenarioTeams5[[#This Row],[battles]],ScenarioTeams5[[#This Row],[wins]]/ScenarioTeams5[[#This Row],[battles]],0)</f>
        <v>0</v>
      </c>
      <c r="O5" s="4" t="s">
        <v>158</v>
      </c>
      <c r="P5" s="30">
        <f>MIN(Scenario5[turns])</f>
        <v>32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0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6" s="3">
        <f>IF(ScenarioTeams5[[#This Row],[battles]],ScenarioTeams5[[#This Row],[wins]]/ScenarioTeams5[[#This Row],[battles]],0)</f>
        <v>0</v>
      </c>
      <c r="O6" s="5" t="s">
        <v>108</v>
      </c>
      <c r="P6" s="31">
        <f>AVERAGE(Scenario5[turns])</f>
        <v>32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0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7" s="3">
        <f>IF(ScenarioTeams5[[#This Row],[battles]],ScenarioTeams5[[#This Row],[wins]]/ScenarioTeams5[[#This Row],[battles]],0)</f>
        <v>0</v>
      </c>
      <c r="O7" s="5" t="s">
        <v>160</v>
      </c>
      <c r="P7" s="31">
        <f>MAX(Scenario5[turns])</f>
        <v>32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48</v>
      </c>
      <c r="E8" t="s">
        <v>232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0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8" s="3">
        <f>IF(ScenarioTeams5[[#This Row],[battles]],ScenarioTeams5[[#This Row],[wins]]/ScenarioTeams5[[#This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43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">
        <f>ScenarioStat5[[#This Row],[team-1-win]]+ScenarioStat5[[#This Row],[team-2-win]]</f>
        <v>0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9" s="3">
        <f>IF(ScenarioTeams5[[#This Row],[battles]],ScenarioTeams5[[#This Row],[wins]]/ScenarioTeams5[[#This Row],[battles]],0)</f>
        <v>0</v>
      </c>
      <c r="O9" s="4" t="s">
        <v>185</v>
      </c>
      <c r="P9" s="30">
        <f>120000*$P$6/1000/60</f>
        <v>64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45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0</v>
      </c>
      <c r="I10" t="s">
        <v>53</v>
      </c>
      <c r="J10" t="s">
        <v>232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0" s="3">
        <f>IF(ScenarioTeams5[[#This Row],[battles]],ScenarioTeams5[[#This Row],[wins]]/ScenarioTeams5[[#This Row],[battles]],0)</f>
        <v>0</v>
      </c>
      <c r="O10" s="5" t="s">
        <v>186</v>
      </c>
      <c r="P10" s="31">
        <f>P9*COUNTA(ScenarioStat5[hero-1])/60/24</f>
        <v>16.8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63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0</v>
      </c>
      <c r="I11" t="s">
        <v>56</v>
      </c>
      <c r="J11" t="s">
        <v>48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1" s="3">
        <f>IF(ScenarioTeams5[[#This Row],[battles]],ScenarioTeams5[[#This Row],[wins]]/ScenarioTeams5[[#This Row],[battles]],0)</f>
        <v>0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" t="s">
        <v>33</v>
      </c>
      <c r="E12" t="s">
        <v>38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0</v>
      </c>
      <c r="I12" t="s">
        <v>56</v>
      </c>
      <c r="J12" t="s">
        <v>33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2" s="3">
        <f>IF(ScenarioTeams5[[#This Row],[battles]],ScenarioTeams5[[#This Row],[wins]]/ScenarioTeams5[[#This Row],[battles]],0)</f>
        <v>0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33</v>
      </c>
      <c r="E13" t="s">
        <v>232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0</v>
      </c>
      <c r="I13" t="s">
        <v>56</v>
      </c>
      <c r="J13" t="s">
        <v>43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3" s="3">
        <f>IF(ScenarioTeams5[[#This Row],[battles]],ScenarioTeams5[[#This Row],[wins]]/ScenarioTeams5[[#This Row],[battles]],0)</f>
        <v>0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" t="s">
        <v>43</v>
      </c>
      <c r="E14" t="s">
        <v>45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0</v>
      </c>
      <c r="I14" t="s">
        <v>56</v>
      </c>
      <c r="J14" t="s">
        <v>45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4" s="3">
        <f>IF(ScenarioTeams5[[#This Row],[battles]],ScenarioTeams5[[#This Row],[wins]]/ScenarioTeams5[[#This Row],[battles]],0)</f>
        <v>0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43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0</v>
      </c>
      <c r="I15" t="s">
        <v>56</v>
      </c>
      <c r="J15" t="s">
        <v>63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5" s="3">
        <f>IF(ScenarioTeams5[[#This Row],[battles]],ScenarioTeams5[[#This Row],[wins]]/ScenarioTeams5[[#This Row],[battles]],0)</f>
        <v>0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" t="s">
        <v>43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0</v>
      </c>
      <c r="I16" t="s">
        <v>56</v>
      </c>
      <c r="J16" t="s">
        <v>38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6" s="3">
        <f>IF(ScenarioTeams5[[#This Row],[battles]],ScenarioTeams5[[#This Row],[wins]]/ScenarioTeams5[[#This Row],[battles]],0)</f>
        <v>0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43</v>
      </c>
      <c r="E17" t="s">
        <v>232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0</v>
      </c>
      <c r="I17" t="s">
        <v>56</v>
      </c>
      <c r="J17" t="s">
        <v>232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7" s="3">
        <f>IF(ScenarioTeams5[[#This Row],[battles]],ScenarioTeams5[[#This Row],[wins]]/ScenarioTeams5[[#This Row],[battles]],0)</f>
        <v>0</v>
      </c>
    </row>
    <row r="18" spans="1:13" x14ac:dyDescent="0.25">
      <c r="A18" t="s">
        <v>53</v>
      </c>
      <c r="B18" t="s">
        <v>56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45</v>
      </c>
      <c r="E18" t="s">
        <v>63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">
        <f>ScenarioStat5[[#This Row],[team-1-win]]+ScenarioStat5[[#This Row],[team-2-win]]</f>
        <v>0</v>
      </c>
      <c r="I18" t="s">
        <v>48</v>
      </c>
      <c r="J18" t="s">
        <v>33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8" s="3">
        <f>IF(ScenarioTeams5[[#This Row],[battles]],ScenarioTeams5[[#This Row],[wins]]/ScenarioTeams5[[#This Row],[battles]],0)</f>
        <v>0</v>
      </c>
    </row>
    <row r="19" spans="1:13" x14ac:dyDescent="0.25">
      <c r="A19" t="s">
        <v>53</v>
      </c>
      <c r="B19" t="s">
        <v>56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45</v>
      </c>
      <c r="E19" t="s">
        <v>38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0</v>
      </c>
      <c r="I19" t="s">
        <v>48</v>
      </c>
      <c r="J19" t="s">
        <v>43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19" s="3">
        <f>IF(ScenarioTeams5[[#This Row],[battles]],ScenarioTeams5[[#This Row],[wins]]/ScenarioTeams5[[#This Row],[battles]],0)</f>
        <v>0</v>
      </c>
    </row>
    <row r="20" spans="1:13" x14ac:dyDescent="0.25">
      <c r="A20" t="s">
        <v>53</v>
      </c>
      <c r="B20" t="s">
        <v>56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45</v>
      </c>
      <c r="E20" t="s">
        <v>232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0</v>
      </c>
      <c r="I20" t="s">
        <v>48</v>
      </c>
      <c r="J20" t="s">
        <v>45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0" s="3">
        <f>IF(ScenarioTeams5[[#This Row],[battles]],ScenarioTeams5[[#This Row],[wins]]/ScenarioTeams5[[#This Row],[battles]],0)</f>
        <v>0</v>
      </c>
    </row>
    <row r="21" spans="1:13" x14ac:dyDescent="0.25">
      <c r="A21" t="s">
        <v>53</v>
      </c>
      <c r="B21" t="s">
        <v>56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63</v>
      </c>
      <c r="E21" t="s">
        <v>38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0</v>
      </c>
      <c r="I21" t="s">
        <v>48</v>
      </c>
      <c r="J21" t="s">
        <v>63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1" s="3">
        <f>IF(ScenarioTeams5[[#This Row],[battles]],ScenarioTeams5[[#This Row],[wins]]/ScenarioTeams5[[#This Row],[battles]],0)</f>
        <v>0</v>
      </c>
    </row>
    <row r="22" spans="1:13" x14ac:dyDescent="0.25">
      <c r="A22" t="s">
        <v>53</v>
      </c>
      <c r="B22" t="s">
        <v>56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63</v>
      </c>
      <c r="E22" t="s">
        <v>232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0</v>
      </c>
      <c r="I22" t="s">
        <v>48</v>
      </c>
      <c r="J22" t="s">
        <v>38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2" s="3">
        <f>IF(ScenarioTeams5[[#This Row],[battles]],ScenarioTeams5[[#This Row],[wins]]/ScenarioTeams5[[#This Row],[battles]],0)</f>
        <v>0</v>
      </c>
    </row>
    <row r="23" spans="1:13" x14ac:dyDescent="0.25">
      <c r="A23" t="s">
        <v>53</v>
      </c>
      <c r="B23" t="s">
        <v>56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38</v>
      </c>
      <c r="E23" t="s">
        <v>232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0</v>
      </c>
      <c r="I23" t="s">
        <v>48</v>
      </c>
      <c r="J23" t="s">
        <v>232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3" s="3">
        <f>IF(ScenarioTeams5[[#This Row],[battles]],ScenarioTeams5[[#This Row],[wins]]/ScenarioTeams5[[#This Row],[battles]],0)</f>
        <v>0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56</v>
      </c>
      <c r="E24" t="s">
        <v>33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">
        <f>ScenarioStat5[[#This Row],[team-1-win]]+ScenarioStat5[[#This Row],[team-2-win]]</f>
        <v>0</v>
      </c>
      <c r="I24" t="s">
        <v>33</v>
      </c>
      <c r="J24" t="s">
        <v>43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4" s="3">
        <f>IF(ScenarioTeams5[[#This Row],[battles]],ScenarioTeams5[[#This Row],[wins]]/ScenarioTeams5[[#This Row],[battles]],0)</f>
        <v>0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56</v>
      </c>
      <c r="E25" t="s">
        <v>43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0</v>
      </c>
      <c r="I25" t="s">
        <v>33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5" s="3">
        <f>IF(ScenarioTeams5[[#This Row],[battles]],ScenarioTeams5[[#This Row],[wins]]/ScenarioTeams5[[#This Row],[battles]],0)</f>
        <v>0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56</v>
      </c>
      <c r="E26" t="s">
        <v>45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">
        <f>ScenarioStat5[[#This Row],[team-1-win]]+ScenarioStat5[[#This Row],[team-2-win]]</f>
        <v>0</v>
      </c>
      <c r="I26" t="s">
        <v>33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6" s="3">
        <f>IF(ScenarioTeams5[[#This Row],[battles]],ScenarioTeams5[[#This Row],[wins]]/ScenarioTeams5[[#This Row],[battles]],0)</f>
        <v>0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56</v>
      </c>
      <c r="E27" t="s">
        <v>63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0</v>
      </c>
      <c r="I27" t="s">
        <v>33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7" s="3">
        <f>IF(ScenarioTeams5[[#This Row],[battles]],ScenarioTeams5[[#This Row],[wins]]/ScenarioTeams5[[#This Row],[battles]],0)</f>
        <v>0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56</v>
      </c>
      <c r="E28" t="s">
        <v>38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">
        <f>ScenarioStat5[[#This Row],[team-1-win]]+ScenarioStat5[[#This Row],[team-2-win]]</f>
        <v>0</v>
      </c>
      <c r="I28" t="s">
        <v>33</v>
      </c>
      <c r="J28" t="s">
        <v>232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8" s="3">
        <f>IF(ScenarioTeams5[[#This Row],[battles]],ScenarioTeams5[[#This Row],[wins]]/ScenarioTeams5[[#This Row],[battles]],0)</f>
        <v>0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" t="s">
        <v>56</v>
      </c>
      <c r="E29" t="s">
        <v>232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0</v>
      </c>
      <c r="I29" t="s">
        <v>43</v>
      </c>
      <c r="J29" t="s">
        <v>45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29" s="3">
        <f>IF(ScenarioTeams5[[#This Row],[battles]],ScenarioTeams5[[#This Row],[wins]]/ScenarioTeams5[[#This Row],[battles]],0)</f>
        <v>0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33</v>
      </c>
      <c r="E30" t="s">
        <v>43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0</v>
      </c>
      <c r="I30" t="s">
        <v>43</v>
      </c>
      <c r="J30" t="s">
        <v>63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0" s="3">
        <f>IF(ScenarioTeams5[[#This Row],[battles]],ScenarioTeams5[[#This Row],[wins]]/ScenarioTeams5[[#This Row],[battles]],0)</f>
        <v>0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33</v>
      </c>
      <c r="E31" t="s">
        <v>45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0</v>
      </c>
      <c r="I31" t="s">
        <v>43</v>
      </c>
      <c r="J31" t="s">
        <v>38</v>
      </c>
      <c r="K3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1" s="3">
        <f>IF(ScenarioTeams5[[#This Row],[battles]],ScenarioTeams5[[#This Row],[wins]]/ScenarioTeams5[[#This Row],[battles]],0)</f>
        <v>0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33</v>
      </c>
      <c r="E32" t="s">
        <v>63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0</v>
      </c>
      <c r="I32" t="s">
        <v>43</v>
      </c>
      <c r="J32" t="s">
        <v>232</v>
      </c>
      <c r="K3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2" s="3">
        <f>IF(ScenarioTeams5[[#This Row],[battles]],ScenarioTeams5[[#This Row],[wins]]/ScenarioTeams5[[#This Row],[battles]],0)</f>
        <v>0</v>
      </c>
    </row>
    <row r="33" spans="1:13" x14ac:dyDescent="0.25">
      <c r="A33" t="s">
        <v>53</v>
      </c>
      <c r="B33" t="s">
        <v>48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" t="s">
        <v>33</v>
      </c>
      <c r="E33" t="s">
        <v>38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0</v>
      </c>
      <c r="I33" t="s">
        <v>45</v>
      </c>
      <c r="J33" t="s">
        <v>63</v>
      </c>
      <c r="K3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3" s="3">
        <f>IF(ScenarioTeams5[[#This Row],[battles]],ScenarioTeams5[[#This Row],[wins]]/ScenarioTeams5[[#This Row],[battles]],0)</f>
        <v>0</v>
      </c>
    </row>
    <row r="34" spans="1:13" x14ac:dyDescent="0.25">
      <c r="A34" t="s">
        <v>53</v>
      </c>
      <c r="B34" t="s">
        <v>48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33</v>
      </c>
      <c r="E34" t="s">
        <v>232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0</v>
      </c>
      <c r="I34" t="s">
        <v>45</v>
      </c>
      <c r="J34" t="s">
        <v>38</v>
      </c>
      <c r="K3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4" s="3">
        <f>IF(ScenarioTeams5[[#This Row],[battles]],ScenarioTeams5[[#This Row],[wins]]/ScenarioTeams5[[#This Row],[battles]],0)</f>
        <v>0</v>
      </c>
    </row>
    <row r="35" spans="1:13" x14ac:dyDescent="0.25">
      <c r="A35" t="s">
        <v>53</v>
      </c>
      <c r="B35" t="s">
        <v>48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43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0</v>
      </c>
      <c r="I35" t="s">
        <v>45</v>
      </c>
      <c r="J35" t="s">
        <v>232</v>
      </c>
      <c r="K3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5" s="3">
        <f>IF(ScenarioTeams5[[#This Row],[battles]],ScenarioTeams5[[#This Row],[wins]]/ScenarioTeams5[[#This Row],[battles]],0)</f>
        <v>0</v>
      </c>
    </row>
    <row r="36" spans="1:13" x14ac:dyDescent="0.25">
      <c r="A36" t="s">
        <v>53</v>
      </c>
      <c r="B36" t="s">
        <v>48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43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0</v>
      </c>
      <c r="I36" t="s">
        <v>63</v>
      </c>
      <c r="J36" t="s">
        <v>38</v>
      </c>
      <c r="K3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6" s="3">
        <f>IF(ScenarioTeams5[[#This Row],[battles]],ScenarioTeams5[[#This Row],[wins]]/ScenarioTeams5[[#This Row],[battles]],0)</f>
        <v>0</v>
      </c>
    </row>
    <row r="37" spans="1:13" x14ac:dyDescent="0.25">
      <c r="A37" t="s">
        <v>53</v>
      </c>
      <c r="B37" t="s">
        <v>48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43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0</v>
      </c>
      <c r="I37" t="s">
        <v>38</v>
      </c>
      <c r="J37" t="s">
        <v>232</v>
      </c>
      <c r="K3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0</v>
      </c>
      <c r="L3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0</v>
      </c>
      <c r="M37" s="3">
        <f>IF(ScenarioTeams5[[#This Row],[battles]],ScenarioTeams5[[#This Row],[wins]]/ScenarioTeams5[[#This Row],[battles]],0)</f>
        <v>0</v>
      </c>
    </row>
    <row r="38" spans="1:13" x14ac:dyDescent="0.25">
      <c r="A38" t="s">
        <v>53</v>
      </c>
      <c r="B38" t="s">
        <v>48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" t="s">
        <v>43</v>
      </c>
      <c r="E38" t="s">
        <v>232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0</v>
      </c>
    </row>
    <row r="39" spans="1:13" x14ac:dyDescent="0.25">
      <c r="A39" t="s">
        <v>53</v>
      </c>
      <c r="B39" t="s">
        <v>48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45</v>
      </c>
      <c r="E39" t="s">
        <v>63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0</v>
      </c>
    </row>
    <row r="40" spans="1:13" x14ac:dyDescent="0.25">
      <c r="A40" t="s">
        <v>53</v>
      </c>
      <c r="B40" t="s">
        <v>48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0" t="s">
        <v>45</v>
      </c>
      <c r="E40" t="s">
        <v>38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0</v>
      </c>
    </row>
    <row r="41" spans="1:13" x14ac:dyDescent="0.25">
      <c r="A41" t="s">
        <v>53</v>
      </c>
      <c r="B41" t="s">
        <v>48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1" t="s">
        <v>45</v>
      </c>
      <c r="E41" t="s">
        <v>232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0</v>
      </c>
    </row>
    <row r="42" spans="1:13" x14ac:dyDescent="0.25">
      <c r="A42" t="s">
        <v>53</v>
      </c>
      <c r="B42" t="s">
        <v>48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63</v>
      </c>
      <c r="E42" t="s">
        <v>38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0</v>
      </c>
    </row>
    <row r="43" spans="1:13" x14ac:dyDescent="0.25">
      <c r="A43" t="s">
        <v>53</v>
      </c>
      <c r="B43" t="s">
        <v>48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63</v>
      </c>
      <c r="E43" t="s">
        <v>232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0</v>
      </c>
    </row>
    <row r="44" spans="1:13" x14ac:dyDescent="0.25">
      <c r="A44" t="s">
        <v>53</v>
      </c>
      <c r="B44" t="s">
        <v>48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38</v>
      </c>
      <c r="E44" t="s">
        <v>232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0</v>
      </c>
    </row>
    <row r="45" spans="1:13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56</v>
      </c>
      <c r="E45" t="s">
        <v>48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0</v>
      </c>
    </row>
    <row r="46" spans="1:13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56</v>
      </c>
      <c r="E46" t="s">
        <v>43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0</v>
      </c>
    </row>
    <row r="47" spans="1:13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56</v>
      </c>
      <c r="E47" t="s">
        <v>45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0</v>
      </c>
    </row>
    <row r="48" spans="1:13" x14ac:dyDescent="0.25">
      <c r="A48" t="s">
        <v>53</v>
      </c>
      <c r="B48" t="s">
        <v>33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63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0</v>
      </c>
    </row>
    <row r="49" spans="1:7" x14ac:dyDescent="0.25">
      <c r="A49" t="s">
        <v>53</v>
      </c>
      <c r="B49" t="s">
        <v>33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38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0</v>
      </c>
    </row>
    <row r="50" spans="1:7" x14ac:dyDescent="0.25">
      <c r="A50" t="s">
        <v>53</v>
      </c>
      <c r="B50" t="s">
        <v>33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232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0</v>
      </c>
    </row>
    <row r="51" spans="1:7" x14ac:dyDescent="0.25">
      <c r="A51" t="s">
        <v>53</v>
      </c>
      <c r="B51" t="s">
        <v>33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1" t="s">
        <v>48</v>
      </c>
      <c r="E51" t="s">
        <v>43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0</v>
      </c>
    </row>
    <row r="52" spans="1:7" x14ac:dyDescent="0.25">
      <c r="A52" t="s">
        <v>53</v>
      </c>
      <c r="B52" t="s">
        <v>33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48</v>
      </c>
      <c r="E52" t="s">
        <v>45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0</v>
      </c>
    </row>
    <row r="53" spans="1:7" x14ac:dyDescent="0.25">
      <c r="A53" t="s">
        <v>53</v>
      </c>
      <c r="B53" t="s">
        <v>33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63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0</v>
      </c>
    </row>
    <row r="54" spans="1:7" x14ac:dyDescent="0.25">
      <c r="A54" t="s">
        <v>53</v>
      </c>
      <c r="B54" t="s">
        <v>33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4" t="s">
        <v>48</v>
      </c>
      <c r="E54" t="s">
        <v>38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0</v>
      </c>
    </row>
    <row r="55" spans="1:7" x14ac:dyDescent="0.25">
      <c r="A55" t="s">
        <v>53</v>
      </c>
      <c r="B55" t="s">
        <v>33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232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0</v>
      </c>
    </row>
    <row r="56" spans="1:7" x14ac:dyDescent="0.25">
      <c r="A56" t="s">
        <v>53</v>
      </c>
      <c r="B56" t="s">
        <v>33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43</v>
      </c>
      <c r="E56" t="s">
        <v>45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0</v>
      </c>
    </row>
    <row r="57" spans="1:7" x14ac:dyDescent="0.25">
      <c r="A57" t="s">
        <v>53</v>
      </c>
      <c r="B57" t="s">
        <v>33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43</v>
      </c>
      <c r="E57" t="s">
        <v>63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0</v>
      </c>
    </row>
    <row r="58" spans="1:7" x14ac:dyDescent="0.25">
      <c r="A58" t="s">
        <v>53</v>
      </c>
      <c r="B58" t="s">
        <v>33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8" t="s">
        <v>43</v>
      </c>
      <c r="E58" t="s">
        <v>38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0</v>
      </c>
    </row>
    <row r="59" spans="1:7" x14ac:dyDescent="0.25">
      <c r="A59" t="s">
        <v>53</v>
      </c>
      <c r="B59" t="s">
        <v>33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9" t="s">
        <v>43</v>
      </c>
      <c r="E59" t="s">
        <v>232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0</v>
      </c>
    </row>
    <row r="60" spans="1:7" x14ac:dyDescent="0.25">
      <c r="A60" t="s">
        <v>53</v>
      </c>
      <c r="B60" t="s">
        <v>33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0</v>
      </c>
    </row>
    <row r="61" spans="1:7" x14ac:dyDescent="0.25">
      <c r="A61" t="s">
        <v>53</v>
      </c>
      <c r="B61" t="s">
        <v>33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0</v>
      </c>
    </row>
    <row r="62" spans="1:7" x14ac:dyDescent="0.25">
      <c r="A62" t="s">
        <v>53</v>
      </c>
      <c r="B62" t="s">
        <v>33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45</v>
      </c>
      <c r="E62" t="s">
        <v>232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0</v>
      </c>
    </row>
    <row r="63" spans="1:7" x14ac:dyDescent="0.25">
      <c r="A63" t="s">
        <v>53</v>
      </c>
      <c r="B63" t="s">
        <v>33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63</v>
      </c>
      <c r="E63" t="s">
        <v>38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0</v>
      </c>
    </row>
    <row r="64" spans="1:7" x14ac:dyDescent="0.25">
      <c r="A64" t="s">
        <v>53</v>
      </c>
      <c r="B64" t="s">
        <v>33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63</v>
      </c>
      <c r="E64" t="s">
        <v>232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0</v>
      </c>
    </row>
    <row r="65" spans="1:7" x14ac:dyDescent="0.25">
      <c r="A65" t="s">
        <v>53</v>
      </c>
      <c r="B65" t="s">
        <v>33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5" t="s">
        <v>38</v>
      </c>
      <c r="E65" t="s">
        <v>232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0</v>
      </c>
    </row>
    <row r="66" spans="1:7" x14ac:dyDescent="0.25">
      <c r="A66" t="s">
        <v>53</v>
      </c>
      <c r="B66" t="s">
        <v>43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48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0</v>
      </c>
    </row>
    <row r="67" spans="1:7" x14ac:dyDescent="0.25">
      <c r="A67" t="s">
        <v>53</v>
      </c>
      <c r="B67" t="s">
        <v>43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33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0</v>
      </c>
    </row>
    <row r="68" spans="1:7" x14ac:dyDescent="0.25">
      <c r="A68" t="s">
        <v>53</v>
      </c>
      <c r="B68" t="s">
        <v>43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8" t="s">
        <v>56</v>
      </c>
      <c r="E68" t="s">
        <v>45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0</v>
      </c>
    </row>
    <row r="69" spans="1:7" x14ac:dyDescent="0.25">
      <c r="A69" t="s">
        <v>53</v>
      </c>
      <c r="B69" t="s">
        <v>43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9" t="s">
        <v>56</v>
      </c>
      <c r="E69" t="s">
        <v>63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0</v>
      </c>
    </row>
    <row r="70" spans="1:7" x14ac:dyDescent="0.25">
      <c r="A70" t="s">
        <v>53</v>
      </c>
      <c r="B70" t="s">
        <v>43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0" t="s">
        <v>56</v>
      </c>
      <c r="E70" t="s">
        <v>38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0</v>
      </c>
    </row>
    <row r="71" spans="1:7" x14ac:dyDescent="0.25">
      <c r="A71" t="s">
        <v>53</v>
      </c>
      <c r="B71" t="s">
        <v>43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56</v>
      </c>
      <c r="E71" t="s">
        <v>232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0</v>
      </c>
    </row>
    <row r="72" spans="1:7" x14ac:dyDescent="0.25">
      <c r="A72" t="s">
        <v>53</v>
      </c>
      <c r="B72" t="s">
        <v>43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2" t="s">
        <v>48</v>
      </c>
      <c r="E72" t="s">
        <v>33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0</v>
      </c>
    </row>
    <row r="73" spans="1:7" x14ac:dyDescent="0.25">
      <c r="A73" t="s">
        <v>53</v>
      </c>
      <c r="B73" t="s">
        <v>43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48</v>
      </c>
      <c r="E73" t="s">
        <v>45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0</v>
      </c>
    </row>
    <row r="74" spans="1:7" x14ac:dyDescent="0.25">
      <c r="A74" t="s">
        <v>53</v>
      </c>
      <c r="B74" t="s">
        <v>43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4" t="s">
        <v>48</v>
      </c>
      <c r="E74" t="s">
        <v>63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0</v>
      </c>
    </row>
    <row r="75" spans="1:7" x14ac:dyDescent="0.25">
      <c r="A75" t="s">
        <v>53</v>
      </c>
      <c r="B75" t="s">
        <v>43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5" t="s">
        <v>48</v>
      </c>
      <c r="E75" t="s">
        <v>38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0</v>
      </c>
    </row>
    <row r="76" spans="1:7" x14ac:dyDescent="0.25">
      <c r="A76" t="s">
        <v>53</v>
      </c>
      <c r="B76" t="s">
        <v>43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48</v>
      </c>
      <c r="E76" t="s">
        <v>232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0</v>
      </c>
    </row>
    <row r="77" spans="1:7" x14ac:dyDescent="0.25">
      <c r="A77" t="s">
        <v>53</v>
      </c>
      <c r="B77" t="s">
        <v>43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33</v>
      </c>
      <c r="E77" t="s">
        <v>45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0</v>
      </c>
    </row>
    <row r="78" spans="1:7" x14ac:dyDescent="0.25">
      <c r="A78" t="s">
        <v>53</v>
      </c>
      <c r="B78" t="s">
        <v>43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33</v>
      </c>
      <c r="E78" t="s">
        <v>63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0</v>
      </c>
    </row>
    <row r="79" spans="1:7" x14ac:dyDescent="0.25">
      <c r="A79" t="s">
        <v>53</v>
      </c>
      <c r="B79" t="s">
        <v>43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33</v>
      </c>
      <c r="E79" t="s">
        <v>38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0</v>
      </c>
    </row>
    <row r="80" spans="1:7" x14ac:dyDescent="0.25">
      <c r="A80" t="s">
        <v>53</v>
      </c>
      <c r="B80" t="s">
        <v>43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33</v>
      </c>
      <c r="E80" t="s">
        <v>232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0</v>
      </c>
    </row>
    <row r="81" spans="1:7" x14ac:dyDescent="0.25">
      <c r="A81" t="s">
        <v>53</v>
      </c>
      <c r="B81" t="s">
        <v>43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45</v>
      </c>
      <c r="E81" t="s">
        <v>63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0</v>
      </c>
    </row>
    <row r="82" spans="1:7" x14ac:dyDescent="0.25">
      <c r="A82" t="s">
        <v>53</v>
      </c>
      <c r="B82" t="s">
        <v>43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45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0</v>
      </c>
    </row>
    <row r="83" spans="1:7" x14ac:dyDescent="0.25">
      <c r="A83" t="s">
        <v>53</v>
      </c>
      <c r="B83" t="s">
        <v>43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45</v>
      </c>
      <c r="E83" t="s">
        <v>232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0</v>
      </c>
    </row>
    <row r="84" spans="1:7" x14ac:dyDescent="0.25">
      <c r="A84" t="s">
        <v>53</v>
      </c>
      <c r="B84" t="s">
        <v>43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63</v>
      </c>
      <c r="E84" t="s">
        <v>38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0</v>
      </c>
    </row>
    <row r="85" spans="1:7" x14ac:dyDescent="0.25">
      <c r="A85" t="s">
        <v>53</v>
      </c>
      <c r="B85" t="s">
        <v>43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5" t="s">
        <v>63</v>
      </c>
      <c r="E85" t="s">
        <v>232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0</v>
      </c>
    </row>
    <row r="86" spans="1:7" x14ac:dyDescent="0.25">
      <c r="A86" t="s">
        <v>53</v>
      </c>
      <c r="B86" t="s">
        <v>43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38</v>
      </c>
      <c r="E86" t="s">
        <v>232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0</v>
      </c>
    </row>
    <row r="87" spans="1:7" x14ac:dyDescent="0.25">
      <c r="A87" t="s">
        <v>53</v>
      </c>
      <c r="B87" t="s">
        <v>45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56</v>
      </c>
      <c r="E87" t="s">
        <v>48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0</v>
      </c>
    </row>
    <row r="88" spans="1:7" x14ac:dyDescent="0.25">
      <c r="A88" t="s">
        <v>53</v>
      </c>
      <c r="B88" t="s">
        <v>45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56</v>
      </c>
      <c r="E88" t="s">
        <v>33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0</v>
      </c>
    </row>
    <row r="89" spans="1:7" x14ac:dyDescent="0.25">
      <c r="A89" t="s">
        <v>53</v>
      </c>
      <c r="B89" t="s">
        <v>45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56</v>
      </c>
      <c r="E89" t="s">
        <v>43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0</v>
      </c>
    </row>
    <row r="90" spans="1:7" x14ac:dyDescent="0.25">
      <c r="A90" t="s">
        <v>53</v>
      </c>
      <c r="B90" t="s">
        <v>45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0" t="s">
        <v>56</v>
      </c>
      <c r="E90" t="s">
        <v>63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0</v>
      </c>
    </row>
    <row r="91" spans="1:7" x14ac:dyDescent="0.25">
      <c r="A91" t="s">
        <v>53</v>
      </c>
      <c r="B91" t="s">
        <v>45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56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0</v>
      </c>
    </row>
    <row r="92" spans="1:7" x14ac:dyDescent="0.25">
      <c r="A92" t="s">
        <v>53</v>
      </c>
      <c r="B92" t="s">
        <v>45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2" t="s">
        <v>56</v>
      </c>
      <c r="E92" t="s">
        <v>232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0</v>
      </c>
    </row>
    <row r="93" spans="1:7" x14ac:dyDescent="0.25">
      <c r="A93" t="s">
        <v>53</v>
      </c>
      <c r="B93" t="s">
        <v>45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48</v>
      </c>
      <c r="E93" t="s">
        <v>33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0</v>
      </c>
    </row>
    <row r="94" spans="1:7" x14ac:dyDescent="0.25">
      <c r="A94" t="s">
        <v>53</v>
      </c>
      <c r="B94" t="s">
        <v>45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48</v>
      </c>
      <c r="E94" t="s">
        <v>43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0</v>
      </c>
    </row>
    <row r="95" spans="1:7" x14ac:dyDescent="0.25">
      <c r="A95" t="s">
        <v>53</v>
      </c>
      <c r="B95" t="s">
        <v>45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48</v>
      </c>
      <c r="E95" t="s">
        <v>63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0</v>
      </c>
    </row>
    <row r="96" spans="1:7" x14ac:dyDescent="0.25">
      <c r="A96" t="s">
        <v>53</v>
      </c>
      <c r="B96" t="s">
        <v>45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48</v>
      </c>
      <c r="E96" t="s">
        <v>38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6">
        <f>ScenarioStat5[[#This Row],[team-1-win]]+ScenarioStat5[[#This Row],[team-2-win]]</f>
        <v>0</v>
      </c>
    </row>
    <row r="97" spans="1:7" x14ac:dyDescent="0.25">
      <c r="A97" t="s">
        <v>53</v>
      </c>
      <c r="B97" t="s">
        <v>45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48</v>
      </c>
      <c r="E97" t="s">
        <v>232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0</v>
      </c>
    </row>
    <row r="98" spans="1:7" x14ac:dyDescent="0.25">
      <c r="A98" t="s">
        <v>53</v>
      </c>
      <c r="B98" t="s">
        <v>45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33</v>
      </c>
      <c r="E98" t="s">
        <v>43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0</v>
      </c>
    </row>
    <row r="99" spans="1:7" x14ac:dyDescent="0.25">
      <c r="A99" t="s">
        <v>53</v>
      </c>
      <c r="B99" t="s">
        <v>45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33</v>
      </c>
      <c r="E99" t="s">
        <v>63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0</v>
      </c>
    </row>
    <row r="100" spans="1:7" x14ac:dyDescent="0.25">
      <c r="A100" t="s">
        <v>53</v>
      </c>
      <c r="B100" t="s">
        <v>45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0" t="s">
        <v>33</v>
      </c>
      <c r="E100" t="s">
        <v>38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0</v>
      </c>
    </row>
    <row r="101" spans="1:7" x14ac:dyDescent="0.25">
      <c r="A101" t="s">
        <v>53</v>
      </c>
      <c r="B101" t="s">
        <v>45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33</v>
      </c>
      <c r="E101" t="s">
        <v>232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0</v>
      </c>
    </row>
    <row r="102" spans="1:7" x14ac:dyDescent="0.25">
      <c r="A102" t="s">
        <v>53</v>
      </c>
      <c r="B102" t="s">
        <v>45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43</v>
      </c>
      <c r="E102" t="s">
        <v>63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0</v>
      </c>
    </row>
    <row r="103" spans="1:7" x14ac:dyDescent="0.25">
      <c r="A103" t="s">
        <v>53</v>
      </c>
      <c r="B103" t="s">
        <v>45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43</v>
      </c>
      <c r="E103" t="s">
        <v>38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0</v>
      </c>
    </row>
    <row r="104" spans="1:7" x14ac:dyDescent="0.25">
      <c r="A104" t="s">
        <v>53</v>
      </c>
      <c r="B104" t="s">
        <v>45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43</v>
      </c>
      <c r="E104" t="s">
        <v>232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0</v>
      </c>
    </row>
    <row r="105" spans="1:7" x14ac:dyDescent="0.25">
      <c r="A105" t="s">
        <v>53</v>
      </c>
      <c r="B105" t="s">
        <v>45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63</v>
      </c>
      <c r="E105" t="s">
        <v>38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0</v>
      </c>
    </row>
    <row r="106" spans="1:7" x14ac:dyDescent="0.25">
      <c r="A106" t="s">
        <v>53</v>
      </c>
      <c r="B106" t="s">
        <v>45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6" t="s">
        <v>63</v>
      </c>
      <c r="E106" t="s">
        <v>232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0</v>
      </c>
    </row>
    <row r="107" spans="1:7" x14ac:dyDescent="0.25">
      <c r="A107" t="s">
        <v>53</v>
      </c>
      <c r="B107" t="s">
        <v>45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38</v>
      </c>
      <c r="E107" t="s">
        <v>232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0</v>
      </c>
    </row>
    <row r="108" spans="1:7" x14ac:dyDescent="0.25">
      <c r="A108" t="s">
        <v>53</v>
      </c>
      <c r="B108" t="s">
        <v>63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56</v>
      </c>
      <c r="E108" t="s">
        <v>48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8">
        <f>ScenarioStat5[[#This Row],[team-1-win]]+ScenarioStat5[[#This Row],[team-2-win]]</f>
        <v>0</v>
      </c>
    </row>
    <row r="109" spans="1:7" x14ac:dyDescent="0.25">
      <c r="A109" t="s">
        <v>53</v>
      </c>
      <c r="B109" t="s">
        <v>63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56</v>
      </c>
      <c r="E109" t="s">
        <v>33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9">
        <f>ScenarioStat5[[#This Row],[team-1-win]]+ScenarioStat5[[#This Row],[team-2-win]]</f>
        <v>0</v>
      </c>
    </row>
    <row r="110" spans="1:7" x14ac:dyDescent="0.25">
      <c r="A110" t="s">
        <v>53</v>
      </c>
      <c r="B110" t="s">
        <v>63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56</v>
      </c>
      <c r="E110" t="s">
        <v>43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0</v>
      </c>
    </row>
    <row r="111" spans="1:7" x14ac:dyDescent="0.25">
      <c r="A111" t="s">
        <v>53</v>
      </c>
      <c r="B111" t="s">
        <v>63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56</v>
      </c>
      <c r="E111" t="s">
        <v>45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1">
        <f>ScenarioStat5[[#This Row],[team-1-win]]+ScenarioStat5[[#This Row],[team-2-win]]</f>
        <v>0</v>
      </c>
    </row>
    <row r="112" spans="1:7" x14ac:dyDescent="0.25">
      <c r="A112" t="s">
        <v>53</v>
      </c>
      <c r="B112" t="s">
        <v>63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56</v>
      </c>
      <c r="E112" t="s">
        <v>38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0</v>
      </c>
    </row>
    <row r="113" spans="1:7" x14ac:dyDescent="0.25">
      <c r="A113" t="s">
        <v>53</v>
      </c>
      <c r="B113" t="s">
        <v>63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56</v>
      </c>
      <c r="E113" t="s">
        <v>232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0</v>
      </c>
    </row>
    <row r="114" spans="1:7" x14ac:dyDescent="0.25">
      <c r="A114" t="s">
        <v>53</v>
      </c>
      <c r="B114" t="s">
        <v>63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4" t="s">
        <v>48</v>
      </c>
      <c r="E114" t="s">
        <v>33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0</v>
      </c>
    </row>
    <row r="115" spans="1:7" x14ac:dyDescent="0.25">
      <c r="A115" t="s">
        <v>53</v>
      </c>
      <c r="B115" t="s">
        <v>63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48</v>
      </c>
      <c r="E115" t="s">
        <v>43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0</v>
      </c>
    </row>
    <row r="116" spans="1:7" x14ac:dyDescent="0.25">
      <c r="A116" t="s">
        <v>53</v>
      </c>
      <c r="B116" t="s">
        <v>63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6" t="s">
        <v>48</v>
      </c>
      <c r="E116" t="s">
        <v>45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0</v>
      </c>
    </row>
    <row r="117" spans="1:7" x14ac:dyDescent="0.25">
      <c r="A117" t="s">
        <v>53</v>
      </c>
      <c r="B117" t="s">
        <v>63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48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0</v>
      </c>
    </row>
    <row r="118" spans="1:7" x14ac:dyDescent="0.25">
      <c r="A118" t="s">
        <v>53</v>
      </c>
      <c r="B118" t="s">
        <v>63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232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0</v>
      </c>
    </row>
    <row r="119" spans="1:7" x14ac:dyDescent="0.25">
      <c r="A119" t="s">
        <v>53</v>
      </c>
      <c r="B119" t="s">
        <v>63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33</v>
      </c>
      <c r="E119" t="s">
        <v>43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0</v>
      </c>
    </row>
    <row r="120" spans="1:7" x14ac:dyDescent="0.25">
      <c r="A120" t="s">
        <v>53</v>
      </c>
      <c r="B120" t="s">
        <v>63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33</v>
      </c>
      <c r="E120" t="s">
        <v>45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0</v>
      </c>
    </row>
    <row r="121" spans="1:7" x14ac:dyDescent="0.25">
      <c r="A121" t="s">
        <v>53</v>
      </c>
      <c r="B121" t="s">
        <v>63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33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0</v>
      </c>
    </row>
    <row r="122" spans="1:7" x14ac:dyDescent="0.25">
      <c r="A122" t="s">
        <v>53</v>
      </c>
      <c r="B122" t="s">
        <v>63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33</v>
      </c>
      <c r="E122" t="s">
        <v>232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0</v>
      </c>
    </row>
    <row r="123" spans="1:7" x14ac:dyDescent="0.25">
      <c r="A123" t="s">
        <v>53</v>
      </c>
      <c r="B123" t="s">
        <v>63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45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3">
        <f>ScenarioStat5[[#This Row],[team-1-win]]+ScenarioStat5[[#This Row],[team-2-win]]</f>
        <v>0</v>
      </c>
    </row>
    <row r="124" spans="1:7" x14ac:dyDescent="0.25">
      <c r="A124" t="s">
        <v>53</v>
      </c>
      <c r="B124" t="s">
        <v>63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4">
        <f>ScenarioStat5[[#This Row],[team-1-win]]+ScenarioStat5[[#This Row],[team-2-win]]</f>
        <v>0</v>
      </c>
    </row>
    <row r="125" spans="1:7" x14ac:dyDescent="0.25">
      <c r="A125" t="s">
        <v>53</v>
      </c>
      <c r="B125" t="s">
        <v>63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43</v>
      </c>
      <c r="E125" t="s">
        <v>232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5">
        <f>ScenarioStat5[[#This Row],[team-1-win]]+ScenarioStat5[[#This Row],[team-2-win]]</f>
        <v>0</v>
      </c>
    </row>
    <row r="126" spans="1:7" x14ac:dyDescent="0.25">
      <c r="A126" t="s">
        <v>53</v>
      </c>
      <c r="B126" t="s">
        <v>63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0</v>
      </c>
    </row>
    <row r="127" spans="1:7" x14ac:dyDescent="0.25">
      <c r="A127" t="s">
        <v>53</v>
      </c>
      <c r="B127" t="s">
        <v>63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45</v>
      </c>
      <c r="E127" t="s">
        <v>232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7">
        <f>ScenarioStat5[[#This Row],[team-1-win]]+ScenarioStat5[[#This Row],[team-2-win]]</f>
        <v>0</v>
      </c>
    </row>
    <row r="128" spans="1:7" x14ac:dyDescent="0.25">
      <c r="A128" t="s">
        <v>53</v>
      </c>
      <c r="B128" t="s">
        <v>63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8" t="s">
        <v>38</v>
      </c>
      <c r="E128" t="s">
        <v>232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0</v>
      </c>
    </row>
    <row r="129" spans="1:7" x14ac:dyDescent="0.25">
      <c r="A129" t="s">
        <v>53</v>
      </c>
      <c r="B129" t="s">
        <v>38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56</v>
      </c>
      <c r="E129" t="s">
        <v>48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0</v>
      </c>
    </row>
    <row r="130" spans="1:7" x14ac:dyDescent="0.25">
      <c r="A130" t="s">
        <v>53</v>
      </c>
      <c r="B130" t="s">
        <v>38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56</v>
      </c>
      <c r="E130" t="s">
        <v>33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0</v>
      </c>
    </row>
    <row r="131" spans="1:7" x14ac:dyDescent="0.25">
      <c r="A131" t="s">
        <v>53</v>
      </c>
      <c r="B131" t="s">
        <v>38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56</v>
      </c>
      <c r="E131" t="s">
        <v>43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0</v>
      </c>
    </row>
    <row r="132" spans="1:7" x14ac:dyDescent="0.25">
      <c r="A132" t="s">
        <v>53</v>
      </c>
      <c r="B132" t="s">
        <v>38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56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0</v>
      </c>
    </row>
    <row r="133" spans="1:7" x14ac:dyDescent="0.25">
      <c r="A133" t="s">
        <v>53</v>
      </c>
      <c r="B133" t="s">
        <v>38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56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0</v>
      </c>
    </row>
    <row r="134" spans="1:7" x14ac:dyDescent="0.25">
      <c r="A134" t="s">
        <v>53</v>
      </c>
      <c r="B134" t="s">
        <v>38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56</v>
      </c>
      <c r="E134" t="s">
        <v>232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0</v>
      </c>
    </row>
    <row r="135" spans="1:7" x14ac:dyDescent="0.25">
      <c r="A135" t="s">
        <v>53</v>
      </c>
      <c r="B135" t="s">
        <v>38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48</v>
      </c>
      <c r="E135" t="s">
        <v>33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5">
        <f>ScenarioStat5[[#This Row],[team-1-win]]+ScenarioStat5[[#This Row],[team-2-win]]</f>
        <v>0</v>
      </c>
    </row>
    <row r="136" spans="1:7" x14ac:dyDescent="0.25">
      <c r="A136" t="s">
        <v>53</v>
      </c>
      <c r="B136" t="s">
        <v>38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48</v>
      </c>
      <c r="E136" t="s">
        <v>43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6">
        <f>ScenarioStat5[[#This Row],[team-1-win]]+ScenarioStat5[[#This Row],[team-2-win]]</f>
        <v>0</v>
      </c>
    </row>
    <row r="137" spans="1:7" x14ac:dyDescent="0.25">
      <c r="A137" t="s">
        <v>53</v>
      </c>
      <c r="B137" t="s">
        <v>38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7" t="s">
        <v>48</v>
      </c>
      <c r="E137" t="s">
        <v>45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0</v>
      </c>
    </row>
    <row r="138" spans="1:7" x14ac:dyDescent="0.25">
      <c r="A138" t="s">
        <v>53</v>
      </c>
      <c r="B138" t="s">
        <v>38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8" t="s">
        <v>48</v>
      </c>
      <c r="E138" t="s">
        <v>63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0</v>
      </c>
    </row>
    <row r="139" spans="1:7" x14ac:dyDescent="0.25">
      <c r="A139" t="s">
        <v>53</v>
      </c>
      <c r="B139" t="s">
        <v>38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9" t="s">
        <v>48</v>
      </c>
      <c r="E139" t="s">
        <v>232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0</v>
      </c>
    </row>
    <row r="140" spans="1:7" x14ac:dyDescent="0.25">
      <c r="A140" t="s">
        <v>53</v>
      </c>
      <c r="B140" t="s">
        <v>38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33</v>
      </c>
      <c r="E140" t="s">
        <v>43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0</v>
      </c>
    </row>
    <row r="141" spans="1:7" x14ac:dyDescent="0.25">
      <c r="A141" t="s">
        <v>53</v>
      </c>
      <c r="B141" t="s">
        <v>38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33</v>
      </c>
      <c r="E141" t="s">
        <v>45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0</v>
      </c>
    </row>
    <row r="142" spans="1:7" x14ac:dyDescent="0.25">
      <c r="A142" t="s">
        <v>53</v>
      </c>
      <c r="B142" t="s">
        <v>38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2" t="s">
        <v>33</v>
      </c>
      <c r="E142" t="s">
        <v>63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0</v>
      </c>
    </row>
    <row r="143" spans="1:7" x14ac:dyDescent="0.25">
      <c r="A143" t="s">
        <v>53</v>
      </c>
      <c r="B143" t="s">
        <v>38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3" t="s">
        <v>33</v>
      </c>
      <c r="E143" t="s">
        <v>232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0</v>
      </c>
    </row>
    <row r="144" spans="1:7" x14ac:dyDescent="0.25">
      <c r="A144" t="s">
        <v>53</v>
      </c>
      <c r="B144" t="s">
        <v>38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43</v>
      </c>
      <c r="E144" t="s">
        <v>45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0</v>
      </c>
    </row>
    <row r="145" spans="1:7" x14ac:dyDescent="0.25">
      <c r="A145" t="s">
        <v>53</v>
      </c>
      <c r="B145" t="s">
        <v>38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0</v>
      </c>
    </row>
    <row r="146" spans="1:7" x14ac:dyDescent="0.25">
      <c r="A146" t="s">
        <v>53</v>
      </c>
      <c r="B146" t="s">
        <v>38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232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6">
        <f>ScenarioStat5[[#This Row],[team-1-win]]+ScenarioStat5[[#This Row],[team-2-win]]</f>
        <v>0</v>
      </c>
    </row>
    <row r="147" spans="1:7" x14ac:dyDescent="0.25">
      <c r="A147" t="s">
        <v>53</v>
      </c>
      <c r="B147" t="s">
        <v>38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45</v>
      </c>
      <c r="E147" t="s">
        <v>63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7">
        <f>ScenarioStat5[[#This Row],[team-1-win]]+ScenarioStat5[[#This Row],[team-2-win]]</f>
        <v>0</v>
      </c>
    </row>
    <row r="148" spans="1:7" x14ac:dyDescent="0.25">
      <c r="A148" t="s">
        <v>53</v>
      </c>
      <c r="B148" t="s">
        <v>38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45</v>
      </c>
      <c r="E148" t="s">
        <v>232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0</v>
      </c>
    </row>
    <row r="149" spans="1:7" x14ac:dyDescent="0.25">
      <c r="A149" t="s">
        <v>53</v>
      </c>
      <c r="B149" t="s">
        <v>38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63</v>
      </c>
      <c r="E149" t="s">
        <v>232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0</v>
      </c>
    </row>
    <row r="150" spans="1:7" x14ac:dyDescent="0.25">
      <c r="A150" t="s">
        <v>53</v>
      </c>
      <c r="B150" t="s">
        <v>232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0" t="s">
        <v>56</v>
      </c>
      <c r="E150" t="s">
        <v>48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0</v>
      </c>
    </row>
    <row r="151" spans="1:7" x14ac:dyDescent="0.25">
      <c r="A151" t="s">
        <v>53</v>
      </c>
      <c r="B151" t="s">
        <v>232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56</v>
      </c>
      <c r="E151" t="s">
        <v>33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0</v>
      </c>
    </row>
    <row r="152" spans="1:7" x14ac:dyDescent="0.25">
      <c r="A152" t="s">
        <v>53</v>
      </c>
      <c r="B152" t="s">
        <v>232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56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0</v>
      </c>
    </row>
    <row r="153" spans="1:7" x14ac:dyDescent="0.25">
      <c r="A153" t="s">
        <v>53</v>
      </c>
      <c r="B153" t="s">
        <v>232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56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0</v>
      </c>
    </row>
    <row r="154" spans="1:7" x14ac:dyDescent="0.25">
      <c r="A154" t="s">
        <v>53</v>
      </c>
      <c r="B154" t="s">
        <v>232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4" t="s">
        <v>56</v>
      </c>
      <c r="E154" t="s">
        <v>63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0</v>
      </c>
    </row>
    <row r="155" spans="1:7" x14ac:dyDescent="0.25">
      <c r="A155" t="s">
        <v>53</v>
      </c>
      <c r="B155" t="s">
        <v>232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56</v>
      </c>
      <c r="E155" t="s">
        <v>38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0</v>
      </c>
    </row>
    <row r="156" spans="1:7" x14ac:dyDescent="0.25">
      <c r="A156" t="s">
        <v>53</v>
      </c>
      <c r="B156" t="s">
        <v>232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6" t="s">
        <v>48</v>
      </c>
      <c r="E156" t="s">
        <v>33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0</v>
      </c>
    </row>
    <row r="157" spans="1:7" x14ac:dyDescent="0.25">
      <c r="A157" t="s">
        <v>53</v>
      </c>
      <c r="B157" t="s">
        <v>232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7" t="s">
        <v>48</v>
      </c>
      <c r="E157" t="s">
        <v>43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0</v>
      </c>
    </row>
    <row r="158" spans="1:7" x14ac:dyDescent="0.25">
      <c r="A158" t="s">
        <v>53</v>
      </c>
      <c r="B158" t="s">
        <v>232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45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0</v>
      </c>
    </row>
    <row r="159" spans="1:7" x14ac:dyDescent="0.25">
      <c r="A159" t="s">
        <v>53</v>
      </c>
      <c r="B159" t="s">
        <v>232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9" t="s">
        <v>48</v>
      </c>
      <c r="E159" t="s">
        <v>63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0</v>
      </c>
    </row>
    <row r="160" spans="1:7" x14ac:dyDescent="0.25">
      <c r="A160" t="s">
        <v>53</v>
      </c>
      <c r="B160" t="s">
        <v>232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38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0</v>
      </c>
    </row>
    <row r="161" spans="1:7" x14ac:dyDescent="0.25">
      <c r="A161" t="s">
        <v>53</v>
      </c>
      <c r="B161" t="s">
        <v>232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33</v>
      </c>
      <c r="E161" t="s">
        <v>43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0</v>
      </c>
    </row>
    <row r="162" spans="1:7" x14ac:dyDescent="0.25">
      <c r="A162" t="s">
        <v>53</v>
      </c>
      <c r="B162" t="s">
        <v>232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2" t="s">
        <v>33</v>
      </c>
      <c r="E162" t="s">
        <v>45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0</v>
      </c>
    </row>
    <row r="163" spans="1:7" x14ac:dyDescent="0.25">
      <c r="A163" t="s">
        <v>53</v>
      </c>
      <c r="B163" t="s">
        <v>232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63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0</v>
      </c>
    </row>
    <row r="164" spans="1:7" x14ac:dyDescent="0.25">
      <c r="A164" t="s">
        <v>53</v>
      </c>
      <c r="B164" t="s">
        <v>232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38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0</v>
      </c>
    </row>
    <row r="165" spans="1:7" x14ac:dyDescent="0.25">
      <c r="A165" t="s">
        <v>53</v>
      </c>
      <c r="B165" t="s">
        <v>232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0</v>
      </c>
    </row>
    <row r="166" spans="1:7" x14ac:dyDescent="0.25">
      <c r="A166" t="s">
        <v>53</v>
      </c>
      <c r="B166" t="s">
        <v>232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0</v>
      </c>
    </row>
    <row r="167" spans="1:7" x14ac:dyDescent="0.25">
      <c r="A167" t="s">
        <v>53</v>
      </c>
      <c r="B167" t="s">
        <v>232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43</v>
      </c>
      <c r="E167" t="s">
        <v>38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0</v>
      </c>
    </row>
    <row r="168" spans="1:7" x14ac:dyDescent="0.25">
      <c r="A168" t="s">
        <v>53</v>
      </c>
      <c r="B168" t="s">
        <v>232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45</v>
      </c>
      <c r="E168" t="s">
        <v>63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8">
        <f>ScenarioStat5[[#This Row],[team-1-win]]+ScenarioStat5[[#This Row],[team-2-win]]</f>
        <v>0</v>
      </c>
    </row>
    <row r="169" spans="1:7" x14ac:dyDescent="0.25">
      <c r="A169" t="s">
        <v>53</v>
      </c>
      <c r="B169" t="s">
        <v>232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45</v>
      </c>
      <c r="E169" t="s">
        <v>38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9">
        <f>ScenarioStat5[[#This Row],[team-1-win]]+ScenarioStat5[[#This Row],[team-2-win]]</f>
        <v>0</v>
      </c>
    </row>
    <row r="170" spans="1:7" x14ac:dyDescent="0.25">
      <c r="A170" t="s">
        <v>53</v>
      </c>
      <c r="B170" t="s">
        <v>232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63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0</v>
      </c>
    </row>
    <row r="171" spans="1:7" x14ac:dyDescent="0.25">
      <c r="A171" t="s">
        <v>56</v>
      </c>
      <c r="B171" t="s">
        <v>48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33</v>
      </c>
      <c r="E171" t="s">
        <v>43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1">
        <f>ScenarioStat5[[#This Row],[team-1-win]]+ScenarioStat5[[#This Row],[team-2-win]]</f>
        <v>0</v>
      </c>
    </row>
    <row r="172" spans="1:7" x14ac:dyDescent="0.25">
      <c r="A172" t="s">
        <v>56</v>
      </c>
      <c r="B172" t="s">
        <v>48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33</v>
      </c>
      <c r="E172" t="s">
        <v>45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0</v>
      </c>
    </row>
    <row r="173" spans="1:7" x14ac:dyDescent="0.25">
      <c r="A173" t="s">
        <v>56</v>
      </c>
      <c r="B173" t="s">
        <v>48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33</v>
      </c>
      <c r="E173" t="s">
        <v>63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0</v>
      </c>
    </row>
    <row r="174" spans="1:7" x14ac:dyDescent="0.25">
      <c r="A174" t="s">
        <v>56</v>
      </c>
      <c r="B174" t="s">
        <v>48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38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4">
        <f>ScenarioStat5[[#This Row],[team-1-win]]+ScenarioStat5[[#This Row],[team-2-win]]</f>
        <v>0</v>
      </c>
    </row>
    <row r="175" spans="1:7" x14ac:dyDescent="0.25">
      <c r="A175" t="s">
        <v>56</v>
      </c>
      <c r="B175" t="s">
        <v>48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232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0</v>
      </c>
    </row>
    <row r="176" spans="1:7" x14ac:dyDescent="0.25">
      <c r="A176" t="s">
        <v>56</v>
      </c>
      <c r="B176" t="s">
        <v>48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43</v>
      </c>
      <c r="E176" t="s">
        <v>45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0</v>
      </c>
    </row>
    <row r="177" spans="1:7" x14ac:dyDescent="0.25">
      <c r="A177" t="s">
        <v>56</v>
      </c>
      <c r="B177" t="s">
        <v>48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43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0</v>
      </c>
    </row>
    <row r="178" spans="1:7" x14ac:dyDescent="0.25">
      <c r="A178" t="s">
        <v>56</v>
      </c>
      <c r="B178" t="s">
        <v>48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43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0</v>
      </c>
    </row>
    <row r="179" spans="1:7" x14ac:dyDescent="0.25">
      <c r="A179" t="s">
        <v>56</v>
      </c>
      <c r="B179" t="s">
        <v>48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43</v>
      </c>
      <c r="E179" t="s">
        <v>232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0</v>
      </c>
    </row>
    <row r="180" spans="1:7" x14ac:dyDescent="0.25">
      <c r="A180" t="s">
        <v>56</v>
      </c>
      <c r="B180" t="s">
        <v>48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0" t="s">
        <v>45</v>
      </c>
      <c r="E180" t="s">
        <v>63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0</v>
      </c>
    </row>
    <row r="181" spans="1:7" x14ac:dyDescent="0.25">
      <c r="A181" t="s">
        <v>56</v>
      </c>
      <c r="B181" t="s">
        <v>48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45</v>
      </c>
      <c r="E181" t="s">
        <v>38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0</v>
      </c>
    </row>
    <row r="182" spans="1:7" x14ac:dyDescent="0.25">
      <c r="A182" t="s">
        <v>56</v>
      </c>
      <c r="B182" t="s">
        <v>48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45</v>
      </c>
      <c r="E182" t="s">
        <v>232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0</v>
      </c>
    </row>
    <row r="183" spans="1:7" x14ac:dyDescent="0.25">
      <c r="A183" t="s">
        <v>56</v>
      </c>
      <c r="B183" t="s">
        <v>48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63</v>
      </c>
      <c r="E183" t="s">
        <v>38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0</v>
      </c>
    </row>
    <row r="184" spans="1:7" x14ac:dyDescent="0.25">
      <c r="A184" t="s">
        <v>56</v>
      </c>
      <c r="B184" t="s">
        <v>48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63</v>
      </c>
      <c r="E184" t="s">
        <v>232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0</v>
      </c>
    </row>
    <row r="185" spans="1:7" x14ac:dyDescent="0.25">
      <c r="A185" t="s">
        <v>56</v>
      </c>
      <c r="B185" t="s">
        <v>48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38</v>
      </c>
      <c r="E185" t="s">
        <v>232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0</v>
      </c>
    </row>
    <row r="186" spans="1:7" x14ac:dyDescent="0.25">
      <c r="A186" t="s">
        <v>56</v>
      </c>
      <c r="B186" t="s">
        <v>33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48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0</v>
      </c>
    </row>
    <row r="187" spans="1:7" x14ac:dyDescent="0.25">
      <c r="A187" t="s">
        <v>56</v>
      </c>
      <c r="B187" t="s">
        <v>33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48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7">
        <f>ScenarioStat5[[#This Row],[team-1-win]]+ScenarioStat5[[#This Row],[team-2-win]]</f>
        <v>0</v>
      </c>
    </row>
    <row r="188" spans="1:7" x14ac:dyDescent="0.25">
      <c r="A188" t="s">
        <v>56</v>
      </c>
      <c r="B188" t="s">
        <v>33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48</v>
      </c>
      <c r="E188" t="s">
        <v>63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0</v>
      </c>
    </row>
    <row r="189" spans="1:7" x14ac:dyDescent="0.25">
      <c r="A189" t="s">
        <v>56</v>
      </c>
      <c r="B189" t="s">
        <v>33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48</v>
      </c>
      <c r="E189" t="s">
        <v>38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0</v>
      </c>
    </row>
    <row r="190" spans="1:7" x14ac:dyDescent="0.25">
      <c r="A190" t="s">
        <v>56</v>
      </c>
      <c r="B190" t="s">
        <v>33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48</v>
      </c>
      <c r="E190" t="s">
        <v>232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0</v>
      </c>
    </row>
    <row r="191" spans="1:7" x14ac:dyDescent="0.25">
      <c r="A191" t="s">
        <v>56</v>
      </c>
      <c r="B191" t="s">
        <v>33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43</v>
      </c>
      <c r="E191" t="s">
        <v>45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0</v>
      </c>
    </row>
    <row r="192" spans="1:7" x14ac:dyDescent="0.25">
      <c r="A192" t="s">
        <v>56</v>
      </c>
      <c r="B192" t="s">
        <v>33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43</v>
      </c>
      <c r="E192" t="s">
        <v>63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0</v>
      </c>
    </row>
    <row r="193" spans="1:7" x14ac:dyDescent="0.25">
      <c r="A193" t="s">
        <v>56</v>
      </c>
      <c r="B193" t="s">
        <v>33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43</v>
      </c>
      <c r="E193" t="s">
        <v>38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0</v>
      </c>
    </row>
    <row r="194" spans="1:7" x14ac:dyDescent="0.25">
      <c r="A194" t="s">
        <v>56</v>
      </c>
      <c r="B194" t="s">
        <v>33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43</v>
      </c>
      <c r="E194" t="s">
        <v>232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0</v>
      </c>
    </row>
    <row r="195" spans="1:7" x14ac:dyDescent="0.25">
      <c r="A195" t="s">
        <v>56</v>
      </c>
      <c r="B195" t="s">
        <v>33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45</v>
      </c>
      <c r="E195" t="s">
        <v>63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0</v>
      </c>
    </row>
    <row r="196" spans="1:7" x14ac:dyDescent="0.25">
      <c r="A196" t="s">
        <v>56</v>
      </c>
      <c r="B196" t="s">
        <v>33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45</v>
      </c>
      <c r="E196" t="s">
        <v>38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0</v>
      </c>
    </row>
    <row r="197" spans="1:7" x14ac:dyDescent="0.25">
      <c r="A197" t="s">
        <v>56</v>
      </c>
      <c r="B197" t="s">
        <v>33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232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0</v>
      </c>
    </row>
    <row r="198" spans="1:7" x14ac:dyDescent="0.25">
      <c r="A198" t="s">
        <v>56</v>
      </c>
      <c r="B198" t="s">
        <v>33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63</v>
      </c>
      <c r="E198" t="s">
        <v>38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8">
        <f>ScenarioStat5[[#This Row],[team-1-win]]+ScenarioStat5[[#This Row],[team-2-win]]</f>
        <v>0</v>
      </c>
    </row>
    <row r="199" spans="1:7" x14ac:dyDescent="0.25">
      <c r="A199" t="s">
        <v>56</v>
      </c>
      <c r="B199" t="s">
        <v>33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63</v>
      </c>
      <c r="E199" t="s">
        <v>232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9">
        <f>ScenarioStat5[[#This Row],[team-1-win]]+ScenarioStat5[[#This Row],[team-2-win]]</f>
        <v>0</v>
      </c>
    </row>
    <row r="200" spans="1:7" x14ac:dyDescent="0.25">
      <c r="A200" t="s">
        <v>56</v>
      </c>
      <c r="B200" t="s">
        <v>33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38</v>
      </c>
      <c r="E200" t="s">
        <v>232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0">
        <f>ScenarioStat5[[#This Row],[team-1-win]]+ScenarioStat5[[#This Row],[team-2-win]]</f>
        <v>0</v>
      </c>
    </row>
    <row r="201" spans="1:7" x14ac:dyDescent="0.25">
      <c r="A201" t="s">
        <v>56</v>
      </c>
      <c r="B201" t="s">
        <v>43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48</v>
      </c>
      <c r="E201" t="s">
        <v>33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0</v>
      </c>
    </row>
    <row r="202" spans="1:7" x14ac:dyDescent="0.25">
      <c r="A202" t="s">
        <v>56</v>
      </c>
      <c r="B202" t="s">
        <v>43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48</v>
      </c>
      <c r="E202" t="s">
        <v>45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0</v>
      </c>
    </row>
    <row r="203" spans="1:7" x14ac:dyDescent="0.25">
      <c r="A203" t="s">
        <v>56</v>
      </c>
      <c r="B203" t="s">
        <v>43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48</v>
      </c>
      <c r="E203" t="s">
        <v>63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0</v>
      </c>
    </row>
    <row r="204" spans="1:7" x14ac:dyDescent="0.25">
      <c r="A204" t="s">
        <v>56</v>
      </c>
      <c r="B204" t="s">
        <v>43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48</v>
      </c>
      <c r="E204" t="s">
        <v>38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0</v>
      </c>
    </row>
    <row r="205" spans="1:7" x14ac:dyDescent="0.25">
      <c r="A205" t="s">
        <v>56</v>
      </c>
      <c r="B205" t="s">
        <v>43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5" t="s">
        <v>48</v>
      </c>
      <c r="E205" t="s">
        <v>232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0</v>
      </c>
    </row>
    <row r="206" spans="1:7" x14ac:dyDescent="0.25">
      <c r="A206" t="s">
        <v>56</v>
      </c>
      <c r="B206" t="s">
        <v>43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33</v>
      </c>
      <c r="E206" t="s">
        <v>45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0</v>
      </c>
    </row>
    <row r="207" spans="1:7" x14ac:dyDescent="0.25">
      <c r="A207" t="s">
        <v>56</v>
      </c>
      <c r="B207" t="s">
        <v>43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33</v>
      </c>
      <c r="E207" t="s">
        <v>63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7">
        <f>ScenarioStat5[[#This Row],[team-1-win]]+ScenarioStat5[[#This Row],[team-2-win]]</f>
        <v>0</v>
      </c>
    </row>
    <row r="208" spans="1:7" x14ac:dyDescent="0.25">
      <c r="A208" t="s">
        <v>56</v>
      </c>
      <c r="B208" t="s">
        <v>43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33</v>
      </c>
      <c r="E208" t="s">
        <v>38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0</v>
      </c>
    </row>
    <row r="209" spans="1:7" x14ac:dyDescent="0.25">
      <c r="A209" t="s">
        <v>56</v>
      </c>
      <c r="B209" t="s">
        <v>43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33</v>
      </c>
      <c r="E209" t="s">
        <v>232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0</v>
      </c>
    </row>
    <row r="210" spans="1:7" x14ac:dyDescent="0.25">
      <c r="A210" t="s">
        <v>56</v>
      </c>
      <c r="B210" t="s">
        <v>43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45</v>
      </c>
      <c r="E210" t="s">
        <v>63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0</v>
      </c>
    </row>
    <row r="211" spans="1:7" x14ac:dyDescent="0.25">
      <c r="A211" t="s">
        <v>56</v>
      </c>
      <c r="B211" t="s">
        <v>43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0</v>
      </c>
    </row>
    <row r="212" spans="1:7" x14ac:dyDescent="0.25">
      <c r="A212" t="s">
        <v>56</v>
      </c>
      <c r="B212" t="s">
        <v>43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232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0</v>
      </c>
    </row>
    <row r="213" spans="1:7" x14ac:dyDescent="0.25">
      <c r="A213" t="s">
        <v>56</v>
      </c>
      <c r="B213" t="s">
        <v>43</v>
      </c>
      <c r="C2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3" t="s">
        <v>63</v>
      </c>
      <c r="E213" t="s">
        <v>38</v>
      </c>
      <c r="F2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3">
        <f>ScenarioStat5[[#This Row],[team-1-win]]+ScenarioStat5[[#This Row],[team-2-win]]</f>
        <v>0</v>
      </c>
    </row>
    <row r="214" spans="1:7" x14ac:dyDescent="0.25">
      <c r="A214" t="s">
        <v>56</v>
      </c>
      <c r="B214" t="s">
        <v>43</v>
      </c>
      <c r="C2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4" t="s">
        <v>63</v>
      </c>
      <c r="E214" t="s">
        <v>232</v>
      </c>
      <c r="F2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4">
        <f>ScenarioStat5[[#This Row],[team-1-win]]+ScenarioStat5[[#This Row],[team-2-win]]</f>
        <v>0</v>
      </c>
    </row>
    <row r="215" spans="1:7" x14ac:dyDescent="0.25">
      <c r="A215" t="s">
        <v>56</v>
      </c>
      <c r="B215" t="s">
        <v>43</v>
      </c>
      <c r="C2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5" t="s">
        <v>38</v>
      </c>
      <c r="E215" t="s">
        <v>232</v>
      </c>
      <c r="F2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5">
        <f>ScenarioStat5[[#This Row],[team-1-win]]+ScenarioStat5[[#This Row],[team-2-win]]</f>
        <v>0</v>
      </c>
    </row>
    <row r="216" spans="1:7" x14ac:dyDescent="0.25">
      <c r="A216" t="s">
        <v>56</v>
      </c>
      <c r="B216" t="s">
        <v>45</v>
      </c>
      <c r="C2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6" t="s">
        <v>48</v>
      </c>
      <c r="E216" t="s">
        <v>33</v>
      </c>
      <c r="F2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6">
        <f>ScenarioStat5[[#This Row],[team-1-win]]+ScenarioStat5[[#This Row],[team-2-win]]</f>
        <v>0</v>
      </c>
    </row>
    <row r="217" spans="1:7" x14ac:dyDescent="0.25">
      <c r="A217" t="s">
        <v>56</v>
      </c>
      <c r="B217" t="s">
        <v>45</v>
      </c>
      <c r="C2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7" t="s">
        <v>48</v>
      </c>
      <c r="E217" t="s">
        <v>43</v>
      </c>
      <c r="F2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7">
        <f>ScenarioStat5[[#This Row],[team-1-win]]+ScenarioStat5[[#This Row],[team-2-win]]</f>
        <v>0</v>
      </c>
    </row>
    <row r="218" spans="1:7" x14ac:dyDescent="0.25">
      <c r="A218" t="s">
        <v>56</v>
      </c>
      <c r="B218" t="s">
        <v>45</v>
      </c>
      <c r="C2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8" t="s">
        <v>48</v>
      </c>
      <c r="E218" t="s">
        <v>63</v>
      </c>
      <c r="F2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8">
        <f>ScenarioStat5[[#This Row],[team-1-win]]+ScenarioStat5[[#This Row],[team-2-win]]</f>
        <v>0</v>
      </c>
    </row>
    <row r="219" spans="1:7" x14ac:dyDescent="0.25">
      <c r="A219" t="s">
        <v>56</v>
      </c>
      <c r="B219" t="s">
        <v>45</v>
      </c>
      <c r="C2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9" t="s">
        <v>48</v>
      </c>
      <c r="E219" t="s">
        <v>38</v>
      </c>
      <c r="F2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9">
        <f>ScenarioStat5[[#This Row],[team-1-win]]+ScenarioStat5[[#This Row],[team-2-win]]</f>
        <v>0</v>
      </c>
    </row>
    <row r="220" spans="1:7" x14ac:dyDescent="0.25">
      <c r="A220" t="s">
        <v>56</v>
      </c>
      <c r="B220" t="s">
        <v>45</v>
      </c>
      <c r="C2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0" t="s">
        <v>48</v>
      </c>
      <c r="E220" t="s">
        <v>232</v>
      </c>
      <c r="F2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0">
        <f>ScenarioStat5[[#This Row],[team-1-win]]+ScenarioStat5[[#This Row],[team-2-win]]</f>
        <v>0</v>
      </c>
    </row>
    <row r="221" spans="1:7" x14ac:dyDescent="0.25">
      <c r="A221" t="s">
        <v>56</v>
      </c>
      <c r="B221" t="s">
        <v>45</v>
      </c>
      <c r="C2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1" t="s">
        <v>33</v>
      </c>
      <c r="E221" t="s">
        <v>43</v>
      </c>
      <c r="F2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1">
        <f>ScenarioStat5[[#This Row],[team-1-win]]+ScenarioStat5[[#This Row],[team-2-win]]</f>
        <v>0</v>
      </c>
    </row>
    <row r="222" spans="1:7" x14ac:dyDescent="0.25">
      <c r="A222" t="s">
        <v>56</v>
      </c>
      <c r="B222" t="s">
        <v>45</v>
      </c>
      <c r="C2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2" t="s">
        <v>33</v>
      </c>
      <c r="E222" t="s">
        <v>63</v>
      </c>
      <c r="F2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2">
        <f>ScenarioStat5[[#This Row],[team-1-win]]+ScenarioStat5[[#This Row],[team-2-win]]</f>
        <v>0</v>
      </c>
    </row>
    <row r="223" spans="1:7" x14ac:dyDescent="0.25">
      <c r="A223" t="s">
        <v>56</v>
      </c>
      <c r="B223" t="s">
        <v>45</v>
      </c>
      <c r="C2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3" t="s">
        <v>33</v>
      </c>
      <c r="E223" t="s">
        <v>38</v>
      </c>
      <c r="F2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3">
        <f>ScenarioStat5[[#This Row],[team-1-win]]+ScenarioStat5[[#This Row],[team-2-win]]</f>
        <v>0</v>
      </c>
    </row>
    <row r="224" spans="1:7" x14ac:dyDescent="0.25">
      <c r="A224" t="s">
        <v>56</v>
      </c>
      <c r="B224" t="s">
        <v>45</v>
      </c>
      <c r="C2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4" t="s">
        <v>33</v>
      </c>
      <c r="E224" t="s">
        <v>232</v>
      </c>
      <c r="F2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4">
        <f>ScenarioStat5[[#This Row],[team-1-win]]+ScenarioStat5[[#This Row],[team-2-win]]</f>
        <v>0</v>
      </c>
    </row>
    <row r="225" spans="1:7" x14ac:dyDescent="0.25">
      <c r="A225" t="s">
        <v>56</v>
      </c>
      <c r="B225" t="s">
        <v>45</v>
      </c>
      <c r="C2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5" t="s">
        <v>43</v>
      </c>
      <c r="E225" t="s">
        <v>63</v>
      </c>
      <c r="F2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5">
        <f>ScenarioStat5[[#This Row],[team-1-win]]+ScenarioStat5[[#This Row],[team-2-win]]</f>
        <v>0</v>
      </c>
    </row>
    <row r="226" spans="1:7" x14ac:dyDescent="0.25">
      <c r="A226" t="s">
        <v>56</v>
      </c>
      <c r="B226" t="s">
        <v>45</v>
      </c>
      <c r="C2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6" t="s">
        <v>43</v>
      </c>
      <c r="E226" t="s">
        <v>38</v>
      </c>
      <c r="F2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6">
        <f>ScenarioStat5[[#This Row],[team-1-win]]+ScenarioStat5[[#This Row],[team-2-win]]</f>
        <v>0</v>
      </c>
    </row>
    <row r="227" spans="1:7" x14ac:dyDescent="0.25">
      <c r="A227" t="s">
        <v>56</v>
      </c>
      <c r="B227" t="s">
        <v>45</v>
      </c>
      <c r="C2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7" t="s">
        <v>43</v>
      </c>
      <c r="E227" t="s">
        <v>232</v>
      </c>
      <c r="F2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7">
        <f>ScenarioStat5[[#This Row],[team-1-win]]+ScenarioStat5[[#This Row],[team-2-win]]</f>
        <v>0</v>
      </c>
    </row>
    <row r="228" spans="1:7" x14ac:dyDescent="0.25">
      <c r="A228" t="s">
        <v>56</v>
      </c>
      <c r="B228" t="s">
        <v>45</v>
      </c>
      <c r="C2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8" t="s">
        <v>63</v>
      </c>
      <c r="E228" t="s">
        <v>38</v>
      </c>
      <c r="F2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8">
        <f>ScenarioStat5[[#This Row],[team-1-win]]+ScenarioStat5[[#This Row],[team-2-win]]</f>
        <v>0</v>
      </c>
    </row>
    <row r="229" spans="1:7" x14ac:dyDescent="0.25">
      <c r="A229" t="s">
        <v>56</v>
      </c>
      <c r="B229" t="s">
        <v>45</v>
      </c>
      <c r="C2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9" t="s">
        <v>63</v>
      </c>
      <c r="E229" t="s">
        <v>232</v>
      </c>
      <c r="F2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9">
        <f>ScenarioStat5[[#This Row],[team-1-win]]+ScenarioStat5[[#This Row],[team-2-win]]</f>
        <v>0</v>
      </c>
    </row>
    <row r="230" spans="1:7" x14ac:dyDescent="0.25">
      <c r="A230" t="s">
        <v>56</v>
      </c>
      <c r="B230" t="s">
        <v>45</v>
      </c>
      <c r="C2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0" t="s">
        <v>38</v>
      </c>
      <c r="E230" t="s">
        <v>232</v>
      </c>
      <c r="F2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0">
        <f>ScenarioStat5[[#This Row],[team-1-win]]+ScenarioStat5[[#This Row],[team-2-win]]</f>
        <v>0</v>
      </c>
    </row>
    <row r="231" spans="1:7" x14ac:dyDescent="0.25">
      <c r="A231" t="s">
        <v>56</v>
      </c>
      <c r="B231" t="s">
        <v>63</v>
      </c>
      <c r="C2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1" t="s">
        <v>48</v>
      </c>
      <c r="E231" t="s">
        <v>33</v>
      </c>
      <c r="F2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1">
        <f>ScenarioStat5[[#This Row],[team-1-win]]+ScenarioStat5[[#This Row],[team-2-win]]</f>
        <v>0</v>
      </c>
    </row>
    <row r="232" spans="1:7" x14ac:dyDescent="0.25">
      <c r="A232" t="s">
        <v>56</v>
      </c>
      <c r="B232" t="s">
        <v>63</v>
      </c>
      <c r="C2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2" t="s">
        <v>48</v>
      </c>
      <c r="E232" t="s">
        <v>43</v>
      </c>
      <c r="F2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2">
        <f>ScenarioStat5[[#This Row],[team-1-win]]+ScenarioStat5[[#This Row],[team-2-win]]</f>
        <v>0</v>
      </c>
    </row>
    <row r="233" spans="1:7" x14ac:dyDescent="0.25">
      <c r="A233" t="s">
        <v>56</v>
      </c>
      <c r="B233" t="s">
        <v>63</v>
      </c>
      <c r="C2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3" t="s">
        <v>48</v>
      </c>
      <c r="E233" t="s">
        <v>45</v>
      </c>
      <c r="F2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3">
        <f>ScenarioStat5[[#This Row],[team-1-win]]+ScenarioStat5[[#This Row],[team-2-win]]</f>
        <v>0</v>
      </c>
    </row>
    <row r="234" spans="1:7" x14ac:dyDescent="0.25">
      <c r="A234" t="s">
        <v>56</v>
      </c>
      <c r="B234" t="s">
        <v>63</v>
      </c>
      <c r="C2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4" t="s">
        <v>48</v>
      </c>
      <c r="E234" t="s">
        <v>38</v>
      </c>
      <c r="F2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4">
        <f>ScenarioStat5[[#This Row],[team-1-win]]+ScenarioStat5[[#This Row],[team-2-win]]</f>
        <v>0</v>
      </c>
    </row>
    <row r="235" spans="1:7" x14ac:dyDescent="0.25">
      <c r="A235" t="s">
        <v>56</v>
      </c>
      <c r="B235" t="s">
        <v>63</v>
      </c>
      <c r="C2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5" t="s">
        <v>48</v>
      </c>
      <c r="E235" t="s">
        <v>232</v>
      </c>
      <c r="F2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5">
        <f>ScenarioStat5[[#This Row],[team-1-win]]+ScenarioStat5[[#This Row],[team-2-win]]</f>
        <v>0</v>
      </c>
    </row>
    <row r="236" spans="1:7" x14ac:dyDescent="0.25">
      <c r="A236" t="s">
        <v>56</v>
      </c>
      <c r="B236" t="s">
        <v>63</v>
      </c>
      <c r="C2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6" t="s">
        <v>33</v>
      </c>
      <c r="E236" t="s">
        <v>43</v>
      </c>
      <c r="F2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6">
        <f>ScenarioStat5[[#This Row],[team-1-win]]+ScenarioStat5[[#This Row],[team-2-win]]</f>
        <v>0</v>
      </c>
    </row>
    <row r="237" spans="1:7" x14ac:dyDescent="0.25">
      <c r="A237" t="s">
        <v>56</v>
      </c>
      <c r="B237" t="s">
        <v>63</v>
      </c>
      <c r="C2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7" t="s">
        <v>33</v>
      </c>
      <c r="E237" t="s">
        <v>45</v>
      </c>
      <c r="F2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7">
        <f>ScenarioStat5[[#This Row],[team-1-win]]+ScenarioStat5[[#This Row],[team-2-win]]</f>
        <v>0</v>
      </c>
    </row>
    <row r="238" spans="1:7" x14ac:dyDescent="0.25">
      <c r="A238" t="s">
        <v>56</v>
      </c>
      <c r="B238" t="s">
        <v>63</v>
      </c>
      <c r="C2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8" t="s">
        <v>33</v>
      </c>
      <c r="E238" t="s">
        <v>38</v>
      </c>
      <c r="F2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8">
        <f>ScenarioStat5[[#This Row],[team-1-win]]+ScenarioStat5[[#This Row],[team-2-win]]</f>
        <v>0</v>
      </c>
    </row>
    <row r="239" spans="1:7" x14ac:dyDescent="0.25">
      <c r="A239" t="s">
        <v>56</v>
      </c>
      <c r="B239" t="s">
        <v>63</v>
      </c>
      <c r="C2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9" t="s">
        <v>33</v>
      </c>
      <c r="E239" t="s">
        <v>232</v>
      </c>
      <c r="F2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9">
        <f>ScenarioStat5[[#This Row],[team-1-win]]+ScenarioStat5[[#This Row],[team-2-win]]</f>
        <v>0</v>
      </c>
    </row>
    <row r="240" spans="1:7" x14ac:dyDescent="0.25">
      <c r="A240" t="s">
        <v>56</v>
      </c>
      <c r="B240" t="s">
        <v>63</v>
      </c>
      <c r="C2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0" t="s">
        <v>43</v>
      </c>
      <c r="E240" t="s">
        <v>45</v>
      </c>
      <c r="F2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0">
        <f>ScenarioStat5[[#This Row],[team-1-win]]+ScenarioStat5[[#This Row],[team-2-win]]</f>
        <v>0</v>
      </c>
    </row>
    <row r="241" spans="1:7" x14ac:dyDescent="0.25">
      <c r="A241" t="s">
        <v>56</v>
      </c>
      <c r="B241" t="s">
        <v>63</v>
      </c>
      <c r="C2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1" t="s">
        <v>43</v>
      </c>
      <c r="E241" t="s">
        <v>38</v>
      </c>
      <c r="F2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1">
        <f>ScenarioStat5[[#This Row],[team-1-win]]+ScenarioStat5[[#This Row],[team-2-win]]</f>
        <v>0</v>
      </c>
    </row>
    <row r="242" spans="1:7" x14ac:dyDescent="0.25">
      <c r="A242" t="s">
        <v>56</v>
      </c>
      <c r="B242" t="s">
        <v>63</v>
      </c>
      <c r="C2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2" t="s">
        <v>43</v>
      </c>
      <c r="E242" t="s">
        <v>232</v>
      </c>
      <c r="F2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2">
        <f>ScenarioStat5[[#This Row],[team-1-win]]+ScenarioStat5[[#This Row],[team-2-win]]</f>
        <v>0</v>
      </c>
    </row>
    <row r="243" spans="1:7" x14ac:dyDescent="0.25">
      <c r="A243" t="s">
        <v>56</v>
      </c>
      <c r="B243" t="s">
        <v>63</v>
      </c>
      <c r="C2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3" t="s">
        <v>45</v>
      </c>
      <c r="E243" t="s">
        <v>38</v>
      </c>
      <c r="F2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3">
        <f>ScenarioStat5[[#This Row],[team-1-win]]+ScenarioStat5[[#This Row],[team-2-win]]</f>
        <v>0</v>
      </c>
    </row>
    <row r="244" spans="1:7" x14ac:dyDescent="0.25">
      <c r="A244" t="s">
        <v>56</v>
      </c>
      <c r="B244" t="s">
        <v>63</v>
      </c>
      <c r="C2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4" t="s">
        <v>45</v>
      </c>
      <c r="E244" t="s">
        <v>232</v>
      </c>
      <c r="F2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4">
        <f>ScenarioStat5[[#This Row],[team-1-win]]+ScenarioStat5[[#This Row],[team-2-win]]</f>
        <v>0</v>
      </c>
    </row>
    <row r="245" spans="1:7" x14ac:dyDescent="0.25">
      <c r="A245" t="s">
        <v>56</v>
      </c>
      <c r="B245" t="s">
        <v>63</v>
      </c>
      <c r="C2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5" t="s">
        <v>38</v>
      </c>
      <c r="E245" t="s">
        <v>232</v>
      </c>
      <c r="F2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5">
        <f>ScenarioStat5[[#This Row],[team-1-win]]+ScenarioStat5[[#This Row],[team-2-win]]</f>
        <v>0</v>
      </c>
    </row>
    <row r="246" spans="1:7" x14ac:dyDescent="0.25">
      <c r="A246" t="s">
        <v>56</v>
      </c>
      <c r="B246" t="s">
        <v>38</v>
      </c>
      <c r="C2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6" t="s">
        <v>48</v>
      </c>
      <c r="E246" t="s">
        <v>33</v>
      </c>
      <c r="F2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6">
        <f>ScenarioStat5[[#This Row],[team-1-win]]+ScenarioStat5[[#This Row],[team-2-win]]</f>
        <v>0</v>
      </c>
    </row>
    <row r="247" spans="1:7" x14ac:dyDescent="0.25">
      <c r="A247" t="s">
        <v>56</v>
      </c>
      <c r="B247" t="s">
        <v>38</v>
      </c>
      <c r="C2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7" t="s">
        <v>48</v>
      </c>
      <c r="E247" t="s">
        <v>43</v>
      </c>
      <c r="F2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7">
        <f>ScenarioStat5[[#This Row],[team-1-win]]+ScenarioStat5[[#This Row],[team-2-win]]</f>
        <v>0</v>
      </c>
    </row>
    <row r="248" spans="1:7" x14ac:dyDescent="0.25">
      <c r="A248" t="s">
        <v>56</v>
      </c>
      <c r="B248" t="s">
        <v>38</v>
      </c>
      <c r="C2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8" t="s">
        <v>48</v>
      </c>
      <c r="E248" t="s">
        <v>45</v>
      </c>
      <c r="F2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8">
        <f>ScenarioStat5[[#This Row],[team-1-win]]+ScenarioStat5[[#This Row],[team-2-win]]</f>
        <v>0</v>
      </c>
    </row>
    <row r="249" spans="1:7" x14ac:dyDescent="0.25">
      <c r="A249" t="s">
        <v>56</v>
      </c>
      <c r="B249" t="s">
        <v>38</v>
      </c>
      <c r="C2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9" t="s">
        <v>48</v>
      </c>
      <c r="E249" t="s">
        <v>63</v>
      </c>
      <c r="F2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9">
        <f>ScenarioStat5[[#This Row],[team-1-win]]+ScenarioStat5[[#This Row],[team-2-win]]</f>
        <v>0</v>
      </c>
    </row>
    <row r="250" spans="1:7" x14ac:dyDescent="0.25">
      <c r="A250" t="s">
        <v>56</v>
      </c>
      <c r="B250" t="s">
        <v>38</v>
      </c>
      <c r="C2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0" t="s">
        <v>48</v>
      </c>
      <c r="E250" t="s">
        <v>232</v>
      </c>
      <c r="F2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0">
        <f>ScenarioStat5[[#This Row],[team-1-win]]+ScenarioStat5[[#This Row],[team-2-win]]</f>
        <v>0</v>
      </c>
    </row>
    <row r="251" spans="1:7" x14ac:dyDescent="0.25">
      <c r="A251" t="s">
        <v>56</v>
      </c>
      <c r="B251" t="s">
        <v>38</v>
      </c>
      <c r="C2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1" t="s">
        <v>33</v>
      </c>
      <c r="E251" t="s">
        <v>43</v>
      </c>
      <c r="F2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1">
        <f>ScenarioStat5[[#This Row],[team-1-win]]+ScenarioStat5[[#This Row],[team-2-win]]</f>
        <v>0</v>
      </c>
    </row>
    <row r="252" spans="1:7" x14ac:dyDescent="0.25">
      <c r="A252" t="s">
        <v>56</v>
      </c>
      <c r="B252" t="s">
        <v>38</v>
      </c>
      <c r="C2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2" t="s">
        <v>33</v>
      </c>
      <c r="E252" t="s">
        <v>45</v>
      </c>
      <c r="F2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2">
        <f>ScenarioStat5[[#This Row],[team-1-win]]+ScenarioStat5[[#This Row],[team-2-win]]</f>
        <v>0</v>
      </c>
    </row>
    <row r="253" spans="1:7" x14ac:dyDescent="0.25">
      <c r="A253" t="s">
        <v>56</v>
      </c>
      <c r="B253" t="s">
        <v>38</v>
      </c>
      <c r="C2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3" t="s">
        <v>33</v>
      </c>
      <c r="E253" t="s">
        <v>63</v>
      </c>
      <c r="F2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3">
        <f>ScenarioStat5[[#This Row],[team-1-win]]+ScenarioStat5[[#This Row],[team-2-win]]</f>
        <v>0</v>
      </c>
    </row>
    <row r="254" spans="1:7" x14ac:dyDescent="0.25">
      <c r="A254" t="s">
        <v>56</v>
      </c>
      <c r="B254" t="s">
        <v>38</v>
      </c>
      <c r="C2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4" t="s">
        <v>33</v>
      </c>
      <c r="E254" t="s">
        <v>232</v>
      </c>
      <c r="F2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4">
        <f>ScenarioStat5[[#This Row],[team-1-win]]+ScenarioStat5[[#This Row],[team-2-win]]</f>
        <v>0</v>
      </c>
    </row>
    <row r="255" spans="1:7" x14ac:dyDescent="0.25">
      <c r="A255" t="s">
        <v>56</v>
      </c>
      <c r="B255" t="s">
        <v>38</v>
      </c>
      <c r="C2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5" t="s">
        <v>43</v>
      </c>
      <c r="E255" t="s">
        <v>45</v>
      </c>
      <c r="F2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5">
        <f>ScenarioStat5[[#This Row],[team-1-win]]+ScenarioStat5[[#This Row],[team-2-win]]</f>
        <v>0</v>
      </c>
    </row>
    <row r="256" spans="1:7" x14ac:dyDescent="0.25">
      <c r="A256" t="s">
        <v>56</v>
      </c>
      <c r="B256" t="s">
        <v>38</v>
      </c>
      <c r="C2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6" t="s">
        <v>43</v>
      </c>
      <c r="E256" t="s">
        <v>63</v>
      </c>
      <c r="F2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6">
        <f>ScenarioStat5[[#This Row],[team-1-win]]+ScenarioStat5[[#This Row],[team-2-win]]</f>
        <v>0</v>
      </c>
    </row>
    <row r="257" spans="1:7" x14ac:dyDescent="0.25">
      <c r="A257" t="s">
        <v>56</v>
      </c>
      <c r="B257" t="s">
        <v>38</v>
      </c>
      <c r="C2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7" t="s">
        <v>43</v>
      </c>
      <c r="E257" t="s">
        <v>232</v>
      </c>
      <c r="F2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7">
        <f>ScenarioStat5[[#This Row],[team-1-win]]+ScenarioStat5[[#This Row],[team-2-win]]</f>
        <v>0</v>
      </c>
    </row>
    <row r="258" spans="1:7" x14ac:dyDescent="0.25">
      <c r="A258" t="s">
        <v>56</v>
      </c>
      <c r="B258" t="s">
        <v>38</v>
      </c>
      <c r="C2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8" t="s">
        <v>45</v>
      </c>
      <c r="E258" t="s">
        <v>63</v>
      </c>
      <c r="F2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8">
        <f>ScenarioStat5[[#This Row],[team-1-win]]+ScenarioStat5[[#This Row],[team-2-win]]</f>
        <v>0</v>
      </c>
    </row>
    <row r="259" spans="1:7" x14ac:dyDescent="0.25">
      <c r="A259" t="s">
        <v>56</v>
      </c>
      <c r="B259" t="s">
        <v>38</v>
      </c>
      <c r="C2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9" t="s">
        <v>45</v>
      </c>
      <c r="E259" t="s">
        <v>232</v>
      </c>
      <c r="F2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9">
        <f>ScenarioStat5[[#This Row],[team-1-win]]+ScenarioStat5[[#This Row],[team-2-win]]</f>
        <v>0</v>
      </c>
    </row>
    <row r="260" spans="1:7" x14ac:dyDescent="0.25">
      <c r="A260" t="s">
        <v>56</v>
      </c>
      <c r="B260" t="s">
        <v>38</v>
      </c>
      <c r="C2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0" t="s">
        <v>63</v>
      </c>
      <c r="E260" t="s">
        <v>232</v>
      </c>
      <c r="F2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0">
        <f>ScenarioStat5[[#This Row],[team-1-win]]+ScenarioStat5[[#This Row],[team-2-win]]</f>
        <v>0</v>
      </c>
    </row>
    <row r="261" spans="1:7" x14ac:dyDescent="0.25">
      <c r="A261" t="s">
        <v>56</v>
      </c>
      <c r="B261" t="s">
        <v>232</v>
      </c>
      <c r="C2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1" t="s">
        <v>48</v>
      </c>
      <c r="E261" t="s">
        <v>33</v>
      </c>
      <c r="F2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1">
        <f>ScenarioStat5[[#This Row],[team-1-win]]+ScenarioStat5[[#This Row],[team-2-win]]</f>
        <v>0</v>
      </c>
    </row>
    <row r="262" spans="1:7" x14ac:dyDescent="0.25">
      <c r="A262" t="s">
        <v>56</v>
      </c>
      <c r="B262" t="s">
        <v>232</v>
      </c>
      <c r="C2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2" t="s">
        <v>48</v>
      </c>
      <c r="E262" t="s">
        <v>43</v>
      </c>
      <c r="F2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2">
        <f>ScenarioStat5[[#This Row],[team-1-win]]+ScenarioStat5[[#This Row],[team-2-win]]</f>
        <v>0</v>
      </c>
    </row>
    <row r="263" spans="1:7" x14ac:dyDescent="0.25">
      <c r="A263" t="s">
        <v>56</v>
      </c>
      <c r="B263" t="s">
        <v>232</v>
      </c>
      <c r="C2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3" t="s">
        <v>48</v>
      </c>
      <c r="E263" t="s">
        <v>45</v>
      </c>
      <c r="F2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3">
        <f>ScenarioStat5[[#This Row],[team-1-win]]+ScenarioStat5[[#This Row],[team-2-win]]</f>
        <v>0</v>
      </c>
    </row>
    <row r="264" spans="1:7" x14ac:dyDescent="0.25">
      <c r="A264" t="s">
        <v>56</v>
      </c>
      <c r="B264" t="s">
        <v>232</v>
      </c>
      <c r="C2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4" t="s">
        <v>48</v>
      </c>
      <c r="E264" t="s">
        <v>63</v>
      </c>
      <c r="F2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4">
        <f>ScenarioStat5[[#This Row],[team-1-win]]+ScenarioStat5[[#This Row],[team-2-win]]</f>
        <v>0</v>
      </c>
    </row>
    <row r="265" spans="1:7" x14ac:dyDescent="0.25">
      <c r="A265" t="s">
        <v>56</v>
      </c>
      <c r="B265" t="s">
        <v>232</v>
      </c>
      <c r="C2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5" t="s">
        <v>48</v>
      </c>
      <c r="E265" t="s">
        <v>38</v>
      </c>
      <c r="F2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5">
        <f>ScenarioStat5[[#This Row],[team-1-win]]+ScenarioStat5[[#This Row],[team-2-win]]</f>
        <v>0</v>
      </c>
    </row>
    <row r="266" spans="1:7" x14ac:dyDescent="0.25">
      <c r="A266" t="s">
        <v>56</v>
      </c>
      <c r="B266" t="s">
        <v>232</v>
      </c>
      <c r="C2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6" t="s">
        <v>33</v>
      </c>
      <c r="E266" t="s">
        <v>43</v>
      </c>
      <c r="F2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6">
        <f>ScenarioStat5[[#This Row],[team-1-win]]+ScenarioStat5[[#This Row],[team-2-win]]</f>
        <v>0</v>
      </c>
    </row>
    <row r="267" spans="1:7" x14ac:dyDescent="0.25">
      <c r="A267" t="s">
        <v>56</v>
      </c>
      <c r="B267" t="s">
        <v>232</v>
      </c>
      <c r="C2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7" t="s">
        <v>33</v>
      </c>
      <c r="E267" t="s">
        <v>45</v>
      </c>
      <c r="F2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7">
        <f>ScenarioStat5[[#This Row],[team-1-win]]+ScenarioStat5[[#This Row],[team-2-win]]</f>
        <v>0</v>
      </c>
    </row>
    <row r="268" spans="1:7" x14ac:dyDescent="0.25">
      <c r="A268" t="s">
        <v>56</v>
      </c>
      <c r="B268" t="s">
        <v>232</v>
      </c>
      <c r="C2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8" t="s">
        <v>33</v>
      </c>
      <c r="E268" t="s">
        <v>63</v>
      </c>
      <c r="F2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8">
        <f>ScenarioStat5[[#This Row],[team-1-win]]+ScenarioStat5[[#This Row],[team-2-win]]</f>
        <v>0</v>
      </c>
    </row>
    <row r="269" spans="1:7" x14ac:dyDescent="0.25">
      <c r="A269" t="s">
        <v>56</v>
      </c>
      <c r="B269" t="s">
        <v>232</v>
      </c>
      <c r="C2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9" t="s">
        <v>33</v>
      </c>
      <c r="E269" t="s">
        <v>38</v>
      </c>
      <c r="F2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9">
        <f>ScenarioStat5[[#This Row],[team-1-win]]+ScenarioStat5[[#This Row],[team-2-win]]</f>
        <v>0</v>
      </c>
    </row>
    <row r="270" spans="1:7" x14ac:dyDescent="0.25">
      <c r="A270" t="s">
        <v>56</v>
      </c>
      <c r="B270" t="s">
        <v>232</v>
      </c>
      <c r="C2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0" t="s">
        <v>43</v>
      </c>
      <c r="E270" t="s">
        <v>45</v>
      </c>
      <c r="F2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0">
        <f>ScenarioStat5[[#This Row],[team-1-win]]+ScenarioStat5[[#This Row],[team-2-win]]</f>
        <v>0</v>
      </c>
    </row>
    <row r="271" spans="1:7" x14ac:dyDescent="0.25">
      <c r="A271" t="s">
        <v>56</v>
      </c>
      <c r="B271" t="s">
        <v>232</v>
      </c>
      <c r="C2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1" t="s">
        <v>43</v>
      </c>
      <c r="E271" t="s">
        <v>63</v>
      </c>
      <c r="F2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1">
        <f>ScenarioStat5[[#This Row],[team-1-win]]+ScenarioStat5[[#This Row],[team-2-win]]</f>
        <v>0</v>
      </c>
    </row>
    <row r="272" spans="1:7" x14ac:dyDescent="0.25">
      <c r="A272" t="s">
        <v>56</v>
      </c>
      <c r="B272" t="s">
        <v>232</v>
      </c>
      <c r="C2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2" t="s">
        <v>43</v>
      </c>
      <c r="E272" t="s">
        <v>38</v>
      </c>
      <c r="F2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2">
        <f>ScenarioStat5[[#This Row],[team-1-win]]+ScenarioStat5[[#This Row],[team-2-win]]</f>
        <v>0</v>
      </c>
    </row>
    <row r="273" spans="1:7" x14ac:dyDescent="0.25">
      <c r="A273" t="s">
        <v>56</v>
      </c>
      <c r="B273" t="s">
        <v>232</v>
      </c>
      <c r="C2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3" t="s">
        <v>45</v>
      </c>
      <c r="E273" t="s">
        <v>63</v>
      </c>
      <c r="F2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3">
        <f>ScenarioStat5[[#This Row],[team-1-win]]+ScenarioStat5[[#This Row],[team-2-win]]</f>
        <v>0</v>
      </c>
    </row>
    <row r="274" spans="1:7" x14ac:dyDescent="0.25">
      <c r="A274" t="s">
        <v>56</v>
      </c>
      <c r="B274" t="s">
        <v>232</v>
      </c>
      <c r="C2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4" t="s">
        <v>45</v>
      </c>
      <c r="E274" t="s">
        <v>38</v>
      </c>
      <c r="F2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4">
        <f>ScenarioStat5[[#This Row],[team-1-win]]+ScenarioStat5[[#This Row],[team-2-win]]</f>
        <v>0</v>
      </c>
    </row>
    <row r="275" spans="1:7" x14ac:dyDescent="0.25">
      <c r="A275" t="s">
        <v>56</v>
      </c>
      <c r="B275" t="s">
        <v>232</v>
      </c>
      <c r="C2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5" t="s">
        <v>63</v>
      </c>
      <c r="E275" t="s">
        <v>38</v>
      </c>
      <c r="F2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5">
        <f>ScenarioStat5[[#This Row],[team-1-win]]+ScenarioStat5[[#This Row],[team-2-win]]</f>
        <v>0</v>
      </c>
    </row>
    <row r="276" spans="1:7" x14ac:dyDescent="0.25">
      <c r="A276" t="s">
        <v>48</v>
      </c>
      <c r="B276" t="s">
        <v>33</v>
      </c>
      <c r="C2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6" t="s">
        <v>43</v>
      </c>
      <c r="E276" t="s">
        <v>45</v>
      </c>
      <c r="F2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6">
        <f>ScenarioStat5[[#This Row],[team-1-win]]+ScenarioStat5[[#This Row],[team-2-win]]</f>
        <v>0</v>
      </c>
    </row>
    <row r="277" spans="1:7" x14ac:dyDescent="0.25">
      <c r="A277" t="s">
        <v>48</v>
      </c>
      <c r="B277" t="s">
        <v>33</v>
      </c>
      <c r="C2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7" t="s">
        <v>43</v>
      </c>
      <c r="E277" t="s">
        <v>63</v>
      </c>
      <c r="F2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7">
        <f>ScenarioStat5[[#This Row],[team-1-win]]+ScenarioStat5[[#This Row],[team-2-win]]</f>
        <v>0</v>
      </c>
    </row>
    <row r="278" spans="1:7" x14ac:dyDescent="0.25">
      <c r="A278" t="s">
        <v>48</v>
      </c>
      <c r="B278" t="s">
        <v>33</v>
      </c>
      <c r="C2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8" t="s">
        <v>43</v>
      </c>
      <c r="E278" t="s">
        <v>38</v>
      </c>
      <c r="F2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8">
        <f>ScenarioStat5[[#This Row],[team-1-win]]+ScenarioStat5[[#This Row],[team-2-win]]</f>
        <v>0</v>
      </c>
    </row>
    <row r="279" spans="1:7" x14ac:dyDescent="0.25">
      <c r="A279" t="s">
        <v>48</v>
      </c>
      <c r="B279" t="s">
        <v>33</v>
      </c>
      <c r="C2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9" t="s">
        <v>43</v>
      </c>
      <c r="E279" t="s">
        <v>232</v>
      </c>
      <c r="F2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9">
        <f>ScenarioStat5[[#This Row],[team-1-win]]+ScenarioStat5[[#This Row],[team-2-win]]</f>
        <v>0</v>
      </c>
    </row>
    <row r="280" spans="1:7" x14ac:dyDescent="0.25">
      <c r="A280" t="s">
        <v>48</v>
      </c>
      <c r="B280" t="s">
        <v>33</v>
      </c>
      <c r="C2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0" t="s">
        <v>45</v>
      </c>
      <c r="E280" t="s">
        <v>63</v>
      </c>
      <c r="F2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0">
        <f>ScenarioStat5[[#This Row],[team-1-win]]+ScenarioStat5[[#This Row],[team-2-win]]</f>
        <v>0</v>
      </c>
    </row>
    <row r="281" spans="1:7" x14ac:dyDescent="0.25">
      <c r="A281" t="s">
        <v>48</v>
      </c>
      <c r="B281" t="s">
        <v>33</v>
      </c>
      <c r="C2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1" t="s">
        <v>45</v>
      </c>
      <c r="E281" t="s">
        <v>38</v>
      </c>
      <c r="F2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1">
        <f>ScenarioStat5[[#This Row],[team-1-win]]+ScenarioStat5[[#This Row],[team-2-win]]</f>
        <v>0</v>
      </c>
    </row>
    <row r="282" spans="1:7" x14ac:dyDescent="0.25">
      <c r="A282" t="s">
        <v>48</v>
      </c>
      <c r="B282" t="s">
        <v>33</v>
      </c>
      <c r="C2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2" t="s">
        <v>45</v>
      </c>
      <c r="E282" t="s">
        <v>232</v>
      </c>
      <c r="F2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2">
        <f>ScenarioStat5[[#This Row],[team-1-win]]+ScenarioStat5[[#This Row],[team-2-win]]</f>
        <v>0</v>
      </c>
    </row>
    <row r="283" spans="1:7" x14ac:dyDescent="0.25">
      <c r="A283" t="s">
        <v>48</v>
      </c>
      <c r="B283" t="s">
        <v>33</v>
      </c>
      <c r="C2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3" t="s">
        <v>63</v>
      </c>
      <c r="E283" t="s">
        <v>38</v>
      </c>
      <c r="F2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3">
        <f>ScenarioStat5[[#This Row],[team-1-win]]+ScenarioStat5[[#This Row],[team-2-win]]</f>
        <v>0</v>
      </c>
    </row>
    <row r="284" spans="1:7" x14ac:dyDescent="0.25">
      <c r="A284" t="s">
        <v>48</v>
      </c>
      <c r="B284" t="s">
        <v>33</v>
      </c>
      <c r="C2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4" t="s">
        <v>63</v>
      </c>
      <c r="E284" t="s">
        <v>232</v>
      </c>
      <c r="F2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4">
        <f>ScenarioStat5[[#This Row],[team-1-win]]+ScenarioStat5[[#This Row],[team-2-win]]</f>
        <v>0</v>
      </c>
    </row>
    <row r="285" spans="1:7" x14ac:dyDescent="0.25">
      <c r="A285" t="s">
        <v>48</v>
      </c>
      <c r="B285" t="s">
        <v>33</v>
      </c>
      <c r="C2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5" t="s">
        <v>38</v>
      </c>
      <c r="E285" t="s">
        <v>232</v>
      </c>
      <c r="F2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5">
        <f>ScenarioStat5[[#This Row],[team-1-win]]+ScenarioStat5[[#This Row],[team-2-win]]</f>
        <v>0</v>
      </c>
    </row>
    <row r="286" spans="1:7" x14ac:dyDescent="0.25">
      <c r="A286" t="s">
        <v>48</v>
      </c>
      <c r="B286" t="s">
        <v>43</v>
      </c>
      <c r="C2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6" t="s">
        <v>33</v>
      </c>
      <c r="E286" t="s">
        <v>45</v>
      </c>
      <c r="F2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6">
        <f>ScenarioStat5[[#This Row],[team-1-win]]+ScenarioStat5[[#This Row],[team-2-win]]</f>
        <v>0</v>
      </c>
    </row>
    <row r="287" spans="1:7" x14ac:dyDescent="0.25">
      <c r="A287" t="s">
        <v>48</v>
      </c>
      <c r="B287" t="s">
        <v>43</v>
      </c>
      <c r="C2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7" t="s">
        <v>33</v>
      </c>
      <c r="E287" t="s">
        <v>63</v>
      </c>
      <c r="F2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7">
        <f>ScenarioStat5[[#This Row],[team-1-win]]+ScenarioStat5[[#This Row],[team-2-win]]</f>
        <v>0</v>
      </c>
    </row>
    <row r="288" spans="1:7" x14ac:dyDescent="0.25">
      <c r="A288" t="s">
        <v>48</v>
      </c>
      <c r="B288" t="s">
        <v>43</v>
      </c>
      <c r="C2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8" t="s">
        <v>33</v>
      </c>
      <c r="E288" t="s">
        <v>38</v>
      </c>
      <c r="F2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8">
        <f>ScenarioStat5[[#This Row],[team-1-win]]+ScenarioStat5[[#This Row],[team-2-win]]</f>
        <v>0</v>
      </c>
    </row>
    <row r="289" spans="1:7" x14ac:dyDescent="0.25">
      <c r="A289" t="s">
        <v>48</v>
      </c>
      <c r="B289" t="s">
        <v>43</v>
      </c>
      <c r="C2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9" t="s">
        <v>33</v>
      </c>
      <c r="E289" t="s">
        <v>232</v>
      </c>
      <c r="F2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9">
        <f>ScenarioStat5[[#This Row],[team-1-win]]+ScenarioStat5[[#This Row],[team-2-win]]</f>
        <v>0</v>
      </c>
    </row>
    <row r="290" spans="1:7" x14ac:dyDescent="0.25">
      <c r="A290" t="s">
        <v>48</v>
      </c>
      <c r="B290" t="s">
        <v>43</v>
      </c>
      <c r="C2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0" t="s">
        <v>45</v>
      </c>
      <c r="E290" t="s">
        <v>63</v>
      </c>
      <c r="F2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0">
        <f>ScenarioStat5[[#This Row],[team-1-win]]+ScenarioStat5[[#This Row],[team-2-win]]</f>
        <v>0</v>
      </c>
    </row>
    <row r="291" spans="1:7" x14ac:dyDescent="0.25">
      <c r="A291" t="s">
        <v>48</v>
      </c>
      <c r="B291" t="s">
        <v>43</v>
      </c>
      <c r="C2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1" t="s">
        <v>45</v>
      </c>
      <c r="E291" t="s">
        <v>38</v>
      </c>
      <c r="F2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1">
        <f>ScenarioStat5[[#This Row],[team-1-win]]+ScenarioStat5[[#This Row],[team-2-win]]</f>
        <v>0</v>
      </c>
    </row>
    <row r="292" spans="1:7" x14ac:dyDescent="0.25">
      <c r="A292" t="s">
        <v>48</v>
      </c>
      <c r="B292" t="s">
        <v>43</v>
      </c>
      <c r="C2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2" t="s">
        <v>45</v>
      </c>
      <c r="E292" t="s">
        <v>232</v>
      </c>
      <c r="F2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2">
        <f>ScenarioStat5[[#This Row],[team-1-win]]+ScenarioStat5[[#This Row],[team-2-win]]</f>
        <v>0</v>
      </c>
    </row>
    <row r="293" spans="1:7" x14ac:dyDescent="0.25">
      <c r="A293" t="s">
        <v>48</v>
      </c>
      <c r="B293" t="s">
        <v>43</v>
      </c>
      <c r="C2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3" t="s">
        <v>63</v>
      </c>
      <c r="E293" t="s">
        <v>38</v>
      </c>
      <c r="F2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3">
        <f>ScenarioStat5[[#This Row],[team-1-win]]+ScenarioStat5[[#This Row],[team-2-win]]</f>
        <v>0</v>
      </c>
    </row>
    <row r="294" spans="1:7" x14ac:dyDescent="0.25">
      <c r="A294" t="s">
        <v>48</v>
      </c>
      <c r="B294" t="s">
        <v>43</v>
      </c>
      <c r="C2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4" t="s">
        <v>63</v>
      </c>
      <c r="E294" t="s">
        <v>232</v>
      </c>
      <c r="F2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4">
        <f>ScenarioStat5[[#This Row],[team-1-win]]+ScenarioStat5[[#This Row],[team-2-win]]</f>
        <v>0</v>
      </c>
    </row>
    <row r="295" spans="1:7" x14ac:dyDescent="0.25">
      <c r="A295" t="s">
        <v>48</v>
      </c>
      <c r="B295" t="s">
        <v>43</v>
      </c>
      <c r="C2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5" t="s">
        <v>38</v>
      </c>
      <c r="E295" t="s">
        <v>232</v>
      </c>
      <c r="F2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5">
        <f>ScenarioStat5[[#This Row],[team-1-win]]+ScenarioStat5[[#This Row],[team-2-win]]</f>
        <v>0</v>
      </c>
    </row>
    <row r="296" spans="1:7" x14ac:dyDescent="0.25">
      <c r="A296" t="s">
        <v>48</v>
      </c>
      <c r="B296" t="s">
        <v>45</v>
      </c>
      <c r="C2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6" t="s">
        <v>33</v>
      </c>
      <c r="E296" t="s">
        <v>43</v>
      </c>
      <c r="F2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6">
        <f>ScenarioStat5[[#This Row],[team-1-win]]+ScenarioStat5[[#This Row],[team-2-win]]</f>
        <v>0</v>
      </c>
    </row>
    <row r="297" spans="1:7" x14ac:dyDescent="0.25">
      <c r="A297" t="s">
        <v>48</v>
      </c>
      <c r="B297" t="s">
        <v>45</v>
      </c>
      <c r="C2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7" t="s">
        <v>33</v>
      </c>
      <c r="E297" t="s">
        <v>63</v>
      </c>
      <c r="F2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7">
        <f>ScenarioStat5[[#This Row],[team-1-win]]+ScenarioStat5[[#This Row],[team-2-win]]</f>
        <v>0</v>
      </c>
    </row>
    <row r="298" spans="1:7" x14ac:dyDescent="0.25">
      <c r="A298" t="s">
        <v>48</v>
      </c>
      <c r="B298" t="s">
        <v>45</v>
      </c>
      <c r="C2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8" t="s">
        <v>33</v>
      </c>
      <c r="E298" t="s">
        <v>38</v>
      </c>
      <c r="F2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8">
        <f>ScenarioStat5[[#This Row],[team-1-win]]+ScenarioStat5[[#This Row],[team-2-win]]</f>
        <v>0</v>
      </c>
    </row>
    <row r="299" spans="1:7" x14ac:dyDescent="0.25">
      <c r="A299" t="s">
        <v>48</v>
      </c>
      <c r="B299" t="s">
        <v>45</v>
      </c>
      <c r="C2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9" t="s">
        <v>33</v>
      </c>
      <c r="E299" t="s">
        <v>232</v>
      </c>
      <c r="F2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9">
        <f>ScenarioStat5[[#This Row],[team-1-win]]+ScenarioStat5[[#This Row],[team-2-win]]</f>
        <v>0</v>
      </c>
    </row>
    <row r="300" spans="1:7" x14ac:dyDescent="0.25">
      <c r="A300" t="s">
        <v>48</v>
      </c>
      <c r="B300" t="s">
        <v>45</v>
      </c>
      <c r="C3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0" t="s">
        <v>43</v>
      </c>
      <c r="E300" t="s">
        <v>63</v>
      </c>
      <c r="F3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0">
        <f>ScenarioStat5[[#This Row],[team-1-win]]+ScenarioStat5[[#This Row],[team-2-win]]</f>
        <v>0</v>
      </c>
    </row>
    <row r="301" spans="1:7" x14ac:dyDescent="0.25">
      <c r="A301" t="s">
        <v>48</v>
      </c>
      <c r="B301" t="s">
        <v>45</v>
      </c>
      <c r="C3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1" t="s">
        <v>43</v>
      </c>
      <c r="E301" t="s">
        <v>38</v>
      </c>
      <c r="F3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1">
        <f>ScenarioStat5[[#This Row],[team-1-win]]+ScenarioStat5[[#This Row],[team-2-win]]</f>
        <v>0</v>
      </c>
    </row>
    <row r="302" spans="1:7" x14ac:dyDescent="0.25">
      <c r="A302" t="s">
        <v>48</v>
      </c>
      <c r="B302" t="s">
        <v>45</v>
      </c>
      <c r="C3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2" t="s">
        <v>43</v>
      </c>
      <c r="E302" t="s">
        <v>232</v>
      </c>
      <c r="F3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2">
        <f>ScenarioStat5[[#This Row],[team-1-win]]+ScenarioStat5[[#This Row],[team-2-win]]</f>
        <v>0</v>
      </c>
    </row>
    <row r="303" spans="1:7" x14ac:dyDescent="0.25">
      <c r="A303" t="s">
        <v>48</v>
      </c>
      <c r="B303" t="s">
        <v>45</v>
      </c>
      <c r="C3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3" t="s">
        <v>63</v>
      </c>
      <c r="E303" t="s">
        <v>38</v>
      </c>
      <c r="F3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3">
        <f>ScenarioStat5[[#This Row],[team-1-win]]+ScenarioStat5[[#This Row],[team-2-win]]</f>
        <v>0</v>
      </c>
    </row>
    <row r="304" spans="1:7" x14ac:dyDescent="0.25">
      <c r="A304" t="s">
        <v>48</v>
      </c>
      <c r="B304" t="s">
        <v>45</v>
      </c>
      <c r="C3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4" t="s">
        <v>63</v>
      </c>
      <c r="E304" t="s">
        <v>232</v>
      </c>
      <c r="F3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4">
        <f>ScenarioStat5[[#This Row],[team-1-win]]+ScenarioStat5[[#This Row],[team-2-win]]</f>
        <v>0</v>
      </c>
    </row>
    <row r="305" spans="1:7" x14ac:dyDescent="0.25">
      <c r="A305" t="s">
        <v>48</v>
      </c>
      <c r="B305" t="s">
        <v>45</v>
      </c>
      <c r="C3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5" t="s">
        <v>38</v>
      </c>
      <c r="E305" t="s">
        <v>232</v>
      </c>
      <c r="F3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5">
        <f>ScenarioStat5[[#This Row],[team-1-win]]+ScenarioStat5[[#This Row],[team-2-win]]</f>
        <v>0</v>
      </c>
    </row>
    <row r="306" spans="1:7" x14ac:dyDescent="0.25">
      <c r="A306" t="s">
        <v>48</v>
      </c>
      <c r="B306" t="s">
        <v>63</v>
      </c>
      <c r="C3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6" t="s">
        <v>33</v>
      </c>
      <c r="E306" t="s">
        <v>43</v>
      </c>
      <c r="F3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6">
        <f>ScenarioStat5[[#This Row],[team-1-win]]+ScenarioStat5[[#This Row],[team-2-win]]</f>
        <v>0</v>
      </c>
    </row>
    <row r="307" spans="1:7" x14ac:dyDescent="0.25">
      <c r="A307" t="s">
        <v>48</v>
      </c>
      <c r="B307" t="s">
        <v>63</v>
      </c>
      <c r="C3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7" t="s">
        <v>33</v>
      </c>
      <c r="E307" t="s">
        <v>45</v>
      </c>
      <c r="F3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7">
        <f>ScenarioStat5[[#This Row],[team-1-win]]+ScenarioStat5[[#This Row],[team-2-win]]</f>
        <v>0</v>
      </c>
    </row>
    <row r="308" spans="1:7" x14ac:dyDescent="0.25">
      <c r="A308" t="s">
        <v>48</v>
      </c>
      <c r="B308" t="s">
        <v>63</v>
      </c>
      <c r="C3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8" t="s">
        <v>33</v>
      </c>
      <c r="E308" t="s">
        <v>38</v>
      </c>
      <c r="F3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8">
        <f>ScenarioStat5[[#This Row],[team-1-win]]+ScenarioStat5[[#This Row],[team-2-win]]</f>
        <v>0</v>
      </c>
    </row>
    <row r="309" spans="1:7" x14ac:dyDescent="0.25">
      <c r="A309" t="s">
        <v>48</v>
      </c>
      <c r="B309" t="s">
        <v>63</v>
      </c>
      <c r="C3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9" t="s">
        <v>33</v>
      </c>
      <c r="E309" t="s">
        <v>232</v>
      </c>
      <c r="F3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9">
        <f>ScenarioStat5[[#This Row],[team-1-win]]+ScenarioStat5[[#This Row],[team-2-win]]</f>
        <v>0</v>
      </c>
    </row>
    <row r="310" spans="1:7" x14ac:dyDescent="0.25">
      <c r="A310" t="s">
        <v>48</v>
      </c>
      <c r="B310" t="s">
        <v>63</v>
      </c>
      <c r="C3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0" t="s">
        <v>43</v>
      </c>
      <c r="E310" t="s">
        <v>45</v>
      </c>
      <c r="F3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0">
        <f>ScenarioStat5[[#This Row],[team-1-win]]+ScenarioStat5[[#This Row],[team-2-win]]</f>
        <v>0</v>
      </c>
    </row>
    <row r="311" spans="1:7" x14ac:dyDescent="0.25">
      <c r="A311" t="s">
        <v>48</v>
      </c>
      <c r="B311" t="s">
        <v>63</v>
      </c>
      <c r="C3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1" t="s">
        <v>43</v>
      </c>
      <c r="E311" t="s">
        <v>38</v>
      </c>
      <c r="F3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1">
        <f>ScenarioStat5[[#This Row],[team-1-win]]+ScenarioStat5[[#This Row],[team-2-win]]</f>
        <v>0</v>
      </c>
    </row>
    <row r="312" spans="1:7" x14ac:dyDescent="0.25">
      <c r="A312" t="s">
        <v>48</v>
      </c>
      <c r="B312" t="s">
        <v>63</v>
      </c>
      <c r="C3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2" t="s">
        <v>43</v>
      </c>
      <c r="E312" t="s">
        <v>232</v>
      </c>
      <c r="F3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2">
        <f>ScenarioStat5[[#This Row],[team-1-win]]+ScenarioStat5[[#This Row],[team-2-win]]</f>
        <v>0</v>
      </c>
    </row>
    <row r="313" spans="1:7" x14ac:dyDescent="0.25">
      <c r="A313" t="s">
        <v>48</v>
      </c>
      <c r="B313" t="s">
        <v>63</v>
      </c>
      <c r="C3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3" t="s">
        <v>45</v>
      </c>
      <c r="E313" t="s">
        <v>38</v>
      </c>
      <c r="F3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3">
        <f>ScenarioStat5[[#This Row],[team-1-win]]+ScenarioStat5[[#This Row],[team-2-win]]</f>
        <v>0</v>
      </c>
    </row>
    <row r="314" spans="1:7" x14ac:dyDescent="0.25">
      <c r="A314" t="s">
        <v>48</v>
      </c>
      <c r="B314" t="s">
        <v>63</v>
      </c>
      <c r="C3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4" t="s">
        <v>45</v>
      </c>
      <c r="E314" t="s">
        <v>232</v>
      </c>
      <c r="F3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4">
        <f>ScenarioStat5[[#This Row],[team-1-win]]+ScenarioStat5[[#This Row],[team-2-win]]</f>
        <v>0</v>
      </c>
    </row>
    <row r="315" spans="1:7" x14ac:dyDescent="0.25">
      <c r="A315" t="s">
        <v>48</v>
      </c>
      <c r="B315" t="s">
        <v>63</v>
      </c>
      <c r="C3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5" t="s">
        <v>38</v>
      </c>
      <c r="E315" t="s">
        <v>232</v>
      </c>
      <c r="F3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5">
        <f>ScenarioStat5[[#This Row],[team-1-win]]+ScenarioStat5[[#This Row],[team-2-win]]</f>
        <v>0</v>
      </c>
    </row>
    <row r="316" spans="1:7" x14ac:dyDescent="0.25">
      <c r="A316" t="s">
        <v>48</v>
      </c>
      <c r="B316" t="s">
        <v>38</v>
      </c>
      <c r="C3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6" t="s">
        <v>33</v>
      </c>
      <c r="E316" t="s">
        <v>43</v>
      </c>
      <c r="F3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6">
        <f>ScenarioStat5[[#This Row],[team-1-win]]+ScenarioStat5[[#This Row],[team-2-win]]</f>
        <v>0</v>
      </c>
    </row>
    <row r="317" spans="1:7" x14ac:dyDescent="0.25">
      <c r="A317" t="s">
        <v>48</v>
      </c>
      <c r="B317" t="s">
        <v>38</v>
      </c>
      <c r="C3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7" t="s">
        <v>33</v>
      </c>
      <c r="E317" t="s">
        <v>45</v>
      </c>
      <c r="F3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7">
        <f>ScenarioStat5[[#This Row],[team-1-win]]+ScenarioStat5[[#This Row],[team-2-win]]</f>
        <v>0</v>
      </c>
    </row>
    <row r="318" spans="1:7" x14ac:dyDescent="0.25">
      <c r="A318" t="s">
        <v>48</v>
      </c>
      <c r="B318" t="s">
        <v>38</v>
      </c>
      <c r="C3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8" t="s">
        <v>33</v>
      </c>
      <c r="E318" t="s">
        <v>63</v>
      </c>
      <c r="F3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8">
        <f>ScenarioStat5[[#This Row],[team-1-win]]+ScenarioStat5[[#This Row],[team-2-win]]</f>
        <v>0</v>
      </c>
    </row>
    <row r="319" spans="1:7" x14ac:dyDescent="0.25">
      <c r="A319" t="s">
        <v>48</v>
      </c>
      <c r="B319" t="s">
        <v>38</v>
      </c>
      <c r="C3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9" t="s">
        <v>33</v>
      </c>
      <c r="E319" t="s">
        <v>232</v>
      </c>
      <c r="F3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9">
        <f>ScenarioStat5[[#This Row],[team-1-win]]+ScenarioStat5[[#This Row],[team-2-win]]</f>
        <v>0</v>
      </c>
    </row>
    <row r="320" spans="1:7" x14ac:dyDescent="0.25">
      <c r="A320" t="s">
        <v>48</v>
      </c>
      <c r="B320" t="s">
        <v>38</v>
      </c>
      <c r="C3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0" t="s">
        <v>43</v>
      </c>
      <c r="E320" t="s">
        <v>45</v>
      </c>
      <c r="F3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0">
        <f>ScenarioStat5[[#This Row],[team-1-win]]+ScenarioStat5[[#This Row],[team-2-win]]</f>
        <v>0</v>
      </c>
    </row>
    <row r="321" spans="1:7" x14ac:dyDescent="0.25">
      <c r="A321" t="s">
        <v>48</v>
      </c>
      <c r="B321" t="s">
        <v>38</v>
      </c>
      <c r="C3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1" t="s">
        <v>43</v>
      </c>
      <c r="E321" t="s">
        <v>63</v>
      </c>
      <c r="F3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1">
        <f>ScenarioStat5[[#This Row],[team-1-win]]+ScenarioStat5[[#This Row],[team-2-win]]</f>
        <v>0</v>
      </c>
    </row>
    <row r="322" spans="1:7" x14ac:dyDescent="0.25">
      <c r="A322" t="s">
        <v>48</v>
      </c>
      <c r="B322" t="s">
        <v>38</v>
      </c>
      <c r="C3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2" t="s">
        <v>43</v>
      </c>
      <c r="E322" t="s">
        <v>232</v>
      </c>
      <c r="F3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2">
        <f>ScenarioStat5[[#This Row],[team-1-win]]+ScenarioStat5[[#This Row],[team-2-win]]</f>
        <v>0</v>
      </c>
    </row>
    <row r="323" spans="1:7" x14ac:dyDescent="0.25">
      <c r="A323" t="s">
        <v>48</v>
      </c>
      <c r="B323" t="s">
        <v>38</v>
      </c>
      <c r="C3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3" t="s">
        <v>45</v>
      </c>
      <c r="E323" t="s">
        <v>63</v>
      </c>
      <c r="F3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3">
        <f>ScenarioStat5[[#This Row],[team-1-win]]+ScenarioStat5[[#This Row],[team-2-win]]</f>
        <v>0</v>
      </c>
    </row>
    <row r="324" spans="1:7" x14ac:dyDescent="0.25">
      <c r="A324" t="s">
        <v>48</v>
      </c>
      <c r="B324" t="s">
        <v>38</v>
      </c>
      <c r="C3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4" t="s">
        <v>45</v>
      </c>
      <c r="E324" t="s">
        <v>232</v>
      </c>
      <c r="F3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4">
        <f>ScenarioStat5[[#This Row],[team-1-win]]+ScenarioStat5[[#This Row],[team-2-win]]</f>
        <v>0</v>
      </c>
    </row>
    <row r="325" spans="1:7" x14ac:dyDescent="0.25">
      <c r="A325" t="s">
        <v>48</v>
      </c>
      <c r="B325" t="s">
        <v>38</v>
      </c>
      <c r="C3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5" t="s">
        <v>63</v>
      </c>
      <c r="E325" t="s">
        <v>232</v>
      </c>
      <c r="F3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5">
        <f>ScenarioStat5[[#This Row],[team-1-win]]+ScenarioStat5[[#This Row],[team-2-win]]</f>
        <v>0</v>
      </c>
    </row>
    <row r="326" spans="1:7" x14ac:dyDescent="0.25">
      <c r="A326" t="s">
        <v>48</v>
      </c>
      <c r="B326" t="s">
        <v>232</v>
      </c>
      <c r="C3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6" t="s">
        <v>33</v>
      </c>
      <c r="E326" t="s">
        <v>43</v>
      </c>
      <c r="F3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6">
        <f>ScenarioStat5[[#This Row],[team-1-win]]+ScenarioStat5[[#This Row],[team-2-win]]</f>
        <v>0</v>
      </c>
    </row>
    <row r="327" spans="1:7" x14ac:dyDescent="0.25">
      <c r="A327" t="s">
        <v>48</v>
      </c>
      <c r="B327" t="s">
        <v>232</v>
      </c>
      <c r="C3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7" t="s">
        <v>33</v>
      </c>
      <c r="E327" t="s">
        <v>45</v>
      </c>
      <c r="F3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7">
        <f>ScenarioStat5[[#This Row],[team-1-win]]+ScenarioStat5[[#This Row],[team-2-win]]</f>
        <v>0</v>
      </c>
    </row>
    <row r="328" spans="1:7" x14ac:dyDescent="0.25">
      <c r="A328" t="s">
        <v>48</v>
      </c>
      <c r="B328" t="s">
        <v>232</v>
      </c>
      <c r="C3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8" t="s">
        <v>33</v>
      </c>
      <c r="E328" t="s">
        <v>63</v>
      </c>
      <c r="F3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8">
        <f>ScenarioStat5[[#This Row],[team-1-win]]+ScenarioStat5[[#This Row],[team-2-win]]</f>
        <v>0</v>
      </c>
    </row>
    <row r="329" spans="1:7" x14ac:dyDescent="0.25">
      <c r="A329" t="s">
        <v>48</v>
      </c>
      <c r="B329" t="s">
        <v>232</v>
      </c>
      <c r="C3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9" t="s">
        <v>33</v>
      </c>
      <c r="E329" t="s">
        <v>38</v>
      </c>
      <c r="F3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9">
        <f>ScenarioStat5[[#This Row],[team-1-win]]+ScenarioStat5[[#This Row],[team-2-win]]</f>
        <v>0</v>
      </c>
    </row>
    <row r="330" spans="1:7" x14ac:dyDescent="0.25">
      <c r="A330" t="s">
        <v>48</v>
      </c>
      <c r="B330" t="s">
        <v>232</v>
      </c>
      <c r="C3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0" t="s">
        <v>43</v>
      </c>
      <c r="E330" t="s">
        <v>45</v>
      </c>
      <c r="F3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0">
        <f>ScenarioStat5[[#This Row],[team-1-win]]+ScenarioStat5[[#This Row],[team-2-win]]</f>
        <v>0</v>
      </c>
    </row>
    <row r="331" spans="1:7" x14ac:dyDescent="0.25">
      <c r="A331" t="s">
        <v>48</v>
      </c>
      <c r="B331" t="s">
        <v>232</v>
      </c>
      <c r="C3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1" t="s">
        <v>43</v>
      </c>
      <c r="E331" t="s">
        <v>63</v>
      </c>
      <c r="F3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1">
        <f>ScenarioStat5[[#This Row],[team-1-win]]+ScenarioStat5[[#This Row],[team-2-win]]</f>
        <v>0</v>
      </c>
    </row>
    <row r="332" spans="1:7" x14ac:dyDescent="0.25">
      <c r="A332" t="s">
        <v>48</v>
      </c>
      <c r="B332" t="s">
        <v>232</v>
      </c>
      <c r="C3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2" t="s">
        <v>43</v>
      </c>
      <c r="E332" t="s">
        <v>38</v>
      </c>
      <c r="F3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2">
        <f>ScenarioStat5[[#This Row],[team-1-win]]+ScenarioStat5[[#This Row],[team-2-win]]</f>
        <v>0</v>
      </c>
    </row>
    <row r="333" spans="1:7" x14ac:dyDescent="0.25">
      <c r="A333" t="s">
        <v>48</v>
      </c>
      <c r="B333" t="s">
        <v>232</v>
      </c>
      <c r="C3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3" t="s">
        <v>45</v>
      </c>
      <c r="E333" t="s">
        <v>63</v>
      </c>
      <c r="F3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3">
        <f>ScenarioStat5[[#This Row],[team-1-win]]+ScenarioStat5[[#This Row],[team-2-win]]</f>
        <v>0</v>
      </c>
    </row>
    <row r="334" spans="1:7" x14ac:dyDescent="0.25">
      <c r="A334" t="s">
        <v>48</v>
      </c>
      <c r="B334" t="s">
        <v>232</v>
      </c>
      <c r="C3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4" t="s">
        <v>45</v>
      </c>
      <c r="E334" t="s">
        <v>38</v>
      </c>
      <c r="F3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4">
        <f>ScenarioStat5[[#This Row],[team-1-win]]+ScenarioStat5[[#This Row],[team-2-win]]</f>
        <v>0</v>
      </c>
    </row>
    <row r="335" spans="1:7" x14ac:dyDescent="0.25">
      <c r="A335" t="s">
        <v>48</v>
      </c>
      <c r="B335" t="s">
        <v>232</v>
      </c>
      <c r="C3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5" t="s">
        <v>63</v>
      </c>
      <c r="E335" t="s">
        <v>38</v>
      </c>
      <c r="F3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5">
        <f>ScenarioStat5[[#This Row],[team-1-win]]+ScenarioStat5[[#This Row],[team-2-win]]</f>
        <v>0</v>
      </c>
    </row>
    <row r="336" spans="1:7" x14ac:dyDescent="0.25">
      <c r="A336" t="s">
        <v>33</v>
      </c>
      <c r="B336" t="s">
        <v>43</v>
      </c>
      <c r="C3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6" t="s">
        <v>45</v>
      </c>
      <c r="E336" t="s">
        <v>63</v>
      </c>
      <c r="F3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6">
        <f>ScenarioStat5[[#This Row],[team-1-win]]+ScenarioStat5[[#This Row],[team-2-win]]</f>
        <v>0</v>
      </c>
    </row>
    <row r="337" spans="1:7" x14ac:dyDescent="0.25">
      <c r="A337" t="s">
        <v>33</v>
      </c>
      <c r="B337" t="s">
        <v>43</v>
      </c>
      <c r="C3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7" t="s">
        <v>45</v>
      </c>
      <c r="E337" t="s">
        <v>38</v>
      </c>
      <c r="F3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7">
        <f>ScenarioStat5[[#This Row],[team-1-win]]+ScenarioStat5[[#This Row],[team-2-win]]</f>
        <v>0</v>
      </c>
    </row>
    <row r="338" spans="1:7" x14ac:dyDescent="0.25">
      <c r="A338" t="s">
        <v>33</v>
      </c>
      <c r="B338" t="s">
        <v>43</v>
      </c>
      <c r="C3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8" t="s">
        <v>45</v>
      </c>
      <c r="E338" t="s">
        <v>232</v>
      </c>
      <c r="F3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8">
        <f>ScenarioStat5[[#This Row],[team-1-win]]+ScenarioStat5[[#This Row],[team-2-win]]</f>
        <v>0</v>
      </c>
    </row>
    <row r="339" spans="1:7" x14ac:dyDescent="0.25">
      <c r="A339" t="s">
        <v>33</v>
      </c>
      <c r="B339" t="s">
        <v>43</v>
      </c>
      <c r="C3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9" t="s">
        <v>63</v>
      </c>
      <c r="E339" t="s">
        <v>38</v>
      </c>
      <c r="F3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9">
        <f>ScenarioStat5[[#This Row],[team-1-win]]+ScenarioStat5[[#This Row],[team-2-win]]</f>
        <v>0</v>
      </c>
    </row>
    <row r="340" spans="1:7" x14ac:dyDescent="0.25">
      <c r="A340" t="s">
        <v>33</v>
      </c>
      <c r="B340" t="s">
        <v>43</v>
      </c>
      <c r="C3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0" t="s">
        <v>63</v>
      </c>
      <c r="E340" t="s">
        <v>232</v>
      </c>
      <c r="F3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0">
        <f>ScenarioStat5[[#This Row],[team-1-win]]+ScenarioStat5[[#This Row],[team-2-win]]</f>
        <v>0</v>
      </c>
    </row>
    <row r="341" spans="1:7" x14ac:dyDescent="0.25">
      <c r="A341" t="s">
        <v>33</v>
      </c>
      <c r="B341" t="s">
        <v>43</v>
      </c>
      <c r="C3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1" t="s">
        <v>38</v>
      </c>
      <c r="E341" t="s">
        <v>232</v>
      </c>
      <c r="F3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1">
        <f>ScenarioStat5[[#This Row],[team-1-win]]+ScenarioStat5[[#This Row],[team-2-win]]</f>
        <v>0</v>
      </c>
    </row>
    <row r="342" spans="1:7" x14ac:dyDescent="0.25">
      <c r="A342" t="s">
        <v>33</v>
      </c>
      <c r="B342" t="s">
        <v>45</v>
      </c>
      <c r="C3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2" t="s">
        <v>43</v>
      </c>
      <c r="E342" t="s">
        <v>63</v>
      </c>
      <c r="F3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2">
        <f>ScenarioStat5[[#This Row],[team-1-win]]+ScenarioStat5[[#This Row],[team-2-win]]</f>
        <v>0</v>
      </c>
    </row>
    <row r="343" spans="1:7" x14ac:dyDescent="0.25">
      <c r="A343" t="s">
        <v>33</v>
      </c>
      <c r="B343" t="s">
        <v>45</v>
      </c>
      <c r="C3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3" t="s">
        <v>43</v>
      </c>
      <c r="E343" t="s">
        <v>38</v>
      </c>
      <c r="F3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3">
        <f>ScenarioStat5[[#This Row],[team-1-win]]+ScenarioStat5[[#This Row],[team-2-win]]</f>
        <v>0</v>
      </c>
    </row>
    <row r="344" spans="1:7" x14ac:dyDescent="0.25">
      <c r="A344" t="s">
        <v>33</v>
      </c>
      <c r="B344" t="s">
        <v>45</v>
      </c>
      <c r="C3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4" t="s">
        <v>43</v>
      </c>
      <c r="E344" t="s">
        <v>232</v>
      </c>
      <c r="F3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4">
        <f>ScenarioStat5[[#This Row],[team-1-win]]+ScenarioStat5[[#This Row],[team-2-win]]</f>
        <v>0</v>
      </c>
    </row>
    <row r="345" spans="1:7" x14ac:dyDescent="0.25">
      <c r="A345" t="s">
        <v>33</v>
      </c>
      <c r="B345" t="s">
        <v>45</v>
      </c>
      <c r="C3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5" t="s">
        <v>63</v>
      </c>
      <c r="E345" t="s">
        <v>38</v>
      </c>
      <c r="F3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5">
        <f>ScenarioStat5[[#This Row],[team-1-win]]+ScenarioStat5[[#This Row],[team-2-win]]</f>
        <v>0</v>
      </c>
    </row>
    <row r="346" spans="1:7" x14ac:dyDescent="0.25">
      <c r="A346" t="s">
        <v>33</v>
      </c>
      <c r="B346" t="s">
        <v>45</v>
      </c>
      <c r="C3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6" t="s">
        <v>63</v>
      </c>
      <c r="E346" t="s">
        <v>232</v>
      </c>
      <c r="F3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6">
        <f>ScenarioStat5[[#This Row],[team-1-win]]+ScenarioStat5[[#This Row],[team-2-win]]</f>
        <v>0</v>
      </c>
    </row>
    <row r="347" spans="1:7" x14ac:dyDescent="0.25">
      <c r="A347" t="s">
        <v>33</v>
      </c>
      <c r="B347" t="s">
        <v>45</v>
      </c>
      <c r="C3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7" t="s">
        <v>38</v>
      </c>
      <c r="E347" t="s">
        <v>232</v>
      </c>
      <c r="F3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7">
        <f>ScenarioStat5[[#This Row],[team-1-win]]+ScenarioStat5[[#This Row],[team-2-win]]</f>
        <v>0</v>
      </c>
    </row>
    <row r="348" spans="1:7" x14ac:dyDescent="0.25">
      <c r="A348" t="s">
        <v>33</v>
      </c>
      <c r="B348" t="s">
        <v>63</v>
      </c>
      <c r="C3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8" t="s">
        <v>43</v>
      </c>
      <c r="E348" t="s">
        <v>45</v>
      </c>
      <c r="F3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8">
        <f>ScenarioStat5[[#This Row],[team-1-win]]+ScenarioStat5[[#This Row],[team-2-win]]</f>
        <v>0</v>
      </c>
    </row>
    <row r="349" spans="1:7" x14ac:dyDescent="0.25">
      <c r="A349" t="s">
        <v>33</v>
      </c>
      <c r="B349" t="s">
        <v>63</v>
      </c>
      <c r="C3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9" t="s">
        <v>43</v>
      </c>
      <c r="E349" t="s">
        <v>38</v>
      </c>
      <c r="F3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9">
        <f>ScenarioStat5[[#This Row],[team-1-win]]+ScenarioStat5[[#This Row],[team-2-win]]</f>
        <v>0</v>
      </c>
    </row>
    <row r="350" spans="1:7" x14ac:dyDescent="0.25">
      <c r="A350" t="s">
        <v>33</v>
      </c>
      <c r="B350" t="s">
        <v>63</v>
      </c>
      <c r="C3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0" t="s">
        <v>43</v>
      </c>
      <c r="E350" t="s">
        <v>232</v>
      </c>
      <c r="F3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0">
        <f>ScenarioStat5[[#This Row],[team-1-win]]+ScenarioStat5[[#This Row],[team-2-win]]</f>
        <v>0</v>
      </c>
    </row>
    <row r="351" spans="1:7" x14ac:dyDescent="0.25">
      <c r="A351" t="s">
        <v>33</v>
      </c>
      <c r="B351" t="s">
        <v>63</v>
      </c>
      <c r="C3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1" t="s">
        <v>45</v>
      </c>
      <c r="E351" t="s">
        <v>38</v>
      </c>
      <c r="F3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1">
        <f>ScenarioStat5[[#This Row],[team-1-win]]+ScenarioStat5[[#This Row],[team-2-win]]</f>
        <v>0</v>
      </c>
    </row>
    <row r="352" spans="1:7" x14ac:dyDescent="0.25">
      <c r="A352" t="s">
        <v>33</v>
      </c>
      <c r="B352" t="s">
        <v>63</v>
      </c>
      <c r="C3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2" t="s">
        <v>45</v>
      </c>
      <c r="E352" t="s">
        <v>232</v>
      </c>
      <c r="F3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2">
        <f>ScenarioStat5[[#This Row],[team-1-win]]+ScenarioStat5[[#This Row],[team-2-win]]</f>
        <v>0</v>
      </c>
    </row>
    <row r="353" spans="1:7" x14ac:dyDescent="0.25">
      <c r="A353" t="s">
        <v>33</v>
      </c>
      <c r="B353" t="s">
        <v>63</v>
      </c>
      <c r="C3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3" t="s">
        <v>38</v>
      </c>
      <c r="E353" t="s">
        <v>232</v>
      </c>
      <c r="F3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3">
        <f>ScenarioStat5[[#This Row],[team-1-win]]+ScenarioStat5[[#This Row],[team-2-win]]</f>
        <v>0</v>
      </c>
    </row>
    <row r="354" spans="1:7" x14ac:dyDescent="0.25">
      <c r="A354" t="s">
        <v>33</v>
      </c>
      <c r="B354" t="s">
        <v>38</v>
      </c>
      <c r="C3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4" t="s">
        <v>43</v>
      </c>
      <c r="E354" t="s">
        <v>45</v>
      </c>
      <c r="F3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4">
        <f>ScenarioStat5[[#This Row],[team-1-win]]+ScenarioStat5[[#This Row],[team-2-win]]</f>
        <v>0</v>
      </c>
    </row>
    <row r="355" spans="1:7" x14ac:dyDescent="0.25">
      <c r="A355" t="s">
        <v>33</v>
      </c>
      <c r="B355" t="s">
        <v>38</v>
      </c>
      <c r="C3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5" t="s">
        <v>43</v>
      </c>
      <c r="E355" t="s">
        <v>63</v>
      </c>
      <c r="F3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5">
        <f>ScenarioStat5[[#This Row],[team-1-win]]+ScenarioStat5[[#This Row],[team-2-win]]</f>
        <v>0</v>
      </c>
    </row>
    <row r="356" spans="1:7" x14ac:dyDescent="0.25">
      <c r="A356" t="s">
        <v>33</v>
      </c>
      <c r="B356" t="s">
        <v>38</v>
      </c>
      <c r="C3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6" t="s">
        <v>43</v>
      </c>
      <c r="E356" t="s">
        <v>232</v>
      </c>
      <c r="F3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6">
        <f>ScenarioStat5[[#This Row],[team-1-win]]+ScenarioStat5[[#This Row],[team-2-win]]</f>
        <v>0</v>
      </c>
    </row>
    <row r="357" spans="1:7" x14ac:dyDescent="0.25">
      <c r="A357" t="s">
        <v>33</v>
      </c>
      <c r="B357" t="s">
        <v>38</v>
      </c>
      <c r="C3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7" t="s">
        <v>45</v>
      </c>
      <c r="E357" t="s">
        <v>63</v>
      </c>
      <c r="F3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7">
        <f>ScenarioStat5[[#This Row],[team-1-win]]+ScenarioStat5[[#This Row],[team-2-win]]</f>
        <v>0</v>
      </c>
    </row>
    <row r="358" spans="1:7" x14ac:dyDescent="0.25">
      <c r="A358" t="s">
        <v>33</v>
      </c>
      <c r="B358" t="s">
        <v>38</v>
      </c>
      <c r="C3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8" t="s">
        <v>45</v>
      </c>
      <c r="E358" t="s">
        <v>232</v>
      </c>
      <c r="F3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8">
        <f>ScenarioStat5[[#This Row],[team-1-win]]+ScenarioStat5[[#This Row],[team-2-win]]</f>
        <v>0</v>
      </c>
    </row>
    <row r="359" spans="1:7" x14ac:dyDescent="0.25">
      <c r="A359" t="s">
        <v>33</v>
      </c>
      <c r="B359" t="s">
        <v>38</v>
      </c>
      <c r="C3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9" t="s">
        <v>63</v>
      </c>
      <c r="E359" t="s">
        <v>232</v>
      </c>
      <c r="F3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9">
        <f>ScenarioStat5[[#This Row],[team-1-win]]+ScenarioStat5[[#This Row],[team-2-win]]</f>
        <v>0</v>
      </c>
    </row>
    <row r="360" spans="1:7" x14ac:dyDescent="0.25">
      <c r="A360" t="s">
        <v>33</v>
      </c>
      <c r="B360" t="s">
        <v>232</v>
      </c>
      <c r="C3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0" t="s">
        <v>43</v>
      </c>
      <c r="E360" t="s">
        <v>45</v>
      </c>
      <c r="F3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0">
        <f>ScenarioStat5[[#This Row],[team-1-win]]+ScenarioStat5[[#This Row],[team-2-win]]</f>
        <v>0</v>
      </c>
    </row>
    <row r="361" spans="1:7" x14ac:dyDescent="0.25">
      <c r="A361" t="s">
        <v>33</v>
      </c>
      <c r="B361" t="s">
        <v>232</v>
      </c>
      <c r="C3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1" t="s">
        <v>43</v>
      </c>
      <c r="E361" t="s">
        <v>63</v>
      </c>
      <c r="F3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1">
        <f>ScenarioStat5[[#This Row],[team-1-win]]+ScenarioStat5[[#This Row],[team-2-win]]</f>
        <v>0</v>
      </c>
    </row>
    <row r="362" spans="1:7" x14ac:dyDescent="0.25">
      <c r="A362" t="s">
        <v>33</v>
      </c>
      <c r="B362" t="s">
        <v>232</v>
      </c>
      <c r="C3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2" t="s">
        <v>43</v>
      </c>
      <c r="E362" t="s">
        <v>38</v>
      </c>
      <c r="F3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2">
        <f>ScenarioStat5[[#This Row],[team-1-win]]+ScenarioStat5[[#This Row],[team-2-win]]</f>
        <v>0</v>
      </c>
    </row>
    <row r="363" spans="1:7" x14ac:dyDescent="0.25">
      <c r="A363" t="s">
        <v>33</v>
      </c>
      <c r="B363" t="s">
        <v>232</v>
      </c>
      <c r="C3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3" t="s">
        <v>45</v>
      </c>
      <c r="E363" t="s">
        <v>63</v>
      </c>
      <c r="F3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3">
        <f>ScenarioStat5[[#This Row],[team-1-win]]+ScenarioStat5[[#This Row],[team-2-win]]</f>
        <v>0</v>
      </c>
    </row>
    <row r="364" spans="1:7" x14ac:dyDescent="0.25">
      <c r="A364" t="s">
        <v>33</v>
      </c>
      <c r="B364" t="s">
        <v>232</v>
      </c>
      <c r="C3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4" t="s">
        <v>45</v>
      </c>
      <c r="E364" t="s">
        <v>38</v>
      </c>
      <c r="F3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4">
        <f>ScenarioStat5[[#This Row],[team-1-win]]+ScenarioStat5[[#This Row],[team-2-win]]</f>
        <v>0</v>
      </c>
    </row>
    <row r="365" spans="1:7" x14ac:dyDescent="0.25">
      <c r="A365" t="s">
        <v>33</v>
      </c>
      <c r="B365" t="s">
        <v>232</v>
      </c>
      <c r="C3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5" t="s">
        <v>63</v>
      </c>
      <c r="E365" t="s">
        <v>38</v>
      </c>
      <c r="F3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5">
        <f>ScenarioStat5[[#This Row],[team-1-win]]+ScenarioStat5[[#This Row],[team-2-win]]</f>
        <v>0</v>
      </c>
    </row>
    <row r="366" spans="1:7" x14ac:dyDescent="0.25">
      <c r="A366" t="s">
        <v>43</v>
      </c>
      <c r="B366" t="s">
        <v>45</v>
      </c>
      <c r="C3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6" t="s">
        <v>63</v>
      </c>
      <c r="E366" t="s">
        <v>38</v>
      </c>
      <c r="F3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6">
        <f>ScenarioStat5[[#This Row],[team-1-win]]+ScenarioStat5[[#This Row],[team-2-win]]</f>
        <v>0</v>
      </c>
    </row>
    <row r="367" spans="1:7" x14ac:dyDescent="0.25">
      <c r="A367" t="s">
        <v>43</v>
      </c>
      <c r="B367" t="s">
        <v>45</v>
      </c>
      <c r="C3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7" t="s">
        <v>63</v>
      </c>
      <c r="E367" t="s">
        <v>232</v>
      </c>
      <c r="F3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7">
        <f>ScenarioStat5[[#This Row],[team-1-win]]+ScenarioStat5[[#This Row],[team-2-win]]</f>
        <v>0</v>
      </c>
    </row>
    <row r="368" spans="1:7" x14ac:dyDescent="0.25">
      <c r="A368" t="s">
        <v>43</v>
      </c>
      <c r="B368" t="s">
        <v>45</v>
      </c>
      <c r="C3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8" t="s">
        <v>38</v>
      </c>
      <c r="E368" t="s">
        <v>232</v>
      </c>
      <c r="F3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8">
        <f>ScenarioStat5[[#This Row],[team-1-win]]+ScenarioStat5[[#This Row],[team-2-win]]</f>
        <v>0</v>
      </c>
    </row>
    <row r="369" spans="1:7" x14ac:dyDescent="0.25">
      <c r="A369" t="s">
        <v>43</v>
      </c>
      <c r="B369" t="s">
        <v>63</v>
      </c>
      <c r="C3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9" t="s">
        <v>45</v>
      </c>
      <c r="E369" t="s">
        <v>38</v>
      </c>
      <c r="F3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9">
        <f>ScenarioStat5[[#This Row],[team-1-win]]+ScenarioStat5[[#This Row],[team-2-win]]</f>
        <v>0</v>
      </c>
    </row>
    <row r="370" spans="1:7" x14ac:dyDescent="0.25">
      <c r="A370" t="s">
        <v>43</v>
      </c>
      <c r="B370" t="s">
        <v>63</v>
      </c>
      <c r="C3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0" t="s">
        <v>45</v>
      </c>
      <c r="E370" t="s">
        <v>232</v>
      </c>
      <c r="F3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0">
        <f>ScenarioStat5[[#This Row],[team-1-win]]+ScenarioStat5[[#This Row],[team-2-win]]</f>
        <v>0</v>
      </c>
    </row>
    <row r="371" spans="1:7" x14ac:dyDescent="0.25">
      <c r="A371" t="s">
        <v>43</v>
      </c>
      <c r="B371" t="s">
        <v>63</v>
      </c>
      <c r="C3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1" t="s">
        <v>38</v>
      </c>
      <c r="E371" t="s">
        <v>232</v>
      </c>
      <c r="F3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1">
        <f>ScenarioStat5[[#This Row],[team-1-win]]+ScenarioStat5[[#This Row],[team-2-win]]</f>
        <v>0</v>
      </c>
    </row>
    <row r="372" spans="1:7" x14ac:dyDescent="0.25">
      <c r="A372" t="s">
        <v>43</v>
      </c>
      <c r="B372" t="s">
        <v>38</v>
      </c>
      <c r="C3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2" t="s">
        <v>45</v>
      </c>
      <c r="E372" t="s">
        <v>63</v>
      </c>
      <c r="F3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2">
        <f>ScenarioStat5[[#This Row],[team-1-win]]+ScenarioStat5[[#This Row],[team-2-win]]</f>
        <v>0</v>
      </c>
    </row>
    <row r="373" spans="1:7" x14ac:dyDescent="0.25">
      <c r="A373" t="s">
        <v>43</v>
      </c>
      <c r="B373" t="s">
        <v>38</v>
      </c>
      <c r="C3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3" t="s">
        <v>45</v>
      </c>
      <c r="E373" t="s">
        <v>232</v>
      </c>
      <c r="F3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3">
        <f>ScenarioStat5[[#This Row],[team-1-win]]+ScenarioStat5[[#This Row],[team-2-win]]</f>
        <v>0</v>
      </c>
    </row>
    <row r="374" spans="1:7" x14ac:dyDescent="0.25">
      <c r="A374" t="s">
        <v>43</v>
      </c>
      <c r="B374" t="s">
        <v>38</v>
      </c>
      <c r="C3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4" t="s">
        <v>63</v>
      </c>
      <c r="E374" t="s">
        <v>232</v>
      </c>
      <c r="F3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4">
        <f>ScenarioStat5[[#This Row],[team-1-win]]+ScenarioStat5[[#This Row],[team-2-win]]</f>
        <v>0</v>
      </c>
    </row>
    <row r="375" spans="1:7" x14ac:dyDescent="0.25">
      <c r="A375" t="s">
        <v>43</v>
      </c>
      <c r="B375" t="s">
        <v>232</v>
      </c>
      <c r="C3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5" t="s">
        <v>45</v>
      </c>
      <c r="E375" t="s">
        <v>63</v>
      </c>
      <c r="F3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5">
        <f>ScenarioStat5[[#This Row],[team-1-win]]+ScenarioStat5[[#This Row],[team-2-win]]</f>
        <v>0</v>
      </c>
    </row>
    <row r="376" spans="1:7" x14ac:dyDescent="0.25">
      <c r="A376" t="s">
        <v>43</v>
      </c>
      <c r="B376" t="s">
        <v>232</v>
      </c>
      <c r="C3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6" t="s">
        <v>45</v>
      </c>
      <c r="E376" t="s">
        <v>38</v>
      </c>
      <c r="F3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6">
        <f>ScenarioStat5[[#This Row],[team-1-win]]+ScenarioStat5[[#This Row],[team-2-win]]</f>
        <v>0</v>
      </c>
    </row>
    <row r="377" spans="1:7" x14ac:dyDescent="0.25">
      <c r="A377" t="s">
        <v>43</v>
      </c>
      <c r="B377" t="s">
        <v>232</v>
      </c>
      <c r="C3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7" t="s">
        <v>63</v>
      </c>
      <c r="E377" t="s">
        <v>38</v>
      </c>
      <c r="F3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7">
        <f>ScenarioStat5[[#This Row],[team-1-win]]+ScenarioStat5[[#This Row],[team-2-win]]</f>
        <v>0</v>
      </c>
    </row>
    <row r="378" spans="1:7" x14ac:dyDescent="0.25">
      <c r="A378" t="s">
        <v>45</v>
      </c>
      <c r="B378" t="s">
        <v>63</v>
      </c>
      <c r="C3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8" t="s">
        <v>38</v>
      </c>
      <c r="E378" t="s">
        <v>232</v>
      </c>
      <c r="F3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8">
        <f>ScenarioStat5[[#This Row],[team-1-win]]+ScenarioStat5[[#This Row],[team-2-win]]</f>
        <v>0</v>
      </c>
    </row>
    <row r="379" spans="1:7" x14ac:dyDescent="0.25">
      <c r="A379" t="s">
        <v>45</v>
      </c>
      <c r="B379" t="s">
        <v>38</v>
      </c>
      <c r="C3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9" t="s">
        <v>63</v>
      </c>
      <c r="E379" t="s">
        <v>232</v>
      </c>
      <c r="F3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9">
        <f>ScenarioStat5[[#This Row],[team-1-win]]+ScenarioStat5[[#This Row],[team-2-win]]</f>
        <v>0</v>
      </c>
    </row>
    <row r="380" spans="1:7" x14ac:dyDescent="0.25">
      <c r="A380" t="s">
        <v>45</v>
      </c>
      <c r="B380" t="s">
        <v>232</v>
      </c>
      <c r="C3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0" t="s">
        <v>63</v>
      </c>
      <c r="E380" t="s">
        <v>38</v>
      </c>
      <c r="F3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0">
        <f>ScenarioStat5[[#This Row],[team-1-win]]+ScenarioStat5[[#This Row],[team-2-win]]</f>
        <v>0</v>
      </c>
    </row>
  </sheetData>
  <mergeCells count="2">
    <mergeCell ref="A1:G1"/>
    <mergeCell ref="I1:M1"/>
  </mergeCells>
  <conditionalFormatting sqref="M3:M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workbookViewId="0">
      <selection activeCell="J21" sqref="J21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21</v>
      </c>
      <c r="C2">
        <f>COUNTIF(Scenario0[winner1],HeroStatistics[[#This Row],[hero]])+COUNTIF(Scenario0[winner2],HeroStatistics[[#This Row],[hero]])</f>
        <v>0</v>
      </c>
      <c r="D2">
        <f>COUNTIF(Scenario1[winner1],HeroStatistics[[#This Row],[hero]])+COUNTIF(Scenario1[winner2],HeroStatistics[[#This Row],[hero]])</f>
        <v>0</v>
      </c>
      <c r="E2">
        <f>COUNTIF(Scenario2[winner1],HeroStatistics[[#This Row],[hero]])</f>
        <v>12</v>
      </c>
      <c r="F2">
        <f>COUNTIF(Scenario3[winner1],HeroStatistics[[#This Row],[hero]])</f>
        <v>1</v>
      </c>
      <c r="G2">
        <f>COUNTIF(Scenario4[winner1],HeroStatistics[[#This Row],[hero]])</f>
        <v>0</v>
      </c>
      <c r="H2">
        <f>COUNTIF(Scenario5[winner1],HeroStatistics[[#This Row],[hero]])+COUNTIF(Scenario5[winner2],HeroStatistics[[#This Row],[hero]])</f>
        <v>1</v>
      </c>
      <c r="I2">
        <f>SUM(HeroStatistics[[#This Row],[0-wins]:[5-wins]])</f>
        <v>14</v>
      </c>
      <c r="J2" s="35">
        <f>HeroStatistics[[#This Row],[wins]]/HeroStatistics[[#This Row],[battles]]</f>
        <v>0.66666666666666663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21</v>
      </c>
      <c r="C3">
        <f>COUNTIF(Scenario0[winner1],HeroStatistics[[#This Row],[hero]])+COUNTIF(Scenario0[winner2],HeroStatistics[[#This Row],[hero]])</f>
        <v>0</v>
      </c>
      <c r="D3">
        <f>COUNTIF(Scenario1[winner1],HeroStatistics[[#This Row],[hero]])+COUNTIF(Scenario1[winner2],HeroStatistics[[#This Row],[hero]])</f>
        <v>0</v>
      </c>
      <c r="E3">
        <f>COUNTIF(Scenario2[winner1],HeroStatistics[[#This Row],[hero]])</f>
        <v>9</v>
      </c>
      <c r="F3">
        <f>COUNTIF(Scenario3[winner1],HeroStatistics[[#This Row],[hero]])</f>
        <v>0</v>
      </c>
      <c r="G3">
        <f>COUNTIF(Scenario4[winner1],HeroStatistics[[#This Row],[hero]])</f>
        <v>1</v>
      </c>
      <c r="H3">
        <f>COUNTIF(Scenario5[winner1],HeroStatistics[[#This Row],[hero]])+COUNTIF(Scenario5[winner2],HeroStatistics[[#This Row],[hero]])</f>
        <v>1</v>
      </c>
      <c r="I3">
        <f>SUM(HeroStatistics[[#This Row],[0-wins]:[5-wins]])</f>
        <v>11</v>
      </c>
      <c r="J3" s="35">
        <f>HeroStatistics[[#This Row],[wins]]/HeroStatistics[[#This Row],[battles]]</f>
        <v>0.52380952380952384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21</v>
      </c>
      <c r="C4">
        <f>COUNTIF(Scenario0[winner1],HeroStatistics[[#This Row],[hero]])+COUNTIF(Scenario0[winner2],HeroStatistics[[#This Row],[hero]])</f>
        <v>1</v>
      </c>
      <c r="D4">
        <f>COUNTIF(Scenario1[winner1],HeroStatistics[[#This Row],[hero]])+COUNTIF(Scenario1[winner2],HeroStatistics[[#This Row],[hero]])</f>
        <v>1</v>
      </c>
      <c r="E4">
        <f>COUNTIF(Scenario2[winner1],HeroStatistics[[#This Row],[hero]])</f>
        <v>13</v>
      </c>
      <c r="F4">
        <f>COUNTIF(Scenario3[winner1],HeroStatistics[[#This Row],[hero]])</f>
        <v>0</v>
      </c>
      <c r="G4">
        <f>COUNTIF(Scenario4[winner1],HeroStatistics[[#This Row],[hero]])</f>
        <v>0</v>
      </c>
      <c r="H4">
        <f>COUNTIF(Scenario5[winner1],HeroStatistics[[#This Row],[hero]])+COUNTIF(Scenario5[winner2],HeroStatistics[[#This Row],[hero]])</f>
        <v>0</v>
      </c>
      <c r="I4">
        <f>SUM(HeroStatistics[[#This Row],[0-wins]:[5-wins]])</f>
        <v>15</v>
      </c>
      <c r="J4" s="35">
        <f>HeroStatistics[[#This Row],[wins]]/HeroStatistics[[#This Row],[battles]]</f>
        <v>0.7142857142857143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17</v>
      </c>
      <c r="C5">
        <f>COUNTIF(Scenario0[winner1],HeroStatistics[[#This Row],[hero]])+COUNTIF(Scenario0[winner2],HeroStatistics[[#This Row],[hero]])</f>
        <v>0</v>
      </c>
      <c r="D5">
        <f>COUNTIF(Scenario1[winner1],HeroStatistics[[#This Row],[hero]])+COUNTIF(Scenario1[winner2],HeroStatistics[[#This Row],[hero]])</f>
        <v>1</v>
      </c>
      <c r="E5">
        <f>COUNTIF(Scenario2[winner1],HeroStatistics[[#This Row],[hero]])</f>
        <v>5</v>
      </c>
      <c r="F5">
        <f>COUNTIF(Scenario3[winner1],HeroStatistics[[#This Row],[hero]])</f>
        <v>0</v>
      </c>
      <c r="G5">
        <f>COUNTIF(Scenario4[winner1],HeroStatistics[[#This Row],[hero]])</f>
        <v>0</v>
      </c>
      <c r="H5">
        <f>COUNTIF(Scenario5[winner1],HeroStatistics[[#This Row],[hero]])+COUNTIF(Scenario5[winner2],HeroStatistics[[#This Row],[hero]])</f>
        <v>0</v>
      </c>
      <c r="I5">
        <f>SUM(HeroStatistics[[#This Row],[0-wins]:[5-wins]])</f>
        <v>6</v>
      </c>
      <c r="J5" s="35">
        <f>HeroStatistics[[#This Row],[wins]]/HeroStatistics[[#This Row],[battles]]</f>
        <v>0.35294117647058826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17</v>
      </c>
      <c r="C6">
        <f>COUNTIF(Scenario0[winner1],HeroStatistics[[#This Row],[hero]])+COUNTIF(Scenario0[winner2],HeroStatistics[[#This Row],[hero]])</f>
        <v>0</v>
      </c>
      <c r="D6">
        <f>COUNTIF(Scenario1[winner1],HeroStatistics[[#This Row],[hero]])+COUNTIF(Scenario1[winner2],HeroStatistics[[#This Row],[hero]])</f>
        <v>0</v>
      </c>
      <c r="E6">
        <f>COUNTIF(Scenario2[winner1],HeroStatistics[[#This Row],[hero]])</f>
        <v>8</v>
      </c>
      <c r="F6">
        <f>COUNTIF(Scenario3[winner1],HeroStatistics[[#This Row],[hero]])</f>
        <v>0</v>
      </c>
      <c r="G6">
        <f>COUNTIF(Scenario4[winner1],HeroStatistics[[#This Row],[hero]])</f>
        <v>0</v>
      </c>
      <c r="H6">
        <f>COUNTIF(Scenario5[winner1],HeroStatistics[[#This Row],[hero]])+COUNTIF(Scenario5[winner2],HeroStatistics[[#This Row],[hero]])</f>
        <v>0</v>
      </c>
      <c r="I6">
        <f>SUM(HeroStatistics[[#This Row],[0-wins]:[5-wins]])</f>
        <v>8</v>
      </c>
      <c r="J6" s="35">
        <f>HeroStatistics[[#This Row],[wins]]/HeroStatistics[[#This Row],[battles]]</f>
        <v>0.47058823529411764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18</v>
      </c>
      <c r="C7">
        <f>COUNTIF(Scenario0[winner1],HeroStatistics[[#This Row],[hero]])+COUNTIF(Scenario0[winner2],HeroStatistics[[#This Row],[hero]])</f>
        <v>1</v>
      </c>
      <c r="D7">
        <f>COUNTIF(Scenario1[winner1],HeroStatistics[[#This Row],[hero]])+COUNTIF(Scenario1[winner2],HeroStatistics[[#This Row],[hero]])</f>
        <v>0</v>
      </c>
      <c r="E7">
        <f>COUNTIF(Scenario2[winner1],HeroStatistics[[#This Row],[hero]])</f>
        <v>5</v>
      </c>
      <c r="F7">
        <f>COUNTIF(Scenario3[winner1],HeroStatistics[[#This Row],[hero]])</f>
        <v>0</v>
      </c>
      <c r="G7">
        <f>COUNTIF(Scenario4[winner1],HeroStatistics[[#This Row],[hero]])</f>
        <v>0</v>
      </c>
      <c r="H7">
        <f>COUNTIF(Scenario5[winner1],HeroStatistics[[#This Row],[hero]])+COUNTIF(Scenario5[winner2],HeroStatistics[[#This Row],[hero]])</f>
        <v>0</v>
      </c>
      <c r="I7">
        <f>SUM(HeroStatistics[[#This Row],[0-wins]:[5-wins]])</f>
        <v>6</v>
      </c>
      <c r="J7" s="35">
        <f>HeroStatistics[[#This Row],[wins]]/HeroStatistics[[#This Row],[battles]]</f>
        <v>0.33333333333333331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16</v>
      </c>
      <c r="C8">
        <f>COUNTIF(Scenario0[winner1],HeroStatistics[[#This Row],[hero]])+COUNTIF(Scenario0[winner2],HeroStatistics[[#This Row],[hero]])</f>
        <v>0</v>
      </c>
      <c r="D8">
        <f>COUNTIF(Scenario1[winner1],HeroStatistics[[#This Row],[hero]])+COUNTIF(Scenario1[winner2],HeroStatistics[[#This Row],[hero]])</f>
        <v>0</v>
      </c>
      <c r="E8">
        <f>COUNTIF(Scenario2[winner1],HeroStatistics[[#This Row],[hero]])</f>
        <v>7</v>
      </c>
      <c r="F8">
        <f>COUNTIF(Scenario3[winner1],HeroStatistics[[#This Row],[hero]])</f>
        <v>0</v>
      </c>
      <c r="G8">
        <f>COUNTIF(Scenario4[winner1],HeroStatistics[[#This Row],[hero]])</f>
        <v>0</v>
      </c>
      <c r="H8">
        <f>COUNTIF(Scenario5[winner1],HeroStatistics[[#This Row],[hero]])+COUNTIF(Scenario5[winner2],HeroStatistics[[#This Row],[hero]])</f>
        <v>0</v>
      </c>
      <c r="I8">
        <f>SUM(HeroStatistics[[#This Row],[0-wins]:[5-wins]])</f>
        <v>7</v>
      </c>
      <c r="J8" s="35">
        <f>HeroStatistics[[#This Row],[wins]]/HeroStatistics[[#This Row],[battles]]</f>
        <v>0.4375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16</v>
      </c>
      <c r="C9">
        <f>COUNTIF(Scenario0[winner1],HeroStatistics[[#This Row],[hero]])+COUNTIF(Scenario0[winner2],HeroStatistics[[#This Row],[hero]])</f>
        <v>0</v>
      </c>
      <c r="D9">
        <f>COUNTIF(Scenario1[winner1],HeroStatistics[[#This Row],[hero]])+COUNTIF(Scenario1[winner2],HeroStatistics[[#This Row],[hero]])</f>
        <v>0</v>
      </c>
      <c r="E9">
        <f>COUNTIF(Scenario2[winner1],HeroStatistics[[#This Row],[hero]])</f>
        <v>8</v>
      </c>
      <c r="F9">
        <f>COUNTIF(Scenario3[winner1],HeroStatistics[[#This Row],[hero]])</f>
        <v>0</v>
      </c>
      <c r="G9">
        <f>COUNTIF(Scenario4[winner1],HeroStatistics[[#This Row],[hero]])</f>
        <v>0</v>
      </c>
      <c r="H9">
        <f>COUNTIF(Scenario5[winner1],HeroStatistics[[#This Row],[hero]])+COUNTIF(Scenario5[winner2],HeroStatistics[[#This Row],[hero]])</f>
        <v>0</v>
      </c>
      <c r="I9">
        <f>SUM(HeroStatistics[[#This Row],[0-wins]:[5-wins]])</f>
        <v>8</v>
      </c>
      <c r="J9" s="35">
        <f>HeroStatistics[[#This Row],[wins]]/HeroStatistics[[#This Row],[battles]]</f>
        <v>0.5</v>
      </c>
      <c r="M9"/>
    </row>
    <row r="10" spans="1:13" x14ac:dyDescent="0.25">
      <c r="A10" t="s">
        <v>232</v>
      </c>
      <c r="B10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16</v>
      </c>
      <c r="C10">
        <f>COUNTIF(Scenario0[winner1],HeroStatistics[[#This Row],[hero]])+COUNTIF(Scenario0[winner2],HeroStatistics[[#This Row],[hero]])</f>
        <v>0</v>
      </c>
      <c r="D10">
        <f>COUNTIF(Scenario1[winner1],HeroStatistics[[#This Row],[hero]])+COUNTIF(Scenario1[winner2],HeroStatistics[[#This Row],[hero]])</f>
        <v>0</v>
      </c>
      <c r="E10">
        <f>COUNTIF(Scenario2[winner1],HeroStatistics[[#This Row],[hero]])</f>
        <v>5</v>
      </c>
      <c r="F10">
        <f>COUNTIF(Scenario3[winner1],HeroStatistics[[#This Row],[hero]])</f>
        <v>0</v>
      </c>
      <c r="G10">
        <f>COUNTIF(Scenario4[winner1],HeroStatistics[[#This Row],[hero]])</f>
        <v>0</v>
      </c>
      <c r="H10">
        <f>COUNTIF(Scenario5[winner1],HeroStatistics[[#This Row],[hero]])+COUNTIF(Scenario5[winner2],HeroStatistics[[#This Row],[hero]])</f>
        <v>0</v>
      </c>
      <c r="I10">
        <f>SUM(HeroStatistics[[#This Row],[0-wins]:[5-wins]])</f>
        <v>5</v>
      </c>
      <c r="J10" s="35">
        <f>HeroStatistics[[#This Row],[wins]]/HeroStatistics[[#This Row],[battles]]</f>
        <v>0.3125</v>
      </c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10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10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10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10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10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10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10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10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H25" sqref="H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0.33333333333333331</v>
      </c>
    </row>
    <row r="3" spans="1:24" x14ac:dyDescent="0.25">
      <c r="A3" s="17" t="s">
        <v>54</v>
      </c>
      <c r="B3">
        <f>M3+M24+M45+M66+M87+M108</f>
        <v>2</v>
      </c>
      <c r="C3">
        <f>N3+N24+N45+N66+N87+N108</f>
        <v>0</v>
      </c>
      <c r="D3" s="3">
        <f>IF(SUM(ParagonAbilities1[[#This Row],[takes]]) &gt; 0,ParagonAbilities1[[#This Row],[takes]]/SUM(ParagonAbilities1[takes]),0)</f>
        <v>9.5238095238095233E-2</v>
      </c>
      <c r="E3" s="3">
        <f>IF(ParagonAbilities1[[#This Row],[takes]]&gt;0,ParagonAbilities1[[#This Row],[wins]]/ParagonAbilities1[[#This Row],[takes]],0)</f>
        <v>0</v>
      </c>
      <c r="G3">
        <v>1</v>
      </c>
      <c r="H3">
        <f>S3+S24+S45+S66+S87+S108</f>
        <v>1</v>
      </c>
      <c r="I3">
        <f>T3+T24+T45+T66+T87+T108</f>
        <v>4</v>
      </c>
      <c r="J3" s="18">
        <f>U3+U24+U45+U66+U87+U108</f>
        <v>4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3">
        <f>COUNTIF(Scenario0[winner1-ability1],ParagonAbilities1Scenario0[[#This Row],[ability]])+COUNTIF(Scenario0[winner2-ability1],ParagonAbilities1Scenario0[[#This Row],[ability]])</f>
        <v>0</v>
      </c>
      <c r="O3" s="3">
        <f>IF(SUM(ParagonAbilities1Scenario0[[#This Row],[takes]]) &gt; 0,ParagonAbilities1Scenario0[[#This Row],[takes]]/SUM(ParagonAbilities1Scenario0[takes]),0)</f>
        <v>1</v>
      </c>
      <c r="P3" s="3">
        <f>IF(ParagonAbilities1Scenario0[[#This Row],[takes]]&gt;0,ParagonAbilities1Scenario0[[#This Row],[wins]]/ParagonAbilities1Scenario0[[#This Row],[takes]],0)</f>
        <v>0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</v>
      </c>
      <c r="W3" t="s">
        <v>189</v>
      </c>
      <c r="X3" s="16">
        <f>H5/SUM(ParagonEquip[spear])</f>
        <v>0.61904761904761907</v>
      </c>
    </row>
    <row r="4" spans="1:24" x14ac:dyDescent="0.25">
      <c r="A4" s="17" t="s">
        <v>111</v>
      </c>
      <c r="B4">
        <f t="shared" ref="B4:B5" si="0">M4+M25+M46+M67+M88+M109</f>
        <v>1</v>
      </c>
      <c r="C4">
        <f t="shared" ref="C4:C5" si="1">N4+N25+N46+N67+N88+N109</f>
        <v>0</v>
      </c>
      <c r="D4" s="3">
        <f>IF(SUM(ParagonAbilities1[[#This Row],[takes]]) &gt; 0,ParagonAbilities1[[#This Row],[takes]]/SUM(ParagonAbilities1[takes]),0)</f>
        <v>4.7619047619047616E-2</v>
      </c>
      <c r="E4" s="3">
        <f>IF(ParagonAbilities1[[#This Row],[takes]]&gt;0,ParagonAbilities1[[#This Row],[wins]]/ParagonAbilities1[[#This Row],[takes]],0)</f>
        <v>0</v>
      </c>
      <c r="G4">
        <v>2</v>
      </c>
      <c r="H4">
        <f t="shared" ref="H4:H5" si="2">S4+S25+S46+S67+S88+S109</f>
        <v>7</v>
      </c>
      <c r="I4">
        <f t="shared" ref="I4:I5" si="3">T4+T25+T46+T67+T88+T109</f>
        <v>1</v>
      </c>
      <c r="J4" s="18">
        <f t="shared" ref="J4:J5" si="4">U4+U25+U46+U67+U88+U109</f>
        <v>3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4">
        <f>COUNTIF(Scenario0[winner1-ability1],ParagonAbilities1Scenario0[[#This Row],[ability]])+COUNTIF(Scenario0[winner2-ability1],ParagonAbilities1Scenario0[[#This Row],[ability]])</f>
        <v>0</v>
      </c>
      <c r="O4" s="3">
        <f>IF(SUM(ParagonAbilities1Scenario0[[#This Row],[takes]]) &gt; 0,ParagonAbilities1Scenario0[[#This Row],[takes]]/SUM(ParagonAbilities1Scenario0[takes]),0)</f>
        <v>0</v>
      </c>
      <c r="P4" s="3">
        <f>IF(ParagonAbilities1Scenario0[[#This Row],[takes]]&gt;0,ParagonAbilities1Scenario0[[#This Row],[wins]]/ParagonAbilities1Scenario0[[#This Row],[takes]],0)</f>
        <v>0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4" t="s">
        <v>190</v>
      </c>
      <c r="X4" s="3">
        <f>ParagonEquip[[#This Row],[shield]]/SUM(ParagonEquip[shield])</f>
        <v>4.7619047619047616E-2</v>
      </c>
    </row>
    <row r="5" spans="1:24" x14ac:dyDescent="0.25">
      <c r="A5" s="17" t="s">
        <v>112</v>
      </c>
      <c r="B5">
        <f t="shared" si="0"/>
        <v>18</v>
      </c>
      <c r="C5">
        <f t="shared" si="1"/>
        <v>14</v>
      </c>
      <c r="D5" s="3">
        <f>IF(SUM(ParagonAbilities1[[#This Row],[takes]]) &gt; 0,ParagonAbilities1[[#This Row],[takes]]/SUM(ParagonAbilities1[takes]),0)</f>
        <v>0.8571428571428571</v>
      </c>
      <c r="E5" s="3">
        <f>IF(ParagonAbilities1[[#This Row],[takes]]&gt;0,ParagonAbilities1[[#This Row],[wins]]/ParagonAbilities1[[#This Row],[takes]],0)</f>
        <v>0.77777777777777779</v>
      </c>
      <c r="G5">
        <v>3</v>
      </c>
      <c r="H5">
        <f t="shared" si="2"/>
        <v>13</v>
      </c>
      <c r="I5">
        <f t="shared" si="3"/>
        <v>16</v>
      </c>
      <c r="J5" s="18">
        <f t="shared" si="4"/>
        <v>14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5" t="s">
        <v>191</v>
      </c>
      <c r="X5" s="16">
        <f>ParagonEquip[[#This Row],[shield]]/SUM(ParagonEquip[shield])</f>
        <v>0.76190476190476186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0.14285714285714285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0.66666666666666663</v>
      </c>
    </row>
    <row r="8" spans="1:24" x14ac:dyDescent="0.25">
      <c r="A8" s="20" t="s">
        <v>55</v>
      </c>
      <c r="B8" s="2">
        <f>M8+M29+M50+M71+M92+M113</f>
        <v>8</v>
      </c>
      <c r="C8" s="2">
        <f>N8+N29+N50+N71+N92+N113</f>
        <v>7</v>
      </c>
      <c r="D8" s="12">
        <f>IF(SUM(ParagonAbilities2[[#This Row],[takes]]) &gt; 0,ParagonAbilities2[[#This Row],[takes]]/SUM(ParagonAbilities2[takes]),0)</f>
        <v>0.47058823529411764</v>
      </c>
      <c r="E8" s="12">
        <f>IF(ParagonAbilities2[[#This Row],[takes]]&gt;0,ParagonAbilities2[[#This Row],[wins]]/ParagonAbilities2[[#This Row],[takes]],0)</f>
        <v>0.875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</v>
      </c>
      <c r="N8" s="2">
        <f>COUNTIF(Scenario0[winner1-ability2],ParagonAbilities2Scenario0[[#This Row],[ability]])+COUNTIF(Scenario0[winner2-ability2],ParagonAbilities2Scenario0[[#This Row],[ability]])</f>
        <v>0</v>
      </c>
      <c r="O8" s="12">
        <f>IF(SUM(ParagonAbilities2Scenario0[[#This Row],[takes]]) &gt; 0,ParagonAbilities2Scenario0[[#This Row],[takes]]/SUM(ParagonAbilities2Scenario0[takes]),0)</f>
        <v>1</v>
      </c>
      <c r="P8" s="12">
        <f>IF(ParagonAbilities2Scenario0[[#This Row],[takes]]&gt;0,ParagonAbilities2Scenario0[[#This Row],[wins]]/ParagonAbilities2Scenario0[[#This Row],[takes]],0)</f>
        <v>0</v>
      </c>
      <c r="U8" s="18"/>
      <c r="W8" t="s">
        <v>176</v>
      </c>
      <c r="X8" s="3">
        <f>SUM(ParagonAbilities2[takes])/SUM(ParagonAbilities1[takes])</f>
        <v>0.80952380952380953</v>
      </c>
    </row>
    <row r="9" spans="1:24" x14ac:dyDescent="0.25">
      <c r="A9" s="17" t="s">
        <v>83</v>
      </c>
      <c r="B9" s="2">
        <f t="shared" ref="B9:B10" si="5">M9+M30+M51+M72+M93+M114</f>
        <v>9</v>
      </c>
      <c r="C9" s="2">
        <f t="shared" ref="C9:C10" si="6">N9+N30+N51+N72+N93+N114</f>
        <v>6</v>
      </c>
      <c r="D9" s="3">
        <f>IF(SUM(ParagonAbilities2[[#This Row],[takes]]) &gt; 0,ParagonAbilities2[[#This Row],[takes]]/SUM(ParagonAbilities2[takes]),0)</f>
        <v>0.52941176470588236</v>
      </c>
      <c r="E9" s="3">
        <f>IF(ParagonAbilities2[[#This Row],[takes]]&gt;0,ParagonAbilities2[[#This Row],[wins]]/ParagonAbilities2[[#This Row],[takes]],0)</f>
        <v>0.66666666666666663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9" s="2">
        <f>COUNTIF(Scenario0[winner1-ability2],ParagonAbilities2Scenario0[[#This Row],[ability]])+COUNTIF(Scenario0[winner2-ability2],ParagonAbilities2Scenario0[[#This Row],[ability]])</f>
        <v>0</v>
      </c>
      <c r="O9" s="3">
        <f>IF(SUM(ParagonAbilities2Scenario0[[#This Row],[takes]]) &gt; 0,ParagonAbilities2Scenario0[[#This Row],[takes]]/SUM(ParagonAbilities2Scenario0[takes]),0)</f>
        <v>0</v>
      </c>
      <c r="P9" s="3">
        <f>IF(ParagonAbilities2Scenario0[[#This Row],[takes]]&gt;0,ParagonAbilities2Scenario0[[#This Row],[wins]]/ParagonAbilities2Scenario0[[#This Row],[takes]],0)</f>
        <v>0</v>
      </c>
      <c r="U9" s="18"/>
      <c r="W9" t="s">
        <v>177</v>
      </c>
      <c r="X9" s="3">
        <f>SUM(ParagonAbilities3[takes])/SUM(ParagonAbilities1[takes])</f>
        <v>0.7142857142857143</v>
      </c>
    </row>
    <row r="10" spans="1:24" x14ac:dyDescent="0.25">
      <c r="A10" s="21" t="s">
        <v>113</v>
      </c>
      <c r="B10" s="2">
        <f t="shared" si="5"/>
        <v>0</v>
      </c>
      <c r="C10" s="2">
        <f t="shared" si="6"/>
        <v>0</v>
      </c>
      <c r="D10" s="13">
        <f>IF(SUM(ParagonAbilities2[[#This Row],[takes]]) &gt; 0,ParagonAbilities2[[#This Row],[takes]]/SUM(ParagonAbilities2[takes]),0)</f>
        <v>0</v>
      </c>
      <c r="E10" s="13">
        <f>IF(ParagonAbilities2[[#This Row],[takes]]&gt;0,ParagonAbilities2[[#This Row],[wins]]/ParagonAbilities2[[#This Row],[takes]],0)</f>
        <v>0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10" s="2">
        <f>COUNTIF(Scenario0[winner1-ability2],ParagonAbilities2Scenario0[[#This Row],[ability]])+COUNTIF(Scenario0[winner2-ability2],ParagonAbilities2Scenario0[[#This Row],[ability]])</f>
        <v>0</v>
      </c>
      <c r="O10" s="13">
        <f>IF(SUM(ParagonAbilities2Scenario0[[#This Row],[takes]]) &gt; 0,ParagonAbilities2Scenario0[[#This Row],[takes]]/SUM(ParagonAbilities2Scenario0[takes]),0)</f>
        <v>0</v>
      </c>
      <c r="P10" s="13">
        <f>IF(ParagonAbilities2Scenario0[[#This Row],[takes]]&gt;0,ParagonAbilities2Scenario0[[#This Row],[wins]]/ParagonAbilities2Scenario0[[#This Row],[takes]],0)</f>
        <v>0</v>
      </c>
      <c r="U10" s="18"/>
      <c r="W10" t="s">
        <v>178</v>
      </c>
      <c r="X10" s="16">
        <f>SUM(ParagonAbilities4[takes])/SUM(ParagonAbilities1[takes])</f>
        <v>0.66666666666666663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4.7619047619047619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5</v>
      </c>
      <c r="C13" s="1">
        <f>N13+N34+N55+N76+N97+N118</f>
        <v>5</v>
      </c>
      <c r="D13" s="14">
        <f>IF(SUM(ParagonAbilities3[[#This Row],[takes]]) &gt; 0,ParagonAbilities3[[#This Row],[takes]]/SUM(ParagonAbilities3[takes]),0)</f>
        <v>0.33333333333333331</v>
      </c>
      <c r="E13" s="14">
        <f>IF(ParagonAbilities3[[#This Row],[takes]]&gt;0,ParagonAbilities3[[#This Row],[wins]]/ParagonAbilities3[[#This Row],[takes]],0)</f>
        <v>1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3" s="1">
        <f>COUNTIF(Scenario0[winner1-ability3],ParagonAbilities3Scenario0[[#This Row],[ability]])+COUNTIF(Scenario0[winner2-ability3],ParagonAbilities3Scenario0[[#This Row],[ability]])</f>
        <v>0</v>
      </c>
      <c r="O13" s="14">
        <f>IF(SUM(ParagonAbilities3Scenario0[[#This Row],[takes]]) &gt; 0,ParagonAbilities3Scenario0[[#This Row],[takes]]/SUM(ParagonAbilities3Scenario0[takes]),0)</f>
        <v>0</v>
      </c>
      <c r="P13" s="14">
        <f>IF(ParagonAbilities3Scenario0[[#This Row],[takes]]&gt;0,ParagonAbilities3Scenario0[[#This Row],[wins]]/ParagonAbilities3Scenario0[[#This Row],[takes]],0)</f>
        <v>0</v>
      </c>
      <c r="U13" s="18"/>
    </row>
    <row r="14" spans="1:24" x14ac:dyDescent="0.25">
      <c r="A14" s="20" t="s">
        <v>105</v>
      </c>
      <c r="B14" s="2">
        <f t="shared" ref="B14:B15" si="7">M14+M35+M56+M77+M98+M119</f>
        <v>2</v>
      </c>
      <c r="C14" s="2">
        <f t="shared" ref="C14:C15" si="8">N14+N35+N56+N77+N98+N119</f>
        <v>2</v>
      </c>
      <c r="D14" s="12">
        <f>IF(SUM(ParagonAbilities3[[#This Row],[takes]]) &gt; 0,ParagonAbilities3[[#This Row],[takes]]/SUM(ParagonAbilities3[takes]),0)</f>
        <v>0.13333333333333333</v>
      </c>
      <c r="E14" s="12">
        <f>IF(ParagonAbilities3[[#This Row],[takes]]&gt;0,ParagonAbilities3[[#This Row],[wins]]/ParagonAbilities3[[#This Row],[takes]],0)</f>
        <v>1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8</v>
      </c>
      <c r="C15" s="1">
        <f t="shared" si="8"/>
        <v>5</v>
      </c>
      <c r="D15" s="15">
        <f>IF(SUM(ParagonAbilities3[[#This Row],[takes]]) &gt; 0,ParagonAbilities3[[#This Row],[takes]]/SUM(ParagonAbilities3[takes]),0)</f>
        <v>0.53333333333333333</v>
      </c>
      <c r="E15" s="15">
        <f>IF(ParagonAbilities3[[#This Row],[takes]]&gt;0,ParagonAbilities3[[#This Row],[wins]]/ParagonAbilities3[[#This Row],[takes]],0)</f>
        <v>0.625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5" s="1">
        <f>COUNTIF(Scenario0[winner1-ability3],ParagonAbilities3Scenario0[[#This Row],[ability]])+COUNTIF(Scenario0[winner2-ability3],ParagonAbilities3Scenario0[[#This Row],[ability]])</f>
        <v>0</v>
      </c>
      <c r="O15" s="15">
        <f>IF(SUM(ParagonAbilities3Scenario0[[#This Row],[takes]]) &gt; 0,ParagonAbilities3Scenario0[[#This Row],[takes]]/SUM(ParagonAbilities3Scenario0[takes]),0)</f>
        <v>0</v>
      </c>
      <c r="P15" s="15">
        <f>IF(ParagonAbilities3Scenario0[[#This Row],[takes]]&gt;0,ParagonAbilities3Scenario0[[#This Row],[wins]]/ParagonAbilities3Scenario0[[#This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11</v>
      </c>
      <c r="C18" s="2">
        <f>N18+N39+N60+N81+N102+N123</f>
        <v>10</v>
      </c>
      <c r="D18" s="12">
        <f>IF(SUM(ParagonAbilities4[[#This Row],[takes]]) &gt; 0,ParagonAbilities4[[#This Row],[takes]]/SUM(ParagonAbilities4[takes]),0)</f>
        <v>0.7857142857142857</v>
      </c>
      <c r="E18" s="12">
        <f>IF(ParagonAbilities4[[#This Row],[takes]]&gt;0,ParagonAbilities4[[#This Row],[wins]]/ParagonAbilities4[[#This Row],[takes]],0)</f>
        <v>0.90909090909090906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3</v>
      </c>
      <c r="C19" s="2">
        <f t="shared" ref="C19:C20" si="10">N19+N40+N61+N82+N103+N124</f>
        <v>2</v>
      </c>
      <c r="D19" s="12">
        <f>IF(SUM(ParagonAbilities4[[#This Row],[takes]]) &gt; 0,ParagonAbilities4[[#This Row],[takes]]/SUM(ParagonAbilities4[takes]),0)</f>
        <v>0.21428571428571427</v>
      </c>
      <c r="E19" s="12">
        <f>IF(ParagonAbilities4[[#This Row],[takes]]&gt;0,ParagonAbilities4[[#This Row],[wins]]/ParagonAbilities4[[#This Row],[takes]],0)</f>
        <v>0.66666666666666663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0</v>
      </c>
      <c r="C20" s="2">
        <f t="shared" si="10"/>
        <v>0</v>
      </c>
      <c r="D20" s="26">
        <f>IF(SUM(ParagonAbilities4[[#This Row],[takes]]) &gt; 0,ParagonAbilities4[[#This Row],[takes]]/SUM(ParagonAbilities4[takes]),0)</f>
        <v>0</v>
      </c>
      <c r="E20" s="26">
        <f>IF(ParagonAbilities4[[#This Row],[takes]]&gt;0,ParagonAbilities4[[#This Row],[wins]]/ParagonAbilities4[[#This Row],[takes]],0)</f>
        <v>0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</v>
      </c>
      <c r="N24">
        <f>COUNTIF(Scenario1[winner1-ability1],ParagonAbilities1Scenario1[[#This Row],[ability]])+COUNTIF(Scenario1[winner2-ability1],ParagonAbilities1Scenario1[[#This Row],[ability]])</f>
        <v>0</v>
      </c>
      <c r="O24" s="3">
        <f>IF(SUM(ParagonAbilities1Scenario1[[#This Row],[takes]]) &gt; 0,ParagonAbilities1Scenario1[[#This Row],[takes]]/SUM(ParagonAbilities1Scenario1[takes]),0)</f>
        <v>1</v>
      </c>
      <c r="P24" s="3">
        <f>IF(ParagonAbilities1Scenario1[[#This Row],[takes]]&gt;0,ParagonAbilities1Scenario1[[#This Row],[wins]]/ParagonAbilities1Scenario1[[#This Row],[takes]],0)</f>
        <v>0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5">
        <f>COUNTIF(Scenario1[winner1-ability1],ParagonAbilities1Scenario1[[#This Row],[ability]])+COUNTIF(Scenario1[winner2-ability1],ParagonAbilities1Scenario1[[#This Row],[ability]])</f>
        <v>0</v>
      </c>
      <c r="O25" s="3">
        <f>IF(SUM(ParagonAbilities1Scenario1[[#This Row],[takes]]) &gt; 0,ParagonAbilities1Scenario1[[#This Row],[takes]]/SUM(ParagonAbilities1Scenario1[takes]),0)</f>
        <v>0</v>
      </c>
      <c r="P25" s="3">
        <f>IF(ParagonAbilities1Scenario1[[#This Row],[takes]]&gt;0,ParagonAbilities1Scenario1[[#This Row],[wins]]/ParagonAbilities1Scenario1[[#This Row],[takes]],0)</f>
        <v>0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29" s="2">
        <f>COUNTIF(Scenario1[winner1-ability2],ParagonAbilities2Scenario1[[#This Row],[ability]])+COUNTIF(Scenario1[winner2-ability2],ParagonAbilities2Scenario1[[#This Row],[ability]])</f>
        <v>0</v>
      </c>
      <c r="O29" s="12">
        <f>IF(SUM(ParagonAbilities2Scenario1[[#This Row],[takes]]) &gt; 0,ParagonAbilities2Scenario1[[#This Row],[takes]]/SUM(ParagonAbilities2Scenario1[takes]),0)</f>
        <v>0</v>
      </c>
      <c r="P29" s="12">
        <f>IF(ParagonAbilities2Scenario1[[#This Row],[takes]]&gt;0,ParagonAbilities2Scenario1[[#This Row],[wins]]/ParagonAbilities2Scenario1[[#This Row],[takes]],0)</f>
        <v>0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0" s="2">
        <f>COUNTIF(Scenario1[winner1-ability2],ParagonAbilities2Scenario1[[#This Row],[ability]])+COUNTIF(Scenario1[winner2-ability2],ParagonAbilities2Scenario1[[#This Row],[ability]])</f>
        <v>0</v>
      </c>
      <c r="O30" s="3">
        <f>IF(SUM(ParagonAbilities2Scenario1[[#This Row],[takes]]) &gt; 0,ParagonAbilities2Scenario1[[#This Row],[takes]]/SUM(ParagonAbilities2Scenario1[takes]),0)</f>
        <v>0</v>
      </c>
      <c r="P30" s="3">
        <f>IF(ParagonAbilities2Scenario1[[#This Row],[takes]]&gt;0,ParagonAbilities2Scenario1[[#This Row],[wins]]/ParagonAbilities2Scenario1[[#This Row],[takes]],0)</f>
        <v>0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1" s="2">
        <f>COUNTIF(Scenario1[winner1-ability2],ParagonAbilities2Scenario1[[#This Row],[ability]])+COUNTIF(Scenario1[winner2-ability2],ParagonAbilities2Scenario1[[#This Row],[ability]])</f>
        <v>0</v>
      </c>
      <c r="O31" s="13">
        <f>IF(SUM(ParagonAbilities2Scenario1[[#This Row],[takes]]) &gt; 0,ParagonAbilities2Scenario1[[#This Row],[takes]]/SUM(ParagonAbilities2Scenario1[takes]),0)</f>
        <v>0</v>
      </c>
      <c r="P31" s="13">
        <f>IF(ParagonAbilities2Scenario1[[#This Row],[takes]]&gt;0,ParagonAbilities2Scenario1[[#This Row],[wins]]/ParagonAbilities2Scenario1[[#This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4" s="1">
        <f>COUNTIF(Scenario1[winner1-ability3],ParagonAbilities3Scenario1[[#This Row],[ability]])+COUNTIF(Scenario1[winner2-ability3],ParagonAbilities3Scenario1[[#This Row],[ability]])</f>
        <v>0</v>
      </c>
      <c r="O34" s="14">
        <f>IF(SUM(ParagonAbilities3Scenario1[[#This Row],[takes]]) &gt; 0,ParagonAbilities3Scenario1[[#This Row],[takes]]/SUM(ParagonAbilities3Scenario1[takes]),0)</f>
        <v>0</v>
      </c>
      <c r="P34" s="14">
        <f>IF(ParagonAbilities3Scenario1[[#This Row],[takes]]&gt;0,ParagonAbilities3Scenario1[[#This Row],[wins]]/ParagonAbilities3Scenario1[[#This Row],[takes]],0)</f>
        <v>0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5" s="2">
        <f>COUNTIF(Scenario1[winner1-ability3],ParagonAbilities3Scenario1[[#This Row],[ability]])+COUNTIF(Scenario1[winner2-ability3],ParagonAbilities3Scenario1[[#This Row],[ability]])</f>
        <v>0</v>
      </c>
      <c r="O35" s="12">
        <f>IF(SUM(ParagonAbilities3Scenario1[[#This Row],[takes]]) &gt; 0,ParagonAbilities3Scenario1[[#This Row],[takes]]/SUM(ParagonAbilities3Scenario1[takes]),0)</f>
        <v>0</v>
      </c>
      <c r="P35" s="12">
        <f>IF(ParagonAbilities3Scenario1[[#This Row],[takes]]&gt;0,ParagonAbilities3Scenario1[[#This Row],[wins]]/ParagonAbilities3Scenario1[[#This Row],[takes]],0)</f>
        <v>0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6" s="1">
        <f>COUNTIF(Scenario1[winner1-ability3],ParagonAbilities3Scenario1[[#This Row],[ability]])+COUNTIF(Scenario1[winner2-ability3],ParagonAbilities3Scenario1[[#This Row],[ability]])</f>
        <v>0</v>
      </c>
      <c r="O36" s="15">
        <f>IF(SUM(ParagonAbilities3Scenario1[[#This Row],[takes]]) &gt; 0,ParagonAbilities3Scenario1[[#This Row],[takes]]/SUM(ParagonAbilities3Scenario1[takes]),0)</f>
        <v>0</v>
      </c>
      <c r="P36" s="15">
        <f>IF(ParagonAbilities3Scenario1[[#This Row],[takes]]&gt;0,ParagonAbilities3Scenario1[[#This Row],[wins]]/ParagonAbilities3Scenario1[[#This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39" s="2">
        <f>COUNTIF(Scenario1[winner1-ability4],ParagonAbilities4Scenario1[[#This Row],[ability]])+COUNTIF(Scenario1[winner2-ability4],ParagonAbilities4Scenario1[[#This Row],[ability]])</f>
        <v>0</v>
      </c>
      <c r="O39" s="12">
        <f>IF(SUM(ParagonAbilities4Scenario1[[#This Row],[takes]]) &gt; 0,ParagonAbilities4Scenario1[[#This Row],[takes]]/SUM(ParagonAbilities4Scenario1[takes]),0)</f>
        <v>0</v>
      </c>
      <c r="P39" s="12">
        <f>IF(ParagonAbilities4Scenario1[[#This Row],[takes]]&gt;0,ParagonAbilities4Scenario1[[#This Row],[wins]]/ParagonAbilities4Scenario1[[#This Row],[takes]],0)</f>
        <v>0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1</v>
      </c>
      <c r="T45">
        <f>COUNTIFS(Scenario2[winner1],"paragon",Scenario2[winner1-sw],ParagonEquipScenario2[[#This Row],[level]])+COUNTIFS(Scenario2[loser1],"paragon",Scenario2[loser1-sw],ParagonEquipScenario2[[#This Row],[level]])</f>
        <v>3</v>
      </c>
      <c r="U45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1</v>
      </c>
      <c r="N46">
        <f>COUNTIF(Scenario2[winner1-ability1],ParagonAbilities1Scenario2[[#This Row],[ability]])</f>
        <v>0</v>
      </c>
      <c r="O46" s="3">
        <f>IF(SUM(ParagonAbilities1Scenario2[[#This Row],[takes]]) &gt; 0,ParagonAbilities1Scenario2[[#This Row],[takes]]/SUM(ParagonAbilities1Scenario2[takes]),0)</f>
        <v>6.25E-2</v>
      </c>
      <c r="P46" s="3">
        <f>IF(ParagonAbilities1Scenario2[[#This Row],[takes]]&gt;0,ParagonAbilities1Scenario2[[#This Row],[wins]]/ParagonAbilities1Scenario2[[#This Row],[takes]],0)</f>
        <v>0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7</v>
      </c>
      <c r="T46">
        <f>COUNTIFS(Scenario2[winner1],"paragon",Scenario2[winner1-sw],ParagonEquipScenario2[[#This Row],[level]])+COUNTIFS(Scenario2[loser1],"paragon",Scenario2[loser1-sw],ParagonEquipScenario2[[#This Row],[level]])</f>
        <v>1</v>
      </c>
      <c r="U46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15</v>
      </c>
      <c r="N47">
        <f>COUNTIF(Scenario2[winner1-ability1],ParagonAbilities1Scenario2[[#This Row],[ability]])</f>
        <v>12</v>
      </c>
      <c r="O47" s="3">
        <f>IF(SUM(ParagonAbilities1Scenario2[[#This Row],[takes]]) &gt; 0,ParagonAbilities1Scenario2[[#This Row],[takes]]/SUM(ParagonAbilities1Scenario2[takes]),0)</f>
        <v>0.9375</v>
      </c>
      <c r="P47" s="3">
        <f>IF(ParagonAbilities1Scenario2[[#This Row],[takes]]&gt;0,ParagonAbilities1Scenario2[[#This Row],[wins]]/ParagonAbilities1Scenario2[[#This Row],[takes]],0)</f>
        <v>0.8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8</v>
      </c>
      <c r="T47">
        <f>COUNTIFS(Scenario2[winner1],"paragon",Scenario2[winner1-sw],ParagonEquipScenario2[[#This Row],[level]])+COUNTIFS(Scenario2[loser1],"paragon",Scenario2[loser1-sw],ParagonEquipScenario2[[#This Row],[level]])</f>
        <v>12</v>
      </c>
      <c r="U47" s="18">
        <f>COUNTIFS(Scenario2[winner1],"paragon",Scenario2[winner1-cp],ParagonEquipScenario2[[#This Row],[level]])+COUNTIFS(Scenario2[loser1],"paragon",Scenario2[loser1-cp],ParagonEquipScenario2[[#This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5</v>
      </c>
      <c r="N50" s="2">
        <f>COUNTIF(Scenario2[winner1-ability2],ParagonAbilities2Scenario2[[#This Row],[ability]])</f>
        <v>5</v>
      </c>
      <c r="O50" s="12">
        <f>IF(SUM(ParagonAbilities2Scenario2[[#This Row],[takes]]) &gt; 0,ParagonAbilities2Scenario2[[#This Row],[takes]]/SUM(ParagonAbilities2Scenario2[takes]),0)</f>
        <v>0.38461538461538464</v>
      </c>
      <c r="P50" s="12">
        <f>IF(ParagonAbilities2Scenario2[[#This Row],[takes]]&gt;0,ParagonAbilities2Scenario2[[#This Row],[wins]]/ParagonAbilities2Scenario2[[#This Row],[takes]],0)</f>
        <v>1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8</v>
      </c>
      <c r="N51" s="2">
        <f>COUNTIF(Scenario2[winner1-ability2],ParagonAbilities2Scenario2[[#This Row],[ability]])</f>
        <v>6</v>
      </c>
      <c r="O51" s="3">
        <f>IF(SUM(ParagonAbilities2Scenario2[[#This Row],[takes]]) &gt; 0,ParagonAbilities2Scenario2[[#This Row],[takes]]/SUM(ParagonAbilities2Scenario2[takes]),0)</f>
        <v>0.61538461538461542</v>
      </c>
      <c r="P51" s="3">
        <f>IF(ParagonAbilities2Scenario2[[#This Row],[takes]]&gt;0,ParagonAbilities2Scenario2[[#This Row],[wins]]/ParagonAbilities2Scenario2[[#This Row],[takes]],0)</f>
        <v>0.75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4</v>
      </c>
      <c r="N55" s="1">
        <f>COUNTIF(Scenario2[winner1-ability3],ParagonAbilities3Scenario2[[#This Row],[ability]])</f>
        <v>4</v>
      </c>
      <c r="O55" s="14">
        <f>IF(SUM(ParagonAbilities3Scenario2[[#This Row],[takes]]) &gt; 0,ParagonAbilities3Scenario2[[#This Row],[takes]]/SUM(ParagonAbilities3Scenario2[takes]),0)</f>
        <v>0.33333333333333331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2</v>
      </c>
      <c r="N56" s="2">
        <f>COUNTIF(Scenario2[winner1-ability3],ParagonAbilities3Scenario2[[#This Row],[ability]])</f>
        <v>2</v>
      </c>
      <c r="O56" s="12">
        <f>IF(SUM(ParagonAbilities3Scenario2[[#This Row],[takes]]) &gt; 0,ParagonAbilities3Scenario2[[#This Row],[takes]]/SUM(ParagonAbilities3Scenario2[takes]),0)</f>
        <v>0.16666666666666666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6</v>
      </c>
      <c r="N57" s="1">
        <f>COUNTIF(Scenario2[winner1-ability3],ParagonAbilities3Scenario2[[#This Row],[ability]])</f>
        <v>4</v>
      </c>
      <c r="O57" s="15">
        <f>IF(SUM(ParagonAbilities3Scenario2[[#This Row],[takes]]) &gt; 0,ParagonAbilities3Scenario2[[#This Row],[takes]]/SUM(ParagonAbilities3Scenario2[takes]),0)</f>
        <v>0.5</v>
      </c>
      <c r="P57" s="15">
        <f>IF(ParagonAbilities3Scenario2[[#This Row],[takes]]&gt;0,ParagonAbilities3Scenario2[[#This Row],[wins]]/ParagonAbilities3Scenario2[[#This Row],[takes]],0)</f>
        <v>0.66666666666666663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9</v>
      </c>
      <c r="N60" s="2">
        <f>COUNTIF(Scenario2[winner1-ability4],ParagonAbilities4Scenario2[[#This Row],[ability]])</f>
        <v>8</v>
      </c>
      <c r="O60" s="12">
        <f>IF(SUM(ParagonAbilities4Scenario2[[#This Row],[takes]]) &gt; 0,ParagonAbilities4Scenario2[[#This Row],[takes]]/SUM(ParagonAbilities4Scenario2[takes]),0)</f>
        <v>0.81818181818181823</v>
      </c>
      <c r="P60" s="12">
        <f>IF(ParagonAbilities4Scenario2[[#This Row],[takes]]&gt;0,ParagonAbilities4Scenario2[[#This Row],[wins]]/ParagonAbilities4Scenario2[[#This Row],[takes]],0)</f>
        <v>0.88888888888888884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2</v>
      </c>
      <c r="N61" s="2">
        <f>COUNTIF(Scenario2[winner1-ability4],ParagonAbilities4Scenario2[[#This Row],[ability]])</f>
        <v>2</v>
      </c>
      <c r="O61" s="12">
        <f>IF(SUM(ParagonAbilities4Scenario2[[#This Row],[takes]]) &gt; 0,ParagonAbilities4Scenario2[[#This Row],[takes]]/SUM(ParagonAbilities4Scenario2[takes]),0)</f>
        <v>0.18181818181818182</v>
      </c>
      <c r="P61" s="12">
        <f>IF(ParagonAbilities4Scenario2[[#This Row],[takes]]&gt;0,ParagonAbilities4Scenario2[[#This Row],[wins]]/ParagonAbilities4Scenario2[[#This Row],[takes]],0)</f>
        <v>1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</v>
      </c>
      <c r="N68">
        <f>COUNTIF(Scenario3[winner1-ability1],ParagonAbilities1Scenario3[[#This Row],[ability]])</f>
        <v>1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1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</v>
      </c>
      <c r="N71" s="2">
        <f>COUNTIF(Scenario3[winner1-ability2],ParagonAbilities2Scenario3[[#This Row],[ability]])</f>
        <v>1</v>
      </c>
      <c r="O71" s="12">
        <f>IF(SUM(ParagonAbilities2Scenario3[[#This Row],[takes]]) &gt; 0,ParagonAbilities2Scenario3[[#This Row],[takes]]/SUM(ParagonAbilities2Scenario3[takes]),0)</f>
        <v>1</v>
      </c>
      <c r="P71" s="12">
        <f>IF(ParagonAbilities2Scenario3[[#This Row],[takes]]&gt;0,ParagonAbilities2Scenario3[[#This Row],[wins]]/ParagonAbilities2Scenario3[[#This Row],[takes]],0)</f>
        <v>1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2" s="2">
        <f>COUNTIF(Scenario3[winner1-ability2],ParagonAbilities2Scenario3[[#This Row],[ability]])</f>
        <v>0</v>
      </c>
      <c r="O72" s="3">
        <f>IF(SUM(ParagonAbilities2Scenario3[[#This Row],[takes]]) &gt; 0,ParagonAbilities2Scenario3[[#This Row],[takes]]/SUM(ParagonAbilities2Scenario3[takes]),0)</f>
        <v>0</v>
      </c>
      <c r="P72" s="3">
        <f>IF(ParagonAbilities2Scenario3[[#This Row],[takes]]&gt;0,ParagonAbilities2Scenario3[[#This Row],[wins]]/ParagonAbilities2Scenario3[[#This Row],[takes]],0)</f>
        <v>0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0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7" s="2">
        <f>COUNTIF(Scenario3[winner1-ability3],ParagonAbilities3Scenario3[[#This Row],[ability]])</f>
        <v>0</v>
      </c>
      <c r="O77" s="12">
        <f>IF(SUM(ParagonAbilities3Scenario3[[#This Row],[takes]]) &gt; 0,ParagonAbilities3Scenario3[[#This Row],[takes]]/SUM(ParagonAbilities3Scenario3[takes]),0)</f>
        <v>0</v>
      </c>
      <c r="P77" s="12">
        <f>IF(ParagonAbilities3Scenario3[[#This Row],[takes]]&gt;0,ParagonAbilities3Scenario3[[#This Row],[wins]]/ParagonAbilities3Scenario3[[#This Row],[takes]],0)</f>
        <v>0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8" s="1">
        <f>COUNTIF(Scenario3[winner1-ability3],ParagonAbilities3Scenario3[[#This Row],[ability]])</f>
        <v>1</v>
      </c>
      <c r="O78" s="15">
        <f>IF(SUM(ParagonAbilities3Scenario3[[#This Row],[takes]]) &gt; 0,ParagonAbilities3Scenario3[[#This Row],[takes]]/SUM(ParagonAbilities3Scenario3[takes]),0)</f>
        <v>1</v>
      </c>
      <c r="P78" s="15">
        <f>IF(ParagonAbilities3Scenario3[[#This Row],[takes]]&gt;0,ParagonAbilities3Scenario3[[#This Row],[wins]]/ParagonAbilities3Scenario3[[#This Row],[takes]],0)</f>
        <v>1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1" s="2">
        <f>COUNTIF(Scenario3[winner1-ability4],ParagonAbilities4Scenario3[[#This Row],[ability]])</f>
        <v>1</v>
      </c>
      <c r="O81" s="12">
        <f>IF(SUM(ParagonAbilities4Scenario3[[#This Row],[takes]]) &gt; 0,ParagonAbilities4Scenario3[[#This Row],[takes]]/SUM(ParagonAbilities4Scenario3[takes]),0)</f>
        <v>1</v>
      </c>
      <c r="P81" s="12">
        <f>IF(ParagonAbilities4Scenario3[[#This Row],[takes]]&gt;0,ParagonAbilities4Scenario3[[#This Row],[wins]]/ParagonAbilities4Scenario3[[#This Row],[takes]],0)</f>
        <v>1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2" s="2">
        <f>COUNTIF(Scenario3[winner1-ability4],ParagonAbilities4Scenario3[[#This Row],[ability]])</f>
        <v>0</v>
      </c>
      <c r="O82" s="12">
        <f>IF(SUM(ParagonAbilities4Scenario3[[#This Row],[takes]]) &gt; 0,ParagonAbilities4Scenario3[[#This Row],[takes]]/SUM(ParagonAbilities4Scenario3[takes]),0)</f>
        <v>0</v>
      </c>
      <c r="P82" s="12">
        <f>IF(ParagonAbilities4Scenario3[[#This Row],[takes]]&gt;0,ParagonAbilities4Scenario3[[#This Row],[wins]]/ParagonAbilities4Scenario3[[#This Row],[takes]],0)</f>
        <v>0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1</v>
      </c>
      <c r="N89">
        <f>COUNTIF(Scenario4[winner1-ability1],ParagonAbilities1Scenario4[[#This Row],[ability]])</f>
        <v>0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2" s="2">
        <f>COUNTIF(Scenario4[winner1-ability2],ParagonAbilities2Scenario4[[#This Row],[ability]])</f>
        <v>0</v>
      </c>
      <c r="O92" s="12">
        <f>IF(SUM(ParagonAbilities2Scenario4[[#This Row],[takes]]) &gt; 0,ParagonAbilities2Scenario4[[#This Row],[takes]]/SUM(ParagonAbilities2Scenario4[takes]),0)</f>
        <v>0</v>
      </c>
      <c r="P92" s="12">
        <f>IF(ParagonAbilities2Scenario4[[#This Row],[takes]]&gt;0,ParagonAbilities2Scenario4[[#This Row],[wins]]/ParagonAbilities2Scenario4[[#This Row],[takes]],0)</f>
        <v>0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</v>
      </c>
      <c r="N93" s="2">
        <f>COUNTIF(Scenario4[winner1-ability2],ParagonAbilities2Scenario4[[#This Row],[ability]])</f>
        <v>0</v>
      </c>
      <c r="O93" s="3">
        <f>IF(SUM(ParagonAbilities2Scenario4[[#This Row],[takes]]) &gt; 0,ParagonAbilities2Scenario4[[#This Row],[takes]]/SUM(ParagonAbilities2Scenario4[takes]),0)</f>
        <v>1</v>
      </c>
      <c r="P93" s="3">
        <f>IF(ParagonAbilities2Scenario4[[#This Row],[takes]]&gt;0,ParagonAbilities2Scenario4[[#This Row],[wins]]/ParagonAbilities2Scenario4[[#This Row],[takes]],0)</f>
        <v>0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0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9" s="1">
        <f>COUNTIF(Scenario4[winner1-ability3],ParagonAbilities3Scenario4[[#This Row],[ability]])</f>
        <v>0</v>
      </c>
      <c r="O99" s="15">
        <f>IF(SUM(ParagonAbilities3Scenario4[[#This Row],[takes]]) &gt; 0,ParagonAbilities3Scenario4[[#This Row],[takes]]/SUM(ParagonAbilities3Scenario4[takes]),0)</f>
        <v>1</v>
      </c>
      <c r="P99" s="15">
        <f>IF(ParagonAbilities3Scenario4[[#This Row],[takes]]&gt;0,ParagonAbilities3Scenario4[[#This Row],[wins]]/ParagonAbilities3Scenario4[[#This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2" s="2">
        <f>COUNTIF(Scenario4[winner1-ability4],ParagonAbilities4Scenario4[[#This Row],[ability]])</f>
        <v>0</v>
      </c>
      <c r="O102" s="12">
        <f>IF(SUM(ParagonAbilities4Scenario4[[#This Row],[takes]]) &gt; 0,ParagonAbilities4Scenario4[[#This Row],[takes]]/SUM(ParagonAbilities4Scenario4[takes]),0)</f>
        <v>0</v>
      </c>
      <c r="P102" s="12">
        <f>IF(ParagonAbilities4Scenario4[[#This Row],[takes]]&gt;0,ParagonAbilities4Scenario4[[#This Row],[wins]]/ParagonAbilities4Scenario4[[#This Row],[takes]],0)</f>
        <v>0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3" s="2">
        <f>COUNTIF(Scenario4[winner1-ability4],ParagonAbilities4Scenario4[[#This Row],[ability]])</f>
        <v>0</v>
      </c>
      <c r="O103" s="12">
        <f>IF(SUM(ParagonAbilities4Scenario4[[#This Row],[takes]]) &gt; 0,ParagonAbilities4Scenario4[[#This Row],[takes]]/SUM(ParagonAbilities4Scenario4[takes]),0)</f>
        <v>1</v>
      </c>
      <c r="P103" s="12">
        <f>IF(ParagonAbilities4Scenario4[[#This Row],[takes]]&gt;0,ParagonAbilities4Scenario4[[#This Row],[wins]]/ParagonAbilities4Scenario4[[#This Row],[takes]],0)</f>
        <v>0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0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0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0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9">
        <f>COUNTIF(Scenario5[winner1-ability1],ParagonAbilities1Scenario5[[#This Row],[ability]])+COUNTIF(Scenario5[winner2-ability1],ParagonAbilities1Scenario5[[#This Row],[ability]])</f>
        <v>0</v>
      </c>
      <c r="O109" s="3">
        <f>IF(SUM(ParagonAbilities1Scenario5[[#This Row],[takes]]) &gt; 0,ParagonAbilities1Scenario5[[#This Row],[takes]]/SUM(ParagonAbilities1Scenario5[takes]),0)</f>
        <v>0</v>
      </c>
      <c r="P109" s="3">
        <f>IF(ParagonAbilities1Scenario5[[#This Row],[takes]]&gt;0,ParagonAbilities1Scenario5[[#This Row],[wins]]/ParagonAbilities1Scenario5[[#This Row],[takes]],0)</f>
        <v>0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0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0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0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</v>
      </c>
      <c r="N110">
        <f>COUNTIF(Scenario5[winner1-ability1],ParagonAbilities1Scenario5[[#This Row],[ability]])+COUNTIF(Scenario5[winner2-ability1],ParagonAbilities1Scenario5[[#This Row],[ability]])</f>
        <v>1</v>
      </c>
      <c r="O110" s="3">
        <f>IF(SUM(ParagonAbilities1Scenario5[[#This Row],[takes]]) &gt; 0,ParagonAbilities1Scenario5[[#This Row],[takes]]/SUM(ParagonAbilities1Scenario5[takes]),0)</f>
        <v>1</v>
      </c>
      <c r="P110" s="3">
        <f>IF(ParagonAbilities1Scenario5[[#This Row],[takes]]&gt;0,ParagonAbilities1Scenario5[[#This Row],[wins]]/ParagonAbilities1Scenario5[[#This Row],[takes]],0)</f>
        <v>1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1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1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1</v>
      </c>
      <c r="N113" s="2">
        <f>COUNTIF(Scenario5[winner1-ability2],ParagonAbilities2Scenario5[[#This Row],[ability]])+COUNTIF(Scenario5[winner2-ability2],ParagonAbilities2Scenario5[[#This Row],[ability]])</f>
        <v>1</v>
      </c>
      <c r="O113" s="12">
        <f>IF(SUM(ParagonAbilities2Scenario5[[#This Row],[takes]]) &gt; 0,ParagonAbilities2Scenario5[[#This Row],[takes]]/SUM(ParagonAbilities2Scenario5[takes]),0)</f>
        <v>1</v>
      </c>
      <c r="P113" s="12">
        <f>IF(ParagonAbilities2Scenario5[[#This Row],[takes]]&gt;0,ParagonAbilities2Scenario5[[#This Row],[wins]]/ParagonAbilities2Scenario5[[#This Row],[takes]],0)</f>
        <v>1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0</v>
      </c>
      <c r="N114" s="2">
        <f>COUNTIF(Scenario5[winner1-ability2],ParagonAbilities2Scenario5[[#This Row],[ability]])+COUNTIF(Scenario5[winner2-ability2],ParagonAbilities2Scenario5[[#This Row],[ability]])</f>
        <v>0</v>
      </c>
      <c r="O114" s="3">
        <f>IF(SUM(ParagonAbilities2Scenario5[[#This Row],[takes]]) &gt; 0,ParagonAbilities2Scenario5[[#This Row],[takes]]/SUM(ParagonAbilities2Scenario5[takes]),0)</f>
        <v>0</v>
      </c>
      <c r="P114" s="3">
        <f>IF(ParagonAbilities2Scenario5[[#This Row],[takes]]&gt;0,ParagonAbilities2Scenario5[[#This Row],[wins]]/ParagonAbilities2Scenario5[[#This Row],[takes]],0)</f>
        <v>0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0</v>
      </c>
      <c r="N115" s="2">
        <f>COUNTIF(Scenario5[winner1-ability2],ParagonAbilities2Scenario5[[#This Row],[ability]])+COUNTIF(Scenario5[winner2-ability2],ParagonAbilities2Scenario5[[#This Row],[ability]])</f>
        <v>0</v>
      </c>
      <c r="O115" s="13">
        <f>IF(SUM(ParagonAbilities2Scenario5[[#This Row],[takes]]) &gt; 0,ParagonAbilities2Scenario5[[#This Row],[takes]]/SUM(ParagonAbilities2Scenario5[takes]),0)</f>
        <v>0</v>
      </c>
      <c r="P115" s="13">
        <f>IF(ParagonAbilities2Scenario5[[#This Row],[takes]]&gt;0,ParagonAbilities2Scenario5[[#This Row],[wins]]/ParagonAbilities2Scenario5[[#This Row],[takes]],0)</f>
        <v>0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</v>
      </c>
      <c r="N118" s="1">
        <f>COUNTIF(Scenario5[winner1-ability3],ParagonAbilities3Scenario5[[#This Row],[ability]])+COUNTIF(Scenario5[winner2-ability3],ParagonAbilities3Scenario5[[#This Row],[ability]])</f>
        <v>1</v>
      </c>
      <c r="O118" s="14">
        <f>IF(SUM(ParagonAbilities3Scenario5[[#This Row],[takes]]) &gt; 0,ParagonAbilities3Scenario5[[#This Row],[takes]]/SUM(ParagonAbilities3Scenario5[takes]),0)</f>
        <v>1</v>
      </c>
      <c r="P118" s="14">
        <f>IF(ParagonAbilities3Scenario5[[#This Row],[takes]]&gt;0,ParagonAbilities3Scenario5[[#This Row],[wins]]/ParagonAbilities3Scenario5[[#This Row],[takes]],0)</f>
        <v>1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0</v>
      </c>
      <c r="N119" s="2">
        <f>COUNTIF(Scenario5[winner1-ability3],ParagonAbilities3Scenario5[[#This Row],[ability]])+COUNTIF(Scenario5[winner2-ability3],ParagonAbilities3Scenario5[[#This Row],[ability]])</f>
        <v>0</v>
      </c>
      <c r="O119" s="12">
        <f>IF(SUM(ParagonAbilities3Scenario5[[#This Row],[takes]]) &gt; 0,ParagonAbilities3Scenario5[[#This Row],[takes]]/SUM(ParagonAbilities3Scenario5[takes]),0)</f>
        <v>0</v>
      </c>
      <c r="P119" s="12">
        <f>IF(ParagonAbilities3Scenario5[[#This Row],[takes]]&gt;0,ParagonAbilities3Scenario5[[#This Row],[wins]]/ParagonAbilities3Scenario5[[#This Row],[takes]],0)</f>
        <v>0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0</v>
      </c>
      <c r="N120" s="1">
        <f>COUNTIF(Scenario5[winner1-ability3],ParagonAbilities3Scenario5[[#This Row],[ability]])+COUNTIF(Scenario5[winner2-ability3],ParagonAbilities3Scenario5[[#This Row],[ability]])</f>
        <v>0</v>
      </c>
      <c r="O120" s="15">
        <f>IF(SUM(ParagonAbilities3Scenario5[[#This Row],[takes]]) &gt; 0,ParagonAbilities3Scenario5[[#This Row],[takes]]/SUM(ParagonAbilities3Scenario5[takes]),0)</f>
        <v>0</v>
      </c>
      <c r="P120" s="15">
        <f>IF(ParagonAbilities3Scenario5[[#This Row],[takes]]&gt;0,ParagonAbilities3Scenario5[[#This Row],[wins]]/ParagonAbilities3Scenario5[[#This Row],[takes]],0)</f>
        <v>0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</v>
      </c>
      <c r="N123" s="2">
        <f>COUNTIF(Scenario5[winner1-ability4],ParagonAbilities4Scenario5[[#This Row],[ability]])+COUNTIF(Scenario5[winner2-ability4],ParagonAbilities4Scenario5[[#This Row],[ability]])</f>
        <v>1</v>
      </c>
      <c r="O123" s="12">
        <f>IF(SUM(ParagonAbilities4Scenario5[[#This Row],[takes]]) &gt; 0,ParagonAbilities4Scenario5[[#This Row],[takes]]/SUM(ParagonAbilities4Scenario5[takes]),0)</f>
        <v>1</v>
      </c>
      <c r="P123" s="12">
        <f>IF(ParagonAbilities4Scenario5[[#This Row],[takes]]&gt;0,ParagonAbilities4Scenario5[[#This Row],[wins]]/ParagonAbilities4Scenario5[[#This Row],[takes]],0)</f>
        <v>1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0</v>
      </c>
      <c r="N124" s="2">
        <f>COUNTIF(Scenario5[winner1-ability4],ParagonAbilities4Scenario5[[#This Row],[ability]])+COUNTIF(Scenario5[winner2-ability4],ParagonAbilities4Scenario5[[#This Row],[ability]])</f>
        <v>0</v>
      </c>
      <c r="O124" s="12">
        <f>IF(SUM(ParagonAbilities4Scenario5[[#This Row],[takes]]) &gt; 0,ParagonAbilities4Scenario5[[#This Row],[takes]]/SUM(ParagonAbilities4Scenario5[takes]),0)</f>
        <v>0</v>
      </c>
      <c r="P124" s="12">
        <f>IF(ParagonAbilities4Scenario5[[#This Row],[takes]]&gt;0,ParagonAbilities4Scenario5[[#This Row],[wins]]/ParagonAbilities4Scenario5[[#This Row],[takes]],0)</f>
        <v>0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0</v>
      </c>
      <c r="N125" s="2">
        <f>COUNTIF(Scenario5[winner1-ability4],ParagonAbilities4Scenario5[[#This Row],[ability]])+COUNTIF(Scenario5[winner2-ability4],ParagonAbilities4Scenario5[[#This Row],[ability]])</f>
        <v>0</v>
      </c>
      <c r="O125" s="26">
        <f>IF(SUM(ParagonAbilities4Scenario5[[#This Row],[takes]]) &gt; 0,ParagonAbilities4Scenario5[[#This Row],[takes]]/SUM(ParagonAbilities4Scenario5[takes]),0)</f>
        <v>0</v>
      </c>
      <c r="P125" s="26">
        <f>IF(ParagonAbilities4Scenario5[[#This Row],[takes]]&gt;0,ParagonAbilities4Scenario5[[#This Row],[wins]]/ParagonAbilities4Scenario5[[#This Row],[takes]],0)</f>
        <v>0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3" sqref="D2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0.19047619047619047</v>
      </c>
    </row>
    <row r="3" spans="1:22" x14ac:dyDescent="0.25">
      <c r="A3" t="s">
        <v>68</v>
      </c>
      <c r="B3">
        <f>L3+L24+L45+L66+L87+L108</f>
        <v>5</v>
      </c>
      <c r="C3">
        <f>M3+M24+M45+M66+M87+M108</f>
        <v>1</v>
      </c>
      <c r="D3" s="3">
        <f>IF(SUM(HighlanderAbilities1[[#This Row],[takes]]) &gt; 0,HighlanderAbilities1[[#This Row],[takes]]/SUM(HighlanderAbilities1[takes]),0)</f>
        <v>0.23809523809523808</v>
      </c>
      <c r="E3" s="3">
        <f>IF(HighlanderAbilities1[[#This Row],[takes]]&gt;0,HighlanderAbilities1[[#This Row],[wins]]/HighlanderAbilities1[[#This Row],[takes]],0)</f>
        <v>0.2</v>
      </c>
      <c r="G3">
        <v>1</v>
      </c>
      <c r="H3">
        <f>R3+R24+R45+R66+R87+R108</f>
        <v>3</v>
      </c>
      <c r="I3" s="18">
        <f>S3+S24+S45+S66+S87+S108</f>
        <v>13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</v>
      </c>
      <c r="M3">
        <f>COUNTIF(Scenario0[winner1-ability1],HighlanderAbilities1Scenario0[[#This Row],[ability]])+COUNTIF(Scenario0[winner2-ability1],HighlanderAbilities1Scenario0[[#This Row],[ability]])</f>
        <v>0</v>
      </c>
      <c r="N3" s="3">
        <f>IF(SUM(HighlanderAbilities1Scenario0[[#This Row],[takes]]) &gt; 0,HighlanderAbilities1Scenario0[[#This Row],[takes]]/SUM(HighlanderAbilities1Scenario0[takes]),0)</f>
        <v>1</v>
      </c>
      <c r="O3" s="3">
        <f>IF(HighlanderAbilities1Scenario0[[#This Row],[takes]]&gt;0,HighlanderAbilities1Scenario0[[#This Row],[wins]]/HighlanderAbilities1Scenario0[[#This Row],[takes]],0)</f>
        <v>0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</v>
      </c>
      <c r="U3" t="s">
        <v>193</v>
      </c>
      <c r="V3" s="16">
        <f>H5/SUM(HighlanderEquip[sword])</f>
        <v>0.66666666666666663</v>
      </c>
    </row>
    <row r="4" spans="1:22" x14ac:dyDescent="0.25">
      <c r="A4" t="s">
        <v>120</v>
      </c>
      <c r="B4">
        <f t="shared" ref="B4:B5" si="0">L4+L25+L46+L67+L88+L109</f>
        <v>8</v>
      </c>
      <c r="C4">
        <f t="shared" ref="C4:C5" si="1">M4+M25+M46+M67+M88+M109</f>
        <v>4</v>
      </c>
      <c r="D4" s="3">
        <f>IF(SUM(HighlanderAbilities1[[#This Row],[takes]]) &gt; 0,HighlanderAbilities1[[#This Row],[takes]]/SUM(HighlanderAbilities1[takes]),0)</f>
        <v>0.38095238095238093</v>
      </c>
      <c r="E4" s="3">
        <f>IF(HighlanderAbilities1[[#This Row],[takes]]&gt;0,HighlanderAbilities1[[#This Row],[wins]]/HighlanderAbilities1[[#This Row],[takes]],0)</f>
        <v>0.5</v>
      </c>
      <c r="G4">
        <v>2</v>
      </c>
      <c r="H4">
        <f t="shared" ref="H4:H5" si="2">R4+R25+R46+R67+R88+R109</f>
        <v>4</v>
      </c>
      <c r="I4" s="18">
        <f t="shared" ref="I4:I5" si="3">S4+S25+S46+S67+S88+S109</f>
        <v>3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4" t="s">
        <v>179</v>
      </c>
      <c r="V4" s="3">
        <f>HighlanderEquip[[#This Row],[chestpiece]]/SUM(HighlanderEquip[chestpiece])</f>
        <v>0.14285714285714285</v>
      </c>
    </row>
    <row r="5" spans="1:22" x14ac:dyDescent="0.25">
      <c r="A5" t="s">
        <v>57</v>
      </c>
      <c r="B5">
        <f t="shared" si="0"/>
        <v>8</v>
      </c>
      <c r="C5">
        <f t="shared" si="1"/>
        <v>6</v>
      </c>
      <c r="D5" s="3">
        <f>IF(SUM(HighlanderAbilities1[[#This Row],[takes]]) &gt; 0,HighlanderAbilities1[[#This Row],[takes]]/SUM(HighlanderAbilities1[takes]),0)</f>
        <v>0.38095238095238093</v>
      </c>
      <c r="E5" s="3">
        <f>IF(HighlanderAbilities1[[#This Row],[takes]]&gt;0,HighlanderAbilities1[[#This Row],[wins]]/HighlanderAbilities1[[#This Row],[takes]],0)</f>
        <v>0.75</v>
      </c>
      <c r="G5">
        <v>3</v>
      </c>
      <c r="H5">
        <f t="shared" si="2"/>
        <v>14</v>
      </c>
      <c r="I5" s="18">
        <f t="shared" si="3"/>
        <v>5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5">
        <f>COUNTIF(Scenario0[winner1-ability1],HighlanderAbilities1Scenario0[[#This Row],[ability]])+COUNTIF(Scenario0[winner2-ability1],HighlanderAbilities1Scenario0[[#This Row],[ability]])</f>
        <v>0</v>
      </c>
      <c r="N5" s="3">
        <f>IF(SUM(HighlanderAbilities1Scenario0[[#This Row],[takes]]) &gt; 0,HighlanderAbilities1Scenario0[[#This Row],[takes]]/SUM(HighlanderAbilities1Scenario0[takes]),0)</f>
        <v>0</v>
      </c>
      <c r="O5" s="3">
        <f>IF(HighlanderAbilities1Scenario0[[#This Row],[takes]]&gt;0,HighlanderAbilities1Scenario0[[#This Row],[wins]]/HighlanderAbilities1Scenario0[[#This Row],[takes]],0)</f>
        <v>0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5" t="s">
        <v>180</v>
      </c>
      <c r="V5" s="16">
        <f>HighlanderEquip[[#This Row],[chestpiece]]/SUM(HighlanderEquip[chestpiece])</f>
        <v>0.23809523809523808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0.76190476190476186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0.47619047619047616</v>
      </c>
    </row>
    <row r="8" spans="1:22" x14ac:dyDescent="0.25">
      <c r="A8" s="2" t="s">
        <v>69</v>
      </c>
      <c r="B8" s="2">
        <f>L8+L29+L50+L71+L92+L113</f>
        <v>2</v>
      </c>
      <c r="C8" s="2">
        <f>M8+M29+M50+M71+M92+M113</f>
        <v>1</v>
      </c>
      <c r="D8" s="12">
        <f>IF(SUM(HighlanderAbilities2[[#This Row],[takes]]) &gt; 0,HighlanderAbilities2[[#This Row],[takes]]/SUM(HighlanderAbilities2[takes]),0)</f>
        <v>0.125</v>
      </c>
      <c r="E8" s="12">
        <f>IF(HighlanderAbilities2[[#This Row],[takes]]&gt;0,HighlanderAbilities2[[#This Row],[wins]]/HighlanderAbilities2[[#This Row],[takes]],0)</f>
        <v>0.5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8" s="2">
        <f>COUNTIF(Scenario0[winner1-ability2],HighlanderAbilities2Scenario0[[#This Row],[ability]])+COUNTIF(Scenario0[winner2-ability2],HighlanderAbilities2Scenario0[[#This Row],[ability]])</f>
        <v>0</v>
      </c>
      <c r="N8" s="12">
        <f>IF(SUM(HighlanderAbilities2Scenario0[[#This Row],[takes]]) &gt; 0,HighlanderAbilities2Scenario0[[#This Row],[takes]]/SUM(HighlanderAbilities2Scenario0[takes]),0)</f>
        <v>0</v>
      </c>
      <c r="O8" s="12">
        <f>IF(HighlanderAbilities2Scenario0[[#This Row],[takes]]&gt;0,HighlanderAbilities2Scenario0[[#This Row],[wins]]/HighlanderAbilities2Scenario0[[#This Row],[takes]],0)</f>
        <v>0</v>
      </c>
      <c r="S8" s="18"/>
      <c r="U8" t="s">
        <v>178</v>
      </c>
      <c r="V8" s="16">
        <f>SUM(HighlanderAbilities4[takes])/SUM(HighlanderAbilities1[takes])</f>
        <v>0.33333333333333331</v>
      </c>
    </row>
    <row r="9" spans="1:22" x14ac:dyDescent="0.25">
      <c r="A9" t="s">
        <v>121</v>
      </c>
      <c r="B9" s="2">
        <f t="shared" ref="B9:B10" si="4">L9+L30+L51+L72+L93+L114</f>
        <v>5</v>
      </c>
      <c r="C9" s="2">
        <f t="shared" ref="C9:C10" si="5">M9+M30+M51+M72+M93+M114</f>
        <v>3</v>
      </c>
      <c r="D9" s="3">
        <f>IF(SUM(HighlanderAbilities2[[#This Row],[takes]]) &gt; 0,HighlanderAbilities2[[#This Row],[takes]]/SUM(HighlanderAbilities2[takes]),0)</f>
        <v>0.3125</v>
      </c>
      <c r="E9" s="3">
        <f>IF(HighlanderAbilities2[[#This Row],[takes]]&gt;0,HighlanderAbilities2[[#This Row],[wins]]/HighlanderAbilities2[[#This Row],[takes]],0)</f>
        <v>0.6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0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2.8095238095238093</v>
      </c>
    </row>
    <row r="10" spans="1:22" x14ac:dyDescent="0.25">
      <c r="A10" s="10" t="s">
        <v>122</v>
      </c>
      <c r="B10" s="2">
        <f t="shared" si="4"/>
        <v>9</v>
      </c>
      <c r="C10" s="2">
        <f t="shared" si="5"/>
        <v>5</v>
      </c>
      <c r="D10" s="13">
        <f>IF(SUM(HighlanderAbilities2[[#This Row],[takes]]) &gt; 0,HighlanderAbilities2[[#This Row],[takes]]/SUM(HighlanderAbilities2[takes]),0)</f>
        <v>0.5625</v>
      </c>
      <c r="E10" s="13">
        <f>IF(HighlanderAbilities2[[#This Row],[takes]]&gt;0,HighlanderAbilities2[[#This Row],[wins]]/HighlanderAbilities2[[#This Row],[takes]],0)</f>
        <v>0.55555555555555558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10" s="2">
        <f>COUNTIF(Scenario0[winner1-ability2],HighlanderAbilities2Scenario0[[#This Row],[ability]])+COUNTIF(Scenario0[winner2-ability2],HighlanderAbilities2Scenario0[[#This Row],[ability]])</f>
        <v>0</v>
      </c>
      <c r="N10" s="13">
        <f>IF(SUM(HighlanderAbilities2Scenario0[[#This Row],[takes]]) &gt; 0,HighlanderAbilities2Scenario0[[#This Row],[takes]]/SUM(HighlanderAbilities2Scenario0[takes]),0)</f>
        <v>0</v>
      </c>
      <c r="O10" s="13">
        <f>IF(HighlanderAbilities2Scenario0[[#This Row],[takes]]&gt;0,HighlanderAbilities2Scenario0[[#This Row],[wins]]/HighlanderAbilities2Scenario0[[#This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6</v>
      </c>
      <c r="C13" s="1">
        <f>M13+M34+M55+M76+M97+M118</f>
        <v>4</v>
      </c>
      <c r="D13" s="14">
        <f>IF(SUM(HighlanderAbilities3[[#This Row],[takes]]) &gt; 0,HighlanderAbilities3[[#This Row],[takes]]/SUM(HighlanderAbilities3[takes]),0)</f>
        <v>0.6</v>
      </c>
      <c r="E13" s="14">
        <f>IF(HighlanderAbilities3[[#This Row],[takes]]&gt;0,HighlanderAbilities3[[#This Row],[wins]]/HighlanderAbilities3[[#This Row],[takes]],0)</f>
        <v>0.66666666666666663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2</v>
      </c>
      <c r="C14" s="2">
        <f t="shared" ref="C14:C15" si="7">M14+M35+M56+M77+M98+M119</f>
        <v>1</v>
      </c>
      <c r="D14" s="12">
        <f>IF(SUM(HighlanderAbilities3[[#This Row],[takes]]) &gt; 0,HighlanderAbilities3[[#This Row],[takes]]/SUM(HighlanderAbilities3[takes]),0)</f>
        <v>0.2</v>
      </c>
      <c r="E14" s="12">
        <f>IF(HighlanderAbilities3[[#This Row],[takes]]&gt;0,HighlanderAbilities3[[#This Row],[wins]]/HighlanderAbilities3[[#This Row],[takes]],0)</f>
        <v>0.5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2</v>
      </c>
      <c r="C15" s="1">
        <f t="shared" si="7"/>
        <v>1</v>
      </c>
      <c r="D15" s="15">
        <f>IF(SUM(HighlanderAbilities3[[#This Row],[takes]]) &gt; 0,HighlanderAbilities3[[#This Row],[takes]]/SUM(HighlanderAbilities3[takes]),0)</f>
        <v>0.2</v>
      </c>
      <c r="E15" s="15">
        <f>IF(HighlanderAbilities3[[#This Row],[takes]]&gt;0,HighlanderAbilities3[[#This Row],[wins]]/HighlanderAbilities3[[#This Row],[takes]],0)</f>
        <v>0.5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5" s="1">
        <f>COUNTIF(Scenario0[winner1-ability3],HighlanderAbilities3Scenario0[[#This Row],[ability]])+COUNTIF(Scenario0[winner2-ability3],HighlanderAbilities3Scenario0[[#This Row],[ability]])</f>
        <v>0</v>
      </c>
      <c r="N15" s="15">
        <f>IF(SUM(HighlanderAbilities3Scenario0[[#This Row],[takes]]) &gt; 0,HighlanderAbilities3Scenario0[[#This Row],[takes]]/SUM(HighlanderAbilities3Scenario0[takes]),0)</f>
        <v>0</v>
      </c>
      <c r="O15" s="15">
        <f>IF(HighlanderAbilities3Scenario0[[#This Row],[takes]]&gt;0,HighlanderAbilities3Scenario0[[#This Row],[wins]]/HighlanderAbilities3Scenario0[[#This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2</v>
      </c>
      <c r="C18" s="2">
        <f>M18+M39+M60+M81+M102+M123</f>
        <v>1</v>
      </c>
      <c r="D18" s="12">
        <f>IF(SUM(HighlanderAbilities4[[#This Row],[takes]]) &gt; 0,HighlanderAbilities4[[#This Row],[takes]]/SUM(HighlanderAbilities4[takes]),0)</f>
        <v>0.2857142857142857</v>
      </c>
      <c r="E18" s="12">
        <f>IF(HighlanderAbilities4[[#This Row],[takes]]&gt;0,HighlanderAbilities4[[#This Row],[wins]]/HighlanderAbilities4[[#This Row],[takes]],0)</f>
        <v>0.5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</v>
      </c>
      <c r="C19" s="2">
        <f t="shared" ref="C19:C20" si="9">M19+M40+M61+M82+M103+M124</f>
        <v>2</v>
      </c>
      <c r="D19" s="12">
        <f>IF(SUM(HighlanderAbilities4[[#This Row],[takes]]) &gt; 0,HighlanderAbilities4[[#This Row],[takes]]/SUM(HighlanderAbilities4[takes]),0)</f>
        <v>0.42857142857142855</v>
      </c>
      <c r="E19" s="12">
        <f>IF(HighlanderAbilities4[[#This Row],[takes]]&gt;0,HighlanderAbilities4[[#This Row],[wins]]/HighlanderAbilities4[[#This Row],[takes]],0)</f>
        <v>0.66666666666666663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2</v>
      </c>
      <c r="C20" s="2">
        <f t="shared" si="9"/>
        <v>1</v>
      </c>
      <c r="D20" s="26">
        <f>IF(SUM(HighlanderAbilities4[[#This Row],[takes]]) &gt; 0,HighlanderAbilities4[[#This Row],[takes]]/SUM(HighlanderAbilities4[takes]),0)</f>
        <v>0.2857142857142857</v>
      </c>
      <c r="E20" s="26">
        <f>IF(HighlanderAbilities4[[#This Row],[takes]]&gt;0,HighlanderAbilities4[[#This Row],[wins]]/HighlanderAbilities4[[#This Row],[takes]],0)</f>
        <v>0.5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20" s="25">
        <f>COUNTIF(Scenario0[winner1-ability4],HighlanderAbilities4Scenario0[[#This Row],[ability]])+COUNTIF(Scenario0[winner2-ability4],HighlanderAbilities4Scenario0[[#This Row],[ability]])</f>
        <v>0</v>
      </c>
      <c r="N20" s="26">
        <f>IF(SUM(HighlanderAbilities4Scenario0[[#This Row],[takes]]) &gt; 0,HighlanderAbilities4Scenario0[[#This Row],[takes]]/SUM(HighlanderAbilities4Scenario0[takes]),0)</f>
        <v>0</v>
      </c>
      <c r="O20" s="26">
        <f>IF(HighlanderAbilities4Scenario0[[#This Row],[takes]]&gt;0,HighlanderAbilities4Scenario0[[#This Row],[wins]]/HighlanderAbilities4Scenario0[[#This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4">
        <f>COUNTIF(Scenario1[winner1-ability1],HighlanderAbilities1Scenario1[[#This Row],[ability]])+COUNTIF(Scenario1[winner2-ability1],HighlanderAbilities1Scenario1[[#This Row],[ability]])</f>
        <v>0</v>
      </c>
      <c r="N24" s="3">
        <f>IF(SUM(HighlanderAbilities1Scenario1[[#This Row],[takes]]) &gt; 0,HighlanderAbilities1Scenario1[[#This Row],[takes]]/SUM(HighlanderAbilities1Scenario1[takes]),0)</f>
        <v>1</v>
      </c>
      <c r="O24" s="3">
        <f>IF(HighlanderAbilities1Scenario1[[#This Row],[takes]]&gt;0,HighlanderAbilities1Scenario1[[#This Row],[wins]]/HighlanderAbilities1Scenario1[[#This Row],[takes]],0)</f>
        <v>0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6">
        <f>COUNTIF(Scenario1[winner1-ability1],HighlanderAbilities1Scenario1[[#This Row],[ability]])+COUNTIF(Scenario1[winner2-ability1],HighlanderAbilities1Scenario1[[#This Row],[ability]])</f>
        <v>0</v>
      </c>
      <c r="N26" s="3">
        <f>IF(SUM(HighlanderAbilities1Scenario1[[#This Row],[takes]]) &gt; 0,HighlanderAbilities1Scenario1[[#This Row],[takes]]/SUM(HighlanderAbilities1Scenario1[takes]),0)</f>
        <v>0</v>
      </c>
      <c r="O26" s="3">
        <f>IF(HighlanderAbilities1Scenario1[[#This Row],[takes]]&gt;0,HighlanderAbilities1Scenario1[[#This Row],[wins]]/HighlanderAbilities1Scenario1[[#This Row],[takes]],0)</f>
        <v>0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1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29" s="2">
        <f>COUNTIF(Scenario1[winner1-ability2],HighlanderAbilities2Scenario1[[#This Row],[ability]])+COUNTIF(Scenario1[winner2-ability2],HighlanderAbilities2Scenario1[[#This Row],[ability]])</f>
        <v>0</v>
      </c>
      <c r="N29" s="12">
        <f>IF(SUM(HighlanderAbilities2Scenario1[[#This Row],[takes]]) &gt; 0,HighlanderAbilities2Scenario1[[#This Row],[takes]]/SUM(HighlanderAbilities2Scenario1[takes]),0)</f>
        <v>0</v>
      </c>
      <c r="O29" s="12">
        <f>IF(HighlanderAbilities2Scenario1[[#This Row],[takes]]&gt;0,HighlanderAbilities2Scenario1[[#This Row],[wins]]/HighlanderAbilities2Scenario1[[#This Row],[takes]],0)</f>
        <v>0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0" s="2">
        <f>COUNTIF(Scenario1[winner1-ability2],HighlanderAbilities2Scenario1[[#This Row],[ability]])+COUNTIF(Scenario1[winner2-ability2],HighlanderAbilities2Scenario1[[#This Row],[ability]])</f>
        <v>0</v>
      </c>
      <c r="N30" s="3">
        <f>IF(SUM(HighlanderAbilities2Scenario1[[#This Row],[takes]]) &gt; 0,HighlanderAbilities2Scenario1[[#This Row],[takes]]/SUM(HighlanderAbilities2Scenario1[takes]),0)</f>
        <v>0</v>
      </c>
      <c r="O30" s="3">
        <f>IF(HighlanderAbilities2Scenario1[[#This Row],[takes]]&gt;0,HighlanderAbilities2Scenario1[[#This Row],[wins]]/HighlanderAbilities2Scenario1[[#This Row],[takes]],0)</f>
        <v>0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1" s="2">
        <f>COUNTIF(Scenario1[winner1-ability2],HighlanderAbilities2Scenario1[[#This Row],[ability]])+COUNTIF(Scenario1[winner2-ability2],HighlanderAbilities2Scenario1[[#This Row],[ability]])</f>
        <v>0</v>
      </c>
      <c r="N31" s="13">
        <f>IF(SUM(HighlanderAbilities2Scenario1[[#This Row],[takes]]) &gt; 0,HighlanderAbilities2Scenario1[[#This Row],[takes]]/SUM(HighlanderAbilities2Scenario1[takes]),0)</f>
        <v>0</v>
      </c>
      <c r="O31" s="13">
        <f>IF(HighlanderAbilities2Scenario1[[#This Row],[takes]]&gt;0,HighlanderAbilities2Scenario1[[#This Row],[wins]]/HighlanderAbilities2Scenario1[[#This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4" s="1">
        <f>COUNTIF(Scenario1[winner1-ability3],HighlanderAbilities3Scenario1[[#This Row],[ability]])+COUNTIF(Scenario1[winner2-ability3],HighlanderAbilities3Scenario1[[#This Row],[ability]])</f>
        <v>0</v>
      </c>
      <c r="N34" s="14">
        <f>IF(SUM(HighlanderAbilities3Scenario1[[#This Row],[takes]]) &gt; 0,HighlanderAbilities3Scenario1[[#This Row],[takes]]/SUM(HighlanderAbilities3Scenario1[takes]),0)</f>
        <v>0</v>
      </c>
      <c r="O34" s="14">
        <f>IF(HighlanderAbilities3Scenario1[[#This Row],[takes]]&gt;0,HighlanderAbilities3Scenario1[[#This Row],[wins]]/HighlanderAbilities3Scenario1[[#This Row],[takes]],0)</f>
        <v>0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6" s="1">
        <f>COUNTIF(Scenario1[winner1-ability3],HighlanderAbilities3Scenario1[[#This Row],[ability]])+COUNTIF(Scenario1[winner2-ability3],HighlanderAbilities3Scenario1[[#This Row],[ability]])</f>
        <v>0</v>
      </c>
      <c r="N36" s="15">
        <f>IF(SUM(HighlanderAbilities3Scenario1[[#This Row],[takes]]) &gt; 0,HighlanderAbilities3Scenario1[[#This Row],[takes]]/SUM(HighlanderAbilities3Scenario1[takes]),0)</f>
        <v>0</v>
      </c>
      <c r="O36" s="15">
        <f>IF(HighlanderAbilities3Scenario1[[#This Row],[takes]]&gt;0,HighlanderAbilities3Scenario1[[#This Row],[wins]]/HighlanderAbilities3Scenario1[[#This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2</v>
      </c>
      <c r="M45">
        <f>COUNTIF(Scenario2[winner1-ability1],HighlanderAbilities1Scenario2[[#This Row],[ability]])</f>
        <v>1</v>
      </c>
      <c r="N45" s="3">
        <f>IF(SUM(HighlanderAbilities1Scenario2[[#This Row],[takes]]) &gt; 0,HighlanderAbilities1Scenario2[[#This Row],[takes]]/SUM(HighlanderAbilities1Scenario2[takes]),0)</f>
        <v>0.125</v>
      </c>
      <c r="O45" s="3">
        <f>IF(HighlanderAbilities1Scenario2[[#This Row],[takes]]&gt;0,HighlanderAbilities1Scenario2[[#This Row],[wins]]/HighlanderAbilities1Scenario2[[#This Row],[takes]],0)</f>
        <v>0.5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10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6</v>
      </c>
      <c r="M46">
        <f>COUNTIF(Scenario2[winner1-ability1],HighlanderAbilities1Scenario2[[#This Row],[ability]])</f>
        <v>2</v>
      </c>
      <c r="N46" s="3">
        <f>IF(SUM(HighlanderAbilities1Scenario2[[#This Row],[takes]]) &gt; 0,HighlanderAbilities1Scenario2[[#This Row],[takes]]/SUM(HighlanderAbilities1Scenario2[takes]),0)</f>
        <v>0.375</v>
      </c>
      <c r="O46" s="3">
        <f>IF(HighlanderAbilities1Scenario2[[#This Row],[takes]]&gt;0,HighlanderAbilities1Scenario2[[#This Row],[wins]]/HighlanderAbilities1Scenario2[[#This Row],[takes]],0)</f>
        <v>0.33333333333333331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2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8</v>
      </c>
      <c r="M47">
        <f>COUNTIF(Scenario2[winner1-ability1],HighlanderAbilities1Scenario2[[#This Row],[ability]])</f>
        <v>6</v>
      </c>
      <c r="N47" s="3">
        <f>IF(SUM(HighlanderAbilities1Scenario2[[#This Row],[takes]]) &gt; 0,HighlanderAbilities1Scenario2[[#This Row],[takes]]/SUM(HighlanderAbilities1Scenario2[takes]),0)</f>
        <v>0.5</v>
      </c>
      <c r="O47" s="3">
        <f>IF(HighlanderAbilities1Scenario2[[#This Row],[takes]]&gt;0,HighlanderAbilities1Scenario2[[#This Row],[wins]]/HighlanderAbilities1Scenario2[[#This Row],[takes]],0)</f>
        <v>0.75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12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4</v>
      </c>
      <c r="M51" s="2">
        <f>COUNTIF(Scenario2[winner1-ability2],HighlanderAbilities2Scenario2[[#This Row],[ability]])</f>
        <v>2</v>
      </c>
      <c r="N51" s="3">
        <f>IF(SUM(HighlanderAbilities2Scenario2[[#This Row],[takes]]) &gt; 0,HighlanderAbilities2Scenario2[[#This Row],[takes]]/SUM(HighlanderAbilities2Scenario2[takes]),0)</f>
        <v>0.30769230769230771</v>
      </c>
      <c r="O51" s="3">
        <f>IF(HighlanderAbilities2Scenario2[[#This Row],[takes]]&gt;0,HighlanderAbilities2Scenario2[[#This Row],[wins]]/HighlanderAbilities2Scenario2[[#This Row],[takes]],0)</f>
        <v>0.5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9</v>
      </c>
      <c r="M52" s="2">
        <f>COUNTIF(Scenario2[winner1-ability2],HighlanderAbilities2Scenario2[[#This Row],[ability]])</f>
        <v>5</v>
      </c>
      <c r="N52" s="13">
        <f>IF(SUM(HighlanderAbilities2Scenario2[[#This Row],[takes]]) &gt; 0,HighlanderAbilities2Scenario2[[#This Row],[takes]]/SUM(HighlanderAbilities2Scenario2[takes]),0)</f>
        <v>0.69230769230769229</v>
      </c>
      <c r="O52" s="13">
        <f>IF(HighlanderAbilities2Scenario2[[#This Row],[takes]]&gt;0,HighlanderAbilities2Scenario2[[#This Row],[wins]]/HighlanderAbilities2Scenario2[[#This Row],[takes]],0)</f>
        <v>0.55555555555555558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3</v>
      </c>
      <c r="N55" s="14">
        <f>IF(SUM(HighlanderAbilities3Scenario2[[#This Row],[takes]]) &gt; 0,HighlanderAbilities3Scenario2[[#This Row],[takes]]/SUM(HighlanderAbilities3Scenario2[takes]),0)</f>
        <v>0.5714285714285714</v>
      </c>
      <c r="O55" s="14">
        <f>IF(HighlanderAbilities3Scenario2[[#This Row],[takes]]&gt;0,HighlanderAbilities3Scenario2[[#This Row],[wins]]/HighlanderAbilities3Scenario2[[#This Row],[takes]],0)</f>
        <v>0.75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1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0.14285714285714285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0.2857142857142857</v>
      </c>
      <c r="O57" s="15">
        <f>IF(HighlanderAbilities3Scenario2[[#This Row],[takes]]&gt;0,HighlanderAbilities3Scenario2[[#This Row],[wins]]/HighlanderAbilities3Scenario2[[#This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1</v>
      </c>
      <c r="N60" s="12">
        <f>IF(SUM(HighlanderAbilities4Scenario2[[#This Row],[takes]]) &gt; 0,HighlanderAbilities4Scenario2[[#This Row],[takes]]/SUM(HighlanderAbilities4Scenario2[takes]),0)</f>
        <v>0.16666666666666666</v>
      </c>
      <c r="O60" s="12">
        <f>IF(HighlanderAbilities4Scenario2[[#This Row],[takes]]&gt;0,HighlanderAbilities4Scenario2[[#This Row],[wins]]/HighlanderAbilities4Scenario2[[#This Row],[takes]],0)</f>
        <v>1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2</v>
      </c>
      <c r="N61" s="12">
        <f>IF(SUM(HighlanderAbilities4Scenario2[[#This Row],[takes]]) &gt; 0,HighlanderAbilities4Scenario2[[#This Row],[takes]]/SUM(HighlanderAbilities4Scenario2[takes]),0)</f>
        <v>0.5</v>
      </c>
      <c r="O61" s="12">
        <f>IF(HighlanderAbilities4Scenario2[[#This Row],[takes]]&gt;0,HighlanderAbilities4Scenario2[[#This Row],[wins]]/HighlanderAbilities4Scenario2[[#This Row],[takes]],0)</f>
        <v>0.66666666666666663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2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0.33333333333333331</v>
      </c>
      <c r="O62" s="26">
        <f>IF(HighlanderAbilities4Scenario2[[#This Row],[takes]]&gt;0,HighlanderAbilities4Scenario2[[#This Row],[wins]]/HighlanderAbilities4Scenario2[[#This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1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7">
        <f>COUNTIF(Scenario3[winner1-ability1],HighlanderAbilities1Scenario3[[#This Row],[ability]])</f>
        <v>0</v>
      </c>
      <c r="N67" s="3">
        <f>IF(SUM(HighlanderAbilities1Scenario3[[#This Row],[takes]]) &gt; 0,HighlanderAbilities1Scenario3[[#This Row],[takes]]/SUM(HighlanderAbilities1Scenario3[takes]),0)</f>
        <v>0</v>
      </c>
      <c r="O67" s="3">
        <f>IF(HighlanderAbilities1Scenario3[[#This Row],[takes]]&gt;0,HighlanderAbilities1Scenario3[[#This Row],[wins]]/HighlanderAbilities1Scenario3[[#This Row],[takes]],0)</f>
        <v>0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8">
        <f>COUNTIF(Scenario3[winner1-ability1],HighlanderAbilities1Scenario3[[#This Row],[ability]])</f>
        <v>0</v>
      </c>
      <c r="N68" s="3">
        <f>IF(SUM(HighlanderAbilities1Scenario3[[#This Row],[takes]]) &gt; 0,HighlanderAbilities1Scenario3[[#This Row],[takes]]/SUM(HighlanderAbilities1Scenario3[takes]),0)</f>
        <v>0</v>
      </c>
      <c r="O68" s="3">
        <f>IF(HighlanderAbilities1Scenario3[[#This Row],[takes]]&gt;0,HighlanderAbilities1Scenario3[[#This Row],[wins]]/HighlanderAbilities1Scenario3[[#This Row],[takes]],0)</f>
        <v>0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1" s="2">
        <f>COUNTIF(Scenario3[winner1-ability2],HighlanderAbilities2Scenario3[[#This Row],[ability]])</f>
        <v>0</v>
      </c>
      <c r="N71" s="12">
        <f>IF(SUM(HighlanderAbilities2Scenario3[[#This Row],[takes]]) &gt; 0,HighlanderAbilities2Scenario3[[#This Row],[takes]]/SUM(HighlanderAbilities2Scenario3[takes]),0)</f>
        <v>1</v>
      </c>
      <c r="O71" s="12">
        <f>IF(HighlanderAbilities2Scenario3[[#This Row],[takes]]&gt;0,HighlanderAbilities2Scenario3[[#This Row],[wins]]/HighlanderAbilities2Scenario3[[#This Row],[takes]],0)</f>
        <v>0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2" s="2">
        <f>COUNTIF(Scenario3[winner1-ability2],HighlanderAbilities2Scenario3[[#This Row],[ability]])</f>
        <v>0</v>
      </c>
      <c r="N72" s="3">
        <f>IF(SUM(HighlanderAbilities2Scenario3[[#This Row],[takes]]) &gt; 0,HighlanderAbilities2Scenario3[[#This Row],[takes]]/SUM(HighlanderAbilities2Scenario3[takes]),0)</f>
        <v>0</v>
      </c>
      <c r="O72" s="3">
        <f>IF(HighlanderAbilities2Scenario3[[#This Row],[takes]]&gt;0,HighlanderAbilities2Scenario3[[#This Row],[wins]]/HighlanderAbilities2Scenario3[[#This Row],[takes]],0)</f>
        <v>0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6" s="1">
        <f>COUNTIF(Scenario3[winner1-ability3],HighlanderAbilities3Scenario3[[#This Row],[ability]])</f>
        <v>0</v>
      </c>
      <c r="N76" s="14">
        <f>IF(SUM(HighlanderAbilities3Scenario3[[#This Row],[takes]]) &gt; 0,HighlanderAbilities3Scenario3[[#This Row],[takes]]/SUM(HighlanderAbilities3Scenario3[takes]),0)</f>
        <v>1</v>
      </c>
      <c r="O76" s="14">
        <f>IF(HighlanderAbilities3Scenario3[[#This Row],[takes]]&gt;0,HighlanderAbilities3Scenario3[[#This Row],[wins]]/HighlanderAbilities3Scenario3[[#This Row],[takes]],0)</f>
        <v>0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7" s="2">
        <f>COUNTIF(Scenario3[winner1-ability3],HighlanderAbilities3Scenario3[[#This Row],[ability]])</f>
        <v>0</v>
      </c>
      <c r="N77" s="12">
        <f>IF(SUM(HighlanderAbilities3Scenario3[[#This Row],[takes]]) &gt; 0,HighlanderAbilities3Scenario3[[#This Row],[takes]]/SUM(HighlanderAbilities3Scenario3[takes]),0)</f>
        <v>0</v>
      </c>
      <c r="O77" s="12">
        <f>IF(HighlanderAbilities3Scenario3[[#This Row],[takes]]&gt;0,HighlanderAbilities3Scenario3[[#This Row],[wins]]/HighlanderAbilities3Scenario3[[#This Row],[takes]],0)</f>
        <v>0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0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1</v>
      </c>
      <c r="M81" s="2">
        <f>COUNTIF(Scenario3[winner1-ability4],HighlanderAbilities4Scenario3[[#This Row],[ability]])</f>
        <v>0</v>
      </c>
      <c r="N81" s="12">
        <f>IF(SUM(HighlanderAbilities4Scenario3[[#This Row],[takes]]) &gt; 0,HighlanderAbilities4Scenario3[[#This Row],[takes]]/SUM(HighlanderAbilities4Scenario3[takes]),0)</f>
        <v>1</v>
      </c>
      <c r="O81" s="12">
        <f>IF(HighlanderAbilities4Scenario3[[#This Row],[takes]]&gt;0,HighlanderAbilities4Scenario3[[#This Row],[wins]]/HighlanderAbilities4Scenario3[[#This Row],[takes]],0)</f>
        <v>0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2" s="2">
        <f>COUNTIF(Scenario3[winner1-ability4],HighlanderAbilities4Scenario3[[#This Row],[ability]])</f>
        <v>0</v>
      </c>
      <c r="N82" s="12">
        <f>IF(SUM(HighlanderAbilities4Scenario3[[#This Row],[takes]]) &gt; 0,HighlanderAbilities4Scenario3[[#This Row],[takes]]/SUM(HighlanderAbilities4Scenario3[takes]),0)</f>
        <v>0</v>
      </c>
      <c r="O82" s="12">
        <f>IF(HighlanderAbilities4Scenario3[[#This Row],[takes]]&gt;0,HighlanderAbilities4Scenario3[[#This Row],[wins]]/HighlanderAbilities4Scenario3[[#This Row],[takes]],0)</f>
        <v>0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3" s="2">
        <f>COUNTIF(Scenario3[winner1-ability4],HighlanderAbilities4Scenario3[[#This Row],[ability]])</f>
        <v>0</v>
      </c>
      <c r="N83" s="26">
        <f>IF(SUM(HighlanderAbilities4Scenario3[[#This Row],[takes]]) &gt; 0,HighlanderAbilities4Scenario3[[#This Row],[takes]]/SUM(HighlanderAbilities4Scenario3[takes]),0)</f>
        <v>0</v>
      </c>
      <c r="O83" s="26">
        <f>IF(HighlanderAbilities4Scenario3[[#This Row],[takes]]&gt;0,HighlanderAbilities4Scenario3[[#This Row],[wins]]/HighlanderAbilities4Scenario3[[#This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8">
        <f>COUNTIF(Scenario4[winner1-ability1],HighlanderAbilities1Scenario4[[#This Row],[ability]])</f>
        <v>1</v>
      </c>
      <c r="N88" s="3">
        <f>IF(SUM(HighlanderAbilities1Scenario4[[#This Row],[takes]]) &gt; 0,HighlanderAbilities1Scenario4[[#This Row],[takes]]/SUM(HighlanderAbilities1Scenario4[takes]),0)</f>
        <v>1</v>
      </c>
      <c r="O88" s="3">
        <f>IF(HighlanderAbilities1Scenario4[[#This Row],[takes]]&gt;0,HighlanderAbilities1Scenario4[[#This Row],[wins]]/HighlanderAbilities1Scenario4[[#This Row],[takes]],0)</f>
        <v>1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>
        <f>COUNTIF(Scenario4[winner1-ability1],HighlanderAbilities1Scenario4[[#This Row],[ability]])</f>
        <v>0</v>
      </c>
      <c r="N89" s="3">
        <f>IF(SUM(HighlanderAbilities1Scenario4[[#This Row],[takes]]) &gt; 0,HighlanderAbilities1Scenario4[[#This Row],[takes]]/SUM(HighlanderAbilities1Scenario4[takes]),0)</f>
        <v>0</v>
      </c>
      <c r="O89" s="3">
        <f>IF(HighlanderAbilities1Scenario4[[#This Row],[takes]]&gt;0,HighlanderAbilities1Scenario4[[#This Row],[wins]]/HighlanderAbilities1Scenario4[[#This Row],[takes]],0)</f>
        <v>0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2" s="2">
        <f>COUNTIF(Scenario4[winner1-ability2],HighlanderAbilities2Scenario4[[#This Row],[ability]])</f>
        <v>1</v>
      </c>
      <c r="N92" s="12">
        <f>IF(SUM(HighlanderAbilities2Scenario4[[#This Row],[takes]]) &gt; 0,HighlanderAbilities2Scenario4[[#This Row],[takes]]/SUM(HighlanderAbilities2Scenario4[takes]),0)</f>
        <v>1</v>
      </c>
      <c r="O92" s="12">
        <f>IF(HighlanderAbilities2Scenario4[[#This Row],[takes]]&gt;0,HighlanderAbilities2Scenario4[[#This Row],[wins]]/HighlanderAbilities2Scenario4[[#This Row],[takes]],0)</f>
        <v>1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0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4">
        <f>IF(SUM(HighlanderAbilities3Scenario4[[#This Row],[takes]]) &gt; 0,HighlanderAbilities3Scenario4[[#This Row],[takes]]/SUM(HighlanderAbilities3Scenario4[takes]),0)</f>
        <v>0</v>
      </c>
      <c r="O97" s="14">
        <f>IF(HighlanderAbilities3Scenario4[[#This Row],[takes]]&gt;0,HighlanderAbilities3Scenario4[[#This Row],[wins]]/HighlanderAbilities3Scenario4[[#This Row],[takes]],0)</f>
        <v>0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8" s="2">
        <f>COUNTIF(Scenario4[winner1-ability3],HighlanderAbilities3Scenario4[[#This Row],[ability]])</f>
        <v>1</v>
      </c>
      <c r="N98" s="12">
        <f>IF(SUM(HighlanderAbilities3Scenario4[[#This Row],[takes]]) &gt; 0,HighlanderAbilities3Scenario4[[#This Row],[takes]]/SUM(HighlanderAbilities3Scenario4[takes]),0)</f>
        <v>1</v>
      </c>
      <c r="O98" s="12">
        <f>IF(HighlanderAbilities3Scenario4[[#This Row],[takes]]&gt;0,HighlanderAbilities3Scenario4[[#This Row],[wins]]/HighlanderAbilities3Scenario4[[#This Row],[takes]],0)</f>
        <v>1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0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2" s="2">
        <f>COUNTIF(Scenario4[winner1-ability4],HighlanderAbilities4Scenario4[[#This Row],[ability]])</f>
        <v>0</v>
      </c>
      <c r="N102" s="12">
        <f>IF(SUM(HighlanderAbilities4Scenario4[[#This Row],[takes]]) &gt; 0,HighlanderAbilities4Scenario4[[#This Row],[takes]]/SUM(HighlanderAbilities4Scenario4[takes]),0)</f>
        <v>0</v>
      </c>
      <c r="O102" s="12">
        <f>IF(HighlanderAbilities4Scenario4[[#This Row],[takes]]&gt;0,HighlanderAbilities4Scenario4[[#This Row],[wins]]/HighlanderAbilities4Scenario4[[#This Row],[takes]],0)</f>
        <v>0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3" s="2">
        <f>COUNTIF(Scenario4[winner1-ability4],HighlanderAbilities4Scenario4[[#This Row],[ability]])</f>
        <v>0</v>
      </c>
      <c r="N103" s="12">
        <f>IF(SUM(HighlanderAbilities4Scenario4[[#This Row],[takes]]) &gt; 0,HighlanderAbilities4Scenario4[[#This Row],[takes]]/SUM(HighlanderAbilities4Scenario4[takes]),0)</f>
        <v>0</v>
      </c>
      <c r="O103" s="12">
        <f>IF(HighlanderAbilities4Scenario4[[#This Row],[takes]]&gt;0,HighlanderAbilities4Scenario4[[#This Row],[wins]]/HighlanderAbilities4Scenario4[[#This Row],[takes]],0)</f>
        <v>0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4" s="2">
        <f>COUNTIF(Scenario4[winner1-ability4],HighlanderAbilities4Scenario4[[#This Row],[ability]])</f>
        <v>0</v>
      </c>
      <c r="N104" s="26">
        <f>IF(SUM(HighlanderAbilities4Scenario4[[#This Row],[takes]]) &gt; 0,HighlanderAbilities4Scenario4[[#This Row],[takes]]/SUM(HighlanderAbilities4Scenario4[takes]),0)</f>
        <v>0</v>
      </c>
      <c r="O104" s="26">
        <f>IF(HighlanderAbilities4Scenario4[[#This Row],[takes]]&gt;0,HighlanderAbilities4Scenario4[[#This Row],[wins]]/HighlanderAbilities4Scenario4[[#This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0</v>
      </c>
      <c r="M108">
        <f>COUNTIF(Scenario5[winner1-ability1],HighlanderAbilities1Scenario5[[#This Row],[ability]])+COUNTIF(Scenario5[winner2-ability1],HighlanderAbilities1Scenario5[[#This Row],[ability]])</f>
        <v>0</v>
      </c>
      <c r="N108" s="3">
        <f>IF(SUM(HighlanderAbilities1Scenario5[[#This Row],[takes]]) &gt; 0,HighlanderAbilities1Scenario5[[#This Row],[takes]]/SUM(HighlanderAbilities1Scenario5[takes]),0)</f>
        <v>0</v>
      </c>
      <c r="O108" s="3">
        <f>IF(HighlanderAbilities1Scenario5[[#This Row],[takes]]&gt;0,HighlanderAbilities1Scenario5[[#This Row],[wins]]/HighlanderAbilities1Scenario5[[#This Row],[takes]],0)</f>
        <v>0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0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0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</v>
      </c>
      <c r="M109">
        <f>COUNTIF(Scenario5[winner1-ability1],HighlanderAbilities1Scenario5[[#This Row],[ability]])+COUNTIF(Scenario5[winner2-ability1],HighlanderAbilities1Scenario5[[#This Row],[ability]])</f>
        <v>1</v>
      </c>
      <c r="N109" s="3">
        <f>IF(SUM(HighlanderAbilities1Scenario5[[#This Row],[takes]]) &gt; 0,HighlanderAbilities1Scenario5[[#This Row],[takes]]/SUM(HighlanderAbilities1Scenario5[takes]),0)</f>
        <v>1</v>
      </c>
      <c r="O109" s="3">
        <f>IF(HighlanderAbilities1Scenario5[[#This Row],[takes]]&gt;0,HighlanderAbilities1Scenario5[[#This Row],[wins]]/HighlanderAbilities1Scenario5[[#This Row],[takes]],0)</f>
        <v>1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0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0</v>
      </c>
      <c r="M110">
        <f>COUNTIF(Scenario5[winner1-ability1],HighlanderAbilities1Scenario5[[#This Row],[ability]])+COUNTIF(Scenario5[winner2-ability1],HighlanderAbilities1Scenario5[[#This Row],[ability]])</f>
        <v>0</v>
      </c>
      <c r="N110" s="3">
        <f>IF(SUM(HighlanderAbilities1Scenario5[[#This Row],[takes]]) &gt; 0,HighlanderAbilities1Scenario5[[#This Row],[takes]]/SUM(HighlanderAbilities1Scenario5[takes]),0)</f>
        <v>0</v>
      </c>
      <c r="O110" s="3">
        <f>IF(HighlanderAbilities1Scenario5[[#This Row],[takes]]&gt;0,HighlanderAbilities1Scenario5[[#This Row],[wins]]/HighlanderAbilities1Scenario5[[#This Row],[takes]],0)</f>
        <v>0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0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0</v>
      </c>
      <c r="M113" s="2">
        <f>COUNTIF(Scenario5[winner1-ability2],HighlanderAbilities2Scenario5[[#This Row],[ability]])+COUNTIF(Scenario5[winner2-ability2],HighlanderAbilities2Scenario5[[#This Row],[ability]])</f>
        <v>0</v>
      </c>
      <c r="N113" s="12">
        <f>IF(SUM(HighlanderAbilities2Scenario5[[#This Row],[takes]]) &gt; 0,HighlanderAbilities2Scenario5[[#This Row],[takes]]/SUM(HighlanderAbilities2Scenario5[takes]),0)</f>
        <v>0</v>
      </c>
      <c r="O113" s="12">
        <f>IF(HighlanderAbilities2Scenario5[[#This Row],[takes]]&gt;0,HighlanderAbilities2Scenario5[[#This Row],[wins]]/HighlanderAbilities2Scenario5[[#This Row],[takes]],0)</f>
        <v>0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</v>
      </c>
      <c r="M114" s="2">
        <f>COUNTIF(Scenario5[winner1-ability2],HighlanderAbilities2Scenario5[[#This Row],[ability]])+COUNTIF(Scenario5[winner2-ability2],HighlanderAbilities2Scenario5[[#This Row],[ability]])</f>
        <v>1</v>
      </c>
      <c r="N114" s="3">
        <f>IF(SUM(HighlanderAbilities2Scenario5[[#This Row],[takes]]) &gt; 0,HighlanderAbilities2Scenario5[[#This Row],[takes]]/SUM(HighlanderAbilities2Scenario5[takes]),0)</f>
        <v>1</v>
      </c>
      <c r="O114" s="3">
        <f>IF(HighlanderAbilities2Scenario5[[#This Row],[takes]]&gt;0,HighlanderAbilities2Scenario5[[#This Row],[wins]]/HighlanderAbilities2Scenario5[[#This Row],[takes]],0)</f>
        <v>1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0</v>
      </c>
      <c r="M115" s="2">
        <f>COUNTIF(Scenario5[winner1-ability2],HighlanderAbilities2Scenario5[[#This Row],[ability]])+COUNTIF(Scenario5[winner2-ability2],HighlanderAbilities2Scenario5[[#This Row],[ability]])</f>
        <v>0</v>
      </c>
      <c r="N115" s="13">
        <f>IF(SUM(HighlanderAbilities2Scenario5[[#This Row],[takes]]) &gt; 0,HighlanderAbilities2Scenario5[[#This Row],[takes]]/SUM(HighlanderAbilities2Scenario5[takes]),0)</f>
        <v>0</v>
      </c>
      <c r="O115" s="13">
        <f>IF(HighlanderAbilities2Scenario5[[#This Row],[takes]]&gt;0,HighlanderAbilities2Scenario5[[#This Row],[wins]]/HighlanderAbilities2Scenario5[[#This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</v>
      </c>
      <c r="M118" s="1">
        <f>COUNTIF(Scenario5[winner1-ability3],HighlanderAbilities3Scenario5[[#This Row],[ability]])+COUNTIF(Scenario5[winner2-ability3],HighlanderAbilities3Scenario5[[#This Row],[ability]])</f>
        <v>1</v>
      </c>
      <c r="N118" s="14">
        <f>IF(SUM(HighlanderAbilities3Scenario5[[#This Row],[takes]]) &gt; 0,HighlanderAbilities3Scenario5[[#This Row],[takes]]/SUM(HighlanderAbilities3Scenario5[takes]),0)</f>
        <v>1</v>
      </c>
      <c r="O118" s="14">
        <f>IF(HighlanderAbilities3Scenario5[[#This Row],[takes]]&gt;0,HighlanderAbilities3Scenario5[[#This Row],[wins]]/HighlanderAbilities3Scenario5[[#This Row],[takes]],0)</f>
        <v>1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0</v>
      </c>
      <c r="M119" s="2">
        <f>COUNTIF(Scenario5[winner1-ability3],HighlanderAbilities3Scenario5[[#This Row],[ability]])+COUNTIF(Scenario5[winner2-ability3],HighlanderAbilities3Scenario5[[#This Row],[ability]])</f>
        <v>0</v>
      </c>
      <c r="N119" s="12">
        <f>IF(SUM(HighlanderAbilities3Scenario5[[#This Row],[takes]]) &gt; 0,HighlanderAbilities3Scenario5[[#This Row],[takes]]/SUM(HighlanderAbilities3Scenario5[takes]),0)</f>
        <v>0</v>
      </c>
      <c r="O119" s="12">
        <f>IF(HighlanderAbilities3Scenario5[[#This Row],[takes]]&gt;0,HighlanderAbilities3Scenario5[[#This Row],[wins]]/HighlanderAbilities3Scenario5[[#This Row],[takes]],0)</f>
        <v>0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0</v>
      </c>
      <c r="M120" s="1">
        <f>COUNTIF(Scenario5[winner1-ability3],HighlanderAbilities3Scenario5[[#This Row],[ability]])+COUNTIF(Scenario5[winner2-ability3],HighlanderAbilities3Scenario5[[#This Row],[ability]])</f>
        <v>0</v>
      </c>
      <c r="N120" s="15">
        <f>IF(SUM(HighlanderAbilities3Scenario5[[#This Row],[takes]]) &gt; 0,HighlanderAbilities3Scenario5[[#This Row],[takes]]/SUM(HighlanderAbilities3Scenario5[takes]),0)</f>
        <v>0</v>
      </c>
      <c r="O120" s="15">
        <f>IF(HighlanderAbilities3Scenario5[[#This Row],[takes]]&gt;0,HighlanderAbilities3Scenario5[[#This Row],[wins]]/HighlanderAbilities3Scenario5[[#This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0</v>
      </c>
      <c r="M123" s="2">
        <f>COUNTIF(Scenario5[winner1-ability4],HighlanderAbilities4Scenario5[[#This Row],[ability]])+COUNTIF(Scenario5[winner2-ability4],HighlanderAbilities4Scenario5[[#This Row],[ability]])</f>
        <v>0</v>
      </c>
      <c r="N123" s="12">
        <f>IF(SUM(HighlanderAbilities4Scenario5[[#This Row],[takes]]) &gt; 0,HighlanderAbilities4Scenario5[[#This Row],[takes]]/SUM(HighlanderAbilities4Scenario5[takes]),0)</f>
        <v>0</v>
      </c>
      <c r="O123" s="12">
        <f>IF(HighlanderAbilities4Scenario5[[#This Row],[takes]]&gt;0,HighlanderAbilities4Scenario5[[#This Row],[wins]]/HighlanderAbilities4Scenario5[[#This Row],[takes]],0)</f>
        <v>0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0</v>
      </c>
      <c r="M124" s="2">
        <f>COUNTIF(Scenario5[winner1-ability4],HighlanderAbilities4Scenario5[[#This Row],[ability]])+COUNTIF(Scenario5[winner2-ability4],HighlanderAbilities4Scenario5[[#This Row],[ability]])</f>
        <v>0</v>
      </c>
      <c r="N124" s="12">
        <f>IF(SUM(HighlanderAbilities4Scenario5[[#This Row],[takes]]) &gt; 0,HighlanderAbilities4Scenario5[[#This Row],[takes]]/SUM(HighlanderAbilities4Scenario5[takes]),0)</f>
        <v>0</v>
      </c>
      <c r="O124" s="12">
        <f>IF(HighlanderAbilities4Scenario5[[#This Row],[takes]]&gt;0,HighlanderAbilities4Scenario5[[#This Row],[wins]]/HighlanderAbilities4Scenario5[[#This Row],[takes]],0)</f>
        <v>0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0</v>
      </c>
      <c r="M125" s="2">
        <f>COUNTIF(Scenario5[winner1-ability4],HighlanderAbilities4Scenario5[[#This Row],[ability]])+COUNTIF(Scenario5[winner2-ability4],HighlanderAbilities4Scenario5[[#This Row],[ability]])</f>
        <v>0</v>
      </c>
      <c r="N125" s="26">
        <f>IF(SUM(HighlanderAbilities4Scenario5[[#This Row],[takes]]) &gt; 0,HighlanderAbilities4Scenario5[[#This Row],[takes]]/SUM(HighlanderAbilities4Scenario5[takes]),0)</f>
        <v>0</v>
      </c>
      <c r="O125" s="26">
        <f>IF(HighlanderAbilities4Scenario5[[#This Row],[takes]]&gt;0,HighlanderAbilities4Scenario5[[#This Row],[wins]]/HighlanderAbilities4Scenario5[[#This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0.33333333333333331</v>
      </c>
    </row>
    <row r="3" spans="1:22" x14ac:dyDescent="0.25">
      <c r="A3" t="s">
        <v>49</v>
      </c>
      <c r="B3">
        <f>L3+L24+L45+L66+L87+L108</f>
        <v>10</v>
      </c>
      <c r="C3">
        <f>M3+M24+M45+M66+M87+M108</f>
        <v>7</v>
      </c>
      <c r="D3" s="3">
        <f>IF(SUM(DruidAbilities1[[#This Row],[takes]]) &gt; 0,DruidAbilities1[[#This Row],[takes]]/SUM(DruidAbilities1[takes]),0)</f>
        <v>0.47619047619047616</v>
      </c>
      <c r="E3" s="3">
        <f>IF(DruidAbilities1[[#This Row],[takes]]&gt;0,DruidAbilities1[[#This Row],[wins]]/DruidAbilities1[[#This Row],[takes]],0)</f>
        <v>0.7</v>
      </c>
      <c r="G3">
        <v>1</v>
      </c>
      <c r="H3">
        <f>R3+R24+R45+R66+R87+R108</f>
        <v>3</v>
      </c>
      <c r="I3" s="18">
        <f>S3+S24+S45+S66+S87+S108</f>
        <v>10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1</v>
      </c>
      <c r="M3">
        <f>COUNTIF(Scenario0[winner1-ability1],DruidAbilities1Scenario0[[#This Row],[ability]])+COUNTIF(Scenario0[winner2-ability1],DruidAbilities1Scenario0[[#This Row],[ability]])</f>
        <v>1</v>
      </c>
      <c r="N3" s="3">
        <f>IF(SUM(DruidAbilities1Scenario0[[#This Row],[takes]]) &gt; 0,DruidAbilities1Scenario0[[#This Row],[takes]]/SUM(DruidAbilities1Scenario0[takes]),0)</f>
        <v>1</v>
      </c>
      <c r="O3" s="3">
        <f>IF(DruidAbilities1Scenario0[[#This Row],[takes]]&gt;0,DruidAbilities1Scenario0[[#This Row],[wins]]/DruidAbilities1Scenario0[[#This Row],[takes]],0)</f>
        <v>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</v>
      </c>
      <c r="U3" t="s">
        <v>196</v>
      </c>
      <c r="V3" s="16">
        <f>H5/SUM(DruidEquip[staff])</f>
        <v>0.52380952380952384</v>
      </c>
    </row>
    <row r="4" spans="1:22" x14ac:dyDescent="0.25">
      <c r="A4" t="s">
        <v>89</v>
      </c>
      <c r="B4">
        <f t="shared" ref="B4:B5" si="0">L4+L25+L46+L67+L88+L109</f>
        <v>4</v>
      </c>
      <c r="C4">
        <f t="shared" ref="C4:C5" si="1">M4+M25+M46+M67+M88+M109</f>
        <v>4</v>
      </c>
      <c r="D4" s="3">
        <f>IF(SUM(DruidAbilities1[[#This Row],[takes]]) &gt; 0,DruidAbilities1[[#This Row],[takes]]/SUM(DruidAbilities1[takes]),0)</f>
        <v>0.19047619047619047</v>
      </c>
      <c r="E4" s="3">
        <f>IF(DruidAbilities1[[#This Row],[takes]]&gt;0,DruidAbilities1[[#This Row],[wins]]/DruidAbilities1[[#This Row],[takes]],0)</f>
        <v>1</v>
      </c>
      <c r="G4">
        <v>2</v>
      </c>
      <c r="H4">
        <f t="shared" ref="H4:H5" si="2">R4+R25+R46+R67+R88+R109</f>
        <v>7</v>
      </c>
      <c r="I4" s="18">
        <f t="shared" ref="I4:I5" si="3">S4+S25+S46+S67+S88+S109</f>
        <v>3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4">
        <f>COUNTIF(Scenario0[winner1-ability1],DruidAbilities1Scenario0[[#This Row],[ability]])+COUNTIF(Scenario0[winner2-ability1],DruidAbilities1Scenario0[[#This Row],[ability]])</f>
        <v>0</v>
      </c>
      <c r="N4" s="3">
        <f>IF(SUM(DruidAbilities1Scenario0[[#This Row],[takes]]) &gt; 0,DruidAbilities1Scenario0[[#This Row],[takes]]/SUM(DruidAbilities1Scenario0[takes]),0)</f>
        <v>0</v>
      </c>
      <c r="O4" s="3">
        <f>IF(DruidAbilities1Scenario0[[#This Row],[takes]]&gt;0,DruidAbilities1Scenario0[[#This Row],[wins]]/DruidAbilities1Scenario0[[#This Row],[takes]],0)</f>
        <v>0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4" t="s">
        <v>179</v>
      </c>
      <c r="V4" s="3">
        <f>DruidEquip[[#This Row],[chestpiece]]/SUM(DruidEquip[chestpiece])</f>
        <v>0.14285714285714285</v>
      </c>
    </row>
    <row r="5" spans="1:22" x14ac:dyDescent="0.25">
      <c r="A5" t="s">
        <v>126</v>
      </c>
      <c r="B5">
        <f t="shared" si="0"/>
        <v>7</v>
      </c>
      <c r="C5">
        <f t="shared" si="1"/>
        <v>4</v>
      </c>
      <c r="D5" s="3">
        <f>IF(SUM(DruidAbilities1[[#This Row],[takes]]) &gt; 0,DruidAbilities1[[#This Row],[takes]]/SUM(DruidAbilities1[takes]),0)</f>
        <v>0.33333333333333331</v>
      </c>
      <c r="E5" s="3">
        <f>IF(DruidAbilities1[[#This Row],[takes]]&gt;0,DruidAbilities1[[#This Row],[wins]]/DruidAbilities1[[#This Row],[takes]],0)</f>
        <v>0.5714285714285714</v>
      </c>
      <c r="G5">
        <v>3</v>
      </c>
      <c r="H5">
        <f t="shared" si="2"/>
        <v>11</v>
      </c>
      <c r="I5" s="18">
        <f t="shared" si="3"/>
        <v>8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5" t="s">
        <v>180</v>
      </c>
      <c r="V5" s="16">
        <f>DruidEquip[[#This Row],[chestpiece]]/SUM(DruidEquip[chestpiece])</f>
        <v>0.38095238095238093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0.95238095238095233</v>
      </c>
    </row>
    <row r="8" spans="1:22" x14ac:dyDescent="0.25">
      <c r="A8" s="2" t="s">
        <v>71</v>
      </c>
      <c r="B8" s="2">
        <f>L8+L29+L50+L71+L92+L113</f>
        <v>1</v>
      </c>
      <c r="C8" s="2">
        <f>M8+M29+M50+M71+M92+M113</f>
        <v>1</v>
      </c>
      <c r="D8" s="12">
        <f>IF(SUM(DruidAbilities2[[#This Row],[takes]]) &gt; 0,DruidAbilities2[[#This Row],[takes]]/SUM(DruidAbilities2[takes]),0)</f>
        <v>4.7619047619047616E-2</v>
      </c>
      <c r="E8" s="12">
        <f>IF(DruidAbilities2[[#This Row],[takes]]&gt;0,DruidAbilities2[[#This Row],[wins]]/DruidAbilities2[[#This Row],[takes]],0)</f>
        <v>1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8" s="2">
        <f>COUNTIF(Scenario0[winner1-ability2],DruidAbilities2Scenario0[[#This Row],[ability]])+COUNTIF(Scenario0[winner2-ability2],DruidAbilities2Scenario0[[#This Row],[ability]])</f>
        <v>0</v>
      </c>
      <c r="N8" s="12">
        <f>IF(SUM(DruidAbilities2Scenario0[[#This Row],[takes]]) &gt; 0,DruidAbilities2Scenario0[[#This Row],[takes]]/SUM(DruidAbilities2Scenario0[takes]),0)</f>
        <v>0</v>
      </c>
      <c r="O8" s="12">
        <f>IF(DruidAbilities2Scenario0[[#This Row],[takes]]&gt;0,DruidAbilities2Scenario0[[#This Row],[wins]]/DruidAbilities2Scenario0[[#This Row],[takes]],0)</f>
        <v>0</v>
      </c>
      <c r="S8" s="18"/>
      <c r="U8" t="s">
        <v>178</v>
      </c>
      <c r="V8" s="16">
        <f>SUM(DruidAbilities4[takes])/SUM(DruidAbilities1[takes])</f>
        <v>0.90476190476190477</v>
      </c>
    </row>
    <row r="9" spans="1:22" x14ac:dyDescent="0.25">
      <c r="A9" t="s">
        <v>50</v>
      </c>
      <c r="B9" s="2">
        <f t="shared" ref="B9:B10" si="4">L9+L30+L51+L72+L93+L114</f>
        <v>0</v>
      </c>
      <c r="C9" s="2">
        <f t="shared" ref="C9:C10" si="5">M9+M30+M51+M72+M93+M114</f>
        <v>0</v>
      </c>
      <c r="D9" s="3">
        <f>IF(SUM(DruidAbilities2[[#This Row],[takes]]) &gt; 0,DruidAbilities2[[#This Row],[takes]]/SUM(DruidAbilities2[takes]),0)</f>
        <v>0</v>
      </c>
      <c r="E9" s="3">
        <f>IF(DruidAbilities2[[#This Row],[takes]]&gt;0,DruidAbilities2[[#This Row],[wins]]/DruidAbilities2[[#This Row],[takes]],0)</f>
        <v>0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9" s="2">
        <f>COUNTIF(Scenario0[winner1-ability2],DruidAbilities2Scenario0[[#This Row],[ability]])+COUNTIF(Scenario0[winner2-ability2],DruidAbilities2Scenario0[[#This Row],[ability]])</f>
        <v>0</v>
      </c>
      <c r="N9" s="3">
        <f>IF(SUM(DruidAbilities2Scenario0[[#This Row],[takes]]) &gt; 0,DruidAbilities2Scenario0[[#This Row],[takes]]/SUM(DruidAbilities2Scenario0[takes]),0)</f>
        <v>0</v>
      </c>
      <c r="O9" s="3">
        <f>IF(DruidAbilities2Scenario0[[#This Row],[takes]]&gt;0,DruidAbilities2Scenario0[[#This Row],[wins]]/DruidAbilities2Scenario0[[#This Row],[takes]],0)</f>
        <v>0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4.2380952380952381</v>
      </c>
    </row>
    <row r="10" spans="1:22" x14ac:dyDescent="0.25">
      <c r="A10" s="10" t="s">
        <v>84</v>
      </c>
      <c r="B10" s="2">
        <f t="shared" si="4"/>
        <v>20</v>
      </c>
      <c r="C10" s="2">
        <f t="shared" si="5"/>
        <v>14</v>
      </c>
      <c r="D10" s="13">
        <f>IF(SUM(DruidAbilities2[[#This Row],[takes]]) &gt; 0,DruidAbilities2[[#This Row],[takes]]/SUM(DruidAbilities2[takes]),0)</f>
        <v>0.95238095238095233</v>
      </c>
      <c r="E10" s="13">
        <f>IF(DruidAbilities2[[#This Row],[takes]]&gt;0,DruidAbilities2[[#This Row],[wins]]/DruidAbilities2[[#This Row],[takes]],0)</f>
        <v>0.7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</v>
      </c>
      <c r="M10" s="2">
        <f>COUNTIF(Scenario0[winner1-ability2],DruidAbilities2Scenario0[[#This Row],[ability]])+COUNTIF(Scenario0[winner2-ability2],DruidAbilities2Scenario0[[#This Row],[ability]])</f>
        <v>1</v>
      </c>
      <c r="N10" s="13">
        <f>IF(SUM(DruidAbilities2Scenario0[[#This Row],[takes]]) &gt; 0,DruidAbilities2Scenario0[[#This Row],[takes]]/SUM(DruidAbilities2Scenario0[takes]),0)</f>
        <v>1</v>
      </c>
      <c r="O10" s="13">
        <f>IF(DruidAbilities2Scenario0[[#This Row],[takes]]&gt;0,DruidAbilities2Scenario0[[#This Row],[wins]]/DruidAbilities2Scenario0[[#This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4</v>
      </c>
      <c r="C13" s="1">
        <f>M13+M34+M55+M76+M97+M118</f>
        <v>2</v>
      </c>
      <c r="D13" s="14">
        <f>IF(SUM(DruidAbilities3[[#This Row],[takes]]) &gt; 0,DruidAbilities3[[#This Row],[takes]]/SUM(DruidAbilities3[takes]),0)</f>
        <v>0.2</v>
      </c>
      <c r="E13" s="14">
        <f>IF(DruidAbilities3[[#This Row],[takes]]&gt;0,DruidAbilities3[[#This Row],[wins]]/DruidAbilities3[[#This Row],[takes]],0)</f>
        <v>0.5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</v>
      </c>
      <c r="M13" s="1">
        <f>COUNTIF(Scenario0[winner1-ability3],DruidAbilities3Scenario0[[#This Row],[ability]])+COUNTIF(Scenario0[winner2-ability3],DruidAbilities3Scenario0[[#This Row],[ability]])</f>
        <v>1</v>
      </c>
      <c r="N13" s="14">
        <f>IF(SUM(DruidAbilities3Scenario0[[#This Row],[takes]]) &gt; 0,DruidAbilities3Scenario0[[#This Row],[takes]]/SUM(DruidAbilities3Scenario0[takes]),0)</f>
        <v>1</v>
      </c>
      <c r="O13" s="14">
        <f>IF(DruidAbilities3Scenario0[[#This Row],[takes]]&gt;0,DruidAbilities3Scenario0[[#This Row],[wins]]/DruidAbilities3Scenario0[[#This Row],[takes]],0)</f>
        <v>1</v>
      </c>
      <c r="S13" s="18"/>
    </row>
    <row r="14" spans="1:22" x14ac:dyDescent="0.25">
      <c r="A14" s="2" t="s">
        <v>127</v>
      </c>
      <c r="B14" s="2">
        <f t="shared" ref="B14:B15" si="6">L14+L35+L56+L77+L98+L119</f>
        <v>6</v>
      </c>
      <c r="C14" s="2">
        <f t="shared" ref="C14:C15" si="7">M14+M35+M56+M77+M98+M119</f>
        <v>6</v>
      </c>
      <c r="D14" s="12">
        <f>IF(SUM(DruidAbilities3[[#This Row],[takes]]) &gt; 0,DruidAbilities3[[#This Row],[takes]]/SUM(DruidAbilities3[takes]),0)</f>
        <v>0.3</v>
      </c>
      <c r="E14" s="12">
        <f>IF(DruidAbilities3[[#This Row],[takes]]&gt;0,DruidAbilities3[[#This Row],[wins]]/DruidAbilities3[[#This Row],[takes]],0)</f>
        <v>1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4" s="2">
        <f>COUNTIF(Scenario0[winner1-ability3],DruidAbilities3Scenario0[[#This Row],[ability]])+COUNTIF(Scenario0[winner2-ability3],DruidAbilities3Scenario0[[#This Row],[ability]])</f>
        <v>0</v>
      </c>
      <c r="N14" s="12">
        <f>IF(SUM(DruidAbilities3Scenario0[[#This Row],[takes]]) &gt; 0,DruidAbilities3Scenario0[[#This Row],[takes]]/SUM(DruidAbilities3Scenario0[takes]),0)</f>
        <v>0</v>
      </c>
      <c r="O14" s="12">
        <f>IF(DruidAbilities3Scenario0[[#This Row],[takes]]&gt;0,DruidAbilities3Scenario0[[#This Row],[wins]]/DruidAbilities3Scenario0[[#This Row],[takes]],0)</f>
        <v>0</v>
      </c>
      <c r="S14" s="18"/>
    </row>
    <row r="15" spans="1:22" x14ac:dyDescent="0.25">
      <c r="A15" s="11" t="s">
        <v>90</v>
      </c>
      <c r="B15" s="1">
        <f t="shared" si="6"/>
        <v>10</v>
      </c>
      <c r="C15" s="1">
        <f t="shared" si="7"/>
        <v>6</v>
      </c>
      <c r="D15" s="15">
        <f>IF(SUM(DruidAbilities3[[#This Row],[takes]]) &gt; 0,DruidAbilities3[[#This Row],[takes]]/SUM(DruidAbilities3[takes]),0)</f>
        <v>0.5</v>
      </c>
      <c r="E15" s="15">
        <f>IF(DruidAbilities3[[#This Row],[takes]]&gt;0,DruidAbilities3[[#This Row],[wins]]/DruidAbilities3[[#This Row],[takes]],0)</f>
        <v>0.6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5" s="1">
        <f>COUNTIF(Scenario0[winner1-ability3],DruidAbilities3Scenario0[[#This Row],[ability]])+COUNTIF(Scenario0[winner2-ability3],DruidAbilities3Scenario0[[#This Row],[ability]])</f>
        <v>0</v>
      </c>
      <c r="N15" s="15">
        <f>IF(SUM(DruidAbilities3Scenario0[[#This Row],[takes]]) &gt; 0,DruidAbilities3Scenario0[[#This Row],[takes]]/SUM(DruidAbilities3Scenario0[takes]),0)</f>
        <v>0</v>
      </c>
      <c r="O15" s="15">
        <f>IF(DruidAbilities3Scenario0[[#This Row],[takes]]&gt;0,DruidAbilities3Scenario0[[#This Row],[wins]]/DruidAbilities3Scenario0[[#This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13</v>
      </c>
      <c r="C18" s="2">
        <f>M18+M39+M60+M81+M102+M123</f>
        <v>11</v>
      </c>
      <c r="D18" s="12">
        <f>IF(SUM(DruidAbilities4[[#This Row],[takes]]) &gt; 0,DruidAbilities4[[#This Row],[takes]]/SUM(DruidAbilities4[takes]),0)</f>
        <v>0.68421052631578949</v>
      </c>
      <c r="E18" s="12">
        <f>IF(DruidAbilities4[[#This Row],[takes]]&gt;0,DruidAbilities4[[#This Row],[wins]]/DruidAbilities4[[#This Row],[takes]],0)</f>
        <v>0.84615384615384615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8" s="2">
        <f>COUNTIF(Scenario0[winner1-ability4],DruidAbilities4Scenario0[[#This Row],[ability]])+COUNTIF(Scenario0[winner2-ability4],DruidAbilities4Scenario0[[#This Row],[ability]])</f>
        <v>0</v>
      </c>
      <c r="N18" s="12">
        <f>IF(SUM(DruidAbilities4Scenario0[[#This Row],[takes]]) &gt; 0,DruidAbilities4Scenario0[[#This Row],[takes]]/SUM(DruidAbilities4Scenario0[takes]),0)</f>
        <v>0</v>
      </c>
      <c r="O18" s="12">
        <f>IF(DruidAbilities4Scenario0[[#This Row],[takes]]&gt;0,DruidAbilities4Scenario0[[#This Row],[wins]]/DruidAbilities4Scenario0[[#This Row],[takes]],0)</f>
        <v>0</v>
      </c>
      <c r="S18" s="18"/>
    </row>
    <row r="19" spans="1:20" x14ac:dyDescent="0.25">
      <c r="A19" s="2" t="s">
        <v>52</v>
      </c>
      <c r="B19" s="2">
        <f t="shared" ref="B19:B20" si="8">L19+L40+L61+L82+L103+L124</f>
        <v>5</v>
      </c>
      <c r="C19" s="2">
        <f t="shared" ref="C19:C20" si="9">M19+M40+M61+M82+M103+M124</f>
        <v>2</v>
      </c>
      <c r="D19" s="12">
        <f>IF(SUM(DruidAbilities4[[#This Row],[takes]]) &gt; 0,DruidAbilities4[[#This Row],[takes]]/SUM(DruidAbilities4[takes]),0)</f>
        <v>0.26315789473684209</v>
      </c>
      <c r="E19" s="12">
        <f>IF(DruidAbilities4[[#This Row],[takes]]&gt;0,DruidAbilities4[[#This Row],[wins]]/DruidAbilities4[[#This Row],[takes]],0)</f>
        <v>0.4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9" s="2">
        <f>COUNTIF(Scenario0[winner1-ability4],DruidAbilities4Scenario0[[#This Row],[ability]])+COUNTIF(Scenario0[winner2-ability4],DruidAbilities4Scenario0[[#This Row],[ability]])</f>
        <v>0</v>
      </c>
      <c r="N19" s="12">
        <f>IF(SUM(DruidAbilities4Scenario0[[#This Row],[takes]]) &gt; 0,DruidAbilities4Scenario0[[#This Row],[takes]]/SUM(DruidAbilities4Scenario0[takes]),0)</f>
        <v>0</v>
      </c>
      <c r="O19" s="12">
        <f>IF(DruidAbilities4Scenario0[[#This Row],[takes]]&gt;0,DruidAbilities4Scenario0[[#This Row],[wins]]/DruidAbilities4Scenario0[[#This Row],[takes]],0)</f>
        <v>0</v>
      </c>
      <c r="S19" s="18"/>
    </row>
    <row r="20" spans="1:20" ht="15.75" thickBot="1" x14ac:dyDescent="0.3">
      <c r="A20" s="10" t="s">
        <v>129</v>
      </c>
      <c r="B20" s="2">
        <f t="shared" si="8"/>
        <v>1</v>
      </c>
      <c r="C20" s="2">
        <f t="shared" si="9"/>
        <v>0</v>
      </c>
      <c r="D20" s="26">
        <f>IF(SUM(DruidAbilities4[[#This Row],[takes]]) &gt; 0,DruidAbilities4[[#This Row],[takes]]/SUM(DruidAbilities4[takes]),0)</f>
        <v>5.2631578947368418E-2</v>
      </c>
      <c r="E20" s="26">
        <f>IF(DruidAbilities4[[#This Row],[takes]]&gt;0,DruidAbilities4[[#This Row],[wins]]/DruidAbilities4[[#This Row],[takes]],0)</f>
        <v>0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5">
        <f>COUNTIF(Scenario0[winner1-ability4],DruidAbilities4Scenario0[[#This Row],[ability]])+COUNTIF(Scenario0[winner2-ability4],DruidAbilities4Scenario0[[#This Row],[ability]])</f>
        <v>0</v>
      </c>
      <c r="N20" s="26">
        <f>IF(SUM(DruidAbilities4Scenario0[[#This Row],[takes]]) &gt; 0,DruidAbilities4Scenario0[[#This Row],[takes]]/SUM(DruidAbilities4Scenario0[takes]),0)</f>
        <v>0</v>
      </c>
      <c r="O20" s="26">
        <f>IF(DruidAbilities4Scenario0[[#This Row],[takes]]&gt;0,DruidAbilities4Scenario0[[#This Row],[wins]]/DruidAbilities4Scenario0[[#This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</v>
      </c>
      <c r="M24">
        <f>COUNTIF(Scenario1[winner1-ability1],DruidAbilities1Scenario1[[#This Row],[ability]])+COUNTIF(Scenario1[winner2-ability1],DruidAbilities1Scenario1[[#This Row],[ability]])</f>
        <v>1</v>
      </c>
      <c r="N24" s="3">
        <f>IF(SUM(DruidAbilities1Scenario1[[#This Row],[takes]]) &gt; 0,DruidAbilities1Scenario1[[#This Row],[takes]]/SUM(DruidAbilities1Scenario1[takes]),0)</f>
        <v>1</v>
      </c>
      <c r="O24" s="3">
        <f>IF(DruidAbilities1Scenario1[[#This Row],[takes]]&gt;0,DruidAbilities1Scenario1[[#This Row],[wins]]/DruidAbilities1Scenario1[[#This Row],[takes]],0)</f>
        <v>1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5">
        <f>COUNTIF(Scenario1[winner1-ability1],DruidAbilities1Scenario1[[#This Row],[ability]])+COUNTIF(Scenario1[winner2-ability1],DruidAbilities1Scenario1[[#This Row],[ability]])</f>
        <v>0</v>
      </c>
      <c r="N25" s="3">
        <f>IF(SUM(DruidAbilities1Scenario1[[#This Row],[takes]]) &gt; 0,DruidAbilities1Scenario1[[#This Row],[takes]]/SUM(DruidAbilities1Scenario1[takes]),0)</f>
        <v>0</v>
      </c>
      <c r="O25" s="3">
        <f>IF(DruidAbilities1Scenario1[[#This Row],[takes]]&gt;0,DruidAbilities1Scenario1[[#This Row],[wins]]/DruidAbilities1Scenario1[[#This Row],[takes]],0)</f>
        <v>0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29" s="2">
        <f>COUNTIF(Scenario1[winner1-ability2],DruidAbilities2Scenario1[[#This Row],[ability]])+COUNTIF(Scenario1[winner2-ability2],DruidAbilities2Scenario1[[#This Row],[ability]])</f>
        <v>0</v>
      </c>
      <c r="N29" s="12">
        <f>IF(SUM(DruidAbilities2Scenario1[[#This Row],[takes]]) &gt; 0,DruidAbilities2Scenario1[[#This Row],[takes]]/SUM(DruidAbilities2Scenario1[takes]),0)</f>
        <v>0</v>
      </c>
      <c r="O29" s="12">
        <f>IF(DruidAbilities2Scenario1[[#This Row],[takes]]&gt;0,DruidAbilities2Scenario1[[#This Row],[wins]]/DruidAbilities2Scenario1[[#This Row],[takes]],0)</f>
        <v>0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0" s="2">
        <f>COUNTIF(Scenario1[winner1-ability2],DruidAbilities2Scenario1[[#This Row],[ability]])+COUNTIF(Scenario1[winner2-ability2],DruidAbilities2Scenario1[[#This Row],[ability]])</f>
        <v>0</v>
      </c>
      <c r="N30" s="3">
        <f>IF(SUM(DruidAbilities2Scenario1[[#This Row],[takes]]) &gt; 0,DruidAbilities2Scenario1[[#This Row],[takes]]/SUM(DruidAbilities2Scenario1[takes]),0)</f>
        <v>0</v>
      </c>
      <c r="O30" s="3">
        <f>IF(DruidAbilities2Scenario1[[#This Row],[takes]]&gt;0,DruidAbilities2Scenario1[[#This Row],[wins]]/DruidAbilities2Scenario1[[#This Row],[takes]],0)</f>
        <v>0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</v>
      </c>
      <c r="M31" s="2">
        <f>COUNTIF(Scenario1[winner1-ability2],DruidAbilities2Scenario1[[#This Row],[ability]])+COUNTIF(Scenario1[winner2-ability2],DruidAbilities2Scenario1[[#This Row],[ability]])</f>
        <v>1</v>
      </c>
      <c r="N31" s="13">
        <f>IF(SUM(DruidAbilities2Scenario1[[#This Row],[takes]]) &gt; 0,DruidAbilities2Scenario1[[#This Row],[takes]]/SUM(DruidAbilities2Scenario1[takes]),0)</f>
        <v>1</v>
      </c>
      <c r="O31" s="13">
        <f>IF(DruidAbilities2Scenario1[[#This Row],[takes]]&gt;0,DruidAbilities2Scenario1[[#This Row],[wins]]/DruidAbilities2Scenario1[[#This Row],[takes]],0)</f>
        <v>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4" s="1">
        <f>COUNTIF(Scenario1[winner1-ability3],DruidAbilities3Scenario1[[#This Row],[ability]])+COUNTIF(Scenario1[winner2-ability3],DruidAbilities3Scenario1[[#This Row],[ability]])</f>
        <v>0</v>
      </c>
      <c r="N34" s="14">
        <f>IF(SUM(DruidAbilities3Scenario1[[#This Row],[takes]]) &gt; 0,DruidAbilities3Scenario1[[#This Row],[takes]]/SUM(DruidAbilities3Scenario1[takes]),0)</f>
        <v>0</v>
      </c>
      <c r="O34" s="14">
        <f>IF(DruidAbilities3Scenario1[[#This Row],[takes]]&gt;0,DruidAbilities3Scenario1[[#This Row],[wins]]/DruidAbilities3Scenario1[[#This Row],[takes]],0)</f>
        <v>0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5" s="2">
        <f>COUNTIF(Scenario1[winner1-ability3],DruidAbilities3Scenario1[[#This Row],[ability]])+COUNTIF(Scenario1[winner2-ability3],DruidAbilities3Scenario1[[#This Row],[ability]])</f>
        <v>0</v>
      </c>
      <c r="N35" s="12">
        <f>IF(SUM(DruidAbilities3Scenario1[[#This Row],[takes]]) &gt; 0,DruidAbilities3Scenario1[[#This Row],[takes]]/SUM(DruidAbilities3Scenario1[takes]),0)</f>
        <v>0</v>
      </c>
      <c r="O35" s="12">
        <f>IF(DruidAbilities3Scenario1[[#This Row],[takes]]&gt;0,DruidAbilities3Scenario1[[#This Row],[wins]]/DruidAbilities3Scenario1[[#This Row],[takes]],0)</f>
        <v>0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</v>
      </c>
      <c r="M36" s="1">
        <f>COUNTIF(Scenario1[winner1-ability3],DruidAbilities3Scenario1[[#This Row],[ability]])+COUNTIF(Scenario1[winner2-ability3],DruidAbilities3Scenario1[[#This Row],[ability]])</f>
        <v>1</v>
      </c>
      <c r="N36" s="15">
        <f>IF(SUM(DruidAbilities3Scenario1[[#This Row],[takes]]) &gt; 0,DruidAbilities3Scenario1[[#This Row],[takes]]/SUM(DruidAbilities3Scenario1[takes]),0)</f>
        <v>1</v>
      </c>
      <c r="O36" s="15">
        <f>IF(DruidAbilities3Scenario1[[#This Row],[takes]]&gt;0,DruidAbilities3Scenario1[[#This Row],[wins]]/DruidAbilities3Scenario1[[#This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</v>
      </c>
      <c r="M39" s="2">
        <f>COUNTIF(Scenario1[winner1-ability4],DruidAbilities4Scenario1[[#This Row],[ability]])+COUNTIF(Scenario1[winner2-ability4],DruidAbilities4Scenario1[[#This Row],[ability]])</f>
        <v>1</v>
      </c>
      <c r="N39" s="12">
        <f>IF(SUM(DruidAbilities4Scenario1[[#This Row],[takes]]) &gt; 0,DruidAbilities4Scenario1[[#This Row],[takes]]/SUM(DruidAbilities4Scenario1[takes]),0)</f>
        <v>1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0" s="2">
        <f>COUNTIF(Scenario1[winner1-ability4],DruidAbilities4Scenario1[[#This Row],[ability]])+COUNTIF(Scenario1[winner2-ability4],DruidAbilities4Scenario1[[#This Row],[ability]])</f>
        <v>0</v>
      </c>
      <c r="N40" s="12">
        <f>IF(SUM(DruidAbilities4Scenario1[[#This Row],[takes]]) &gt; 0,DruidAbilities4Scenario1[[#This Row],[takes]]/SUM(DruidAbilities4Scenario1[takes]),0)</f>
        <v>0</v>
      </c>
      <c r="O40" s="12">
        <f>IF(DruidAbilities4Scenario1[[#This Row],[takes]]&gt;0,DruidAbilities4Scenario1[[#This Row],[wins]]/DruidAbilities4Scenario1[[#This Row],[takes]],0)</f>
        <v>0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5">
        <f>COUNTIF(Scenario1[winner1-ability4],DruidAbilities4Scenario1[[#This Row],[ability]])+COUNTIF(Scenario1[winner2-ability4],DruidAbilities4Scenario1[[#This Row],[ability]])</f>
        <v>0</v>
      </c>
      <c r="N41" s="26">
        <f>IF(SUM(DruidAbilities4Scenario1[[#This Row],[takes]]) &gt; 0,DruidAbilities4Scenario1[[#This Row],[takes]]/SUM(DruidAbilities4Scenario1[takes]),0)</f>
        <v>0</v>
      </c>
      <c r="O41" s="26">
        <f>IF(DruidAbilities4Scenario1[[#This Row],[takes]]&gt;0,DruidAbilities4Scenario1[[#This Row],[wins]]/DruidAbilities4Scenario1[[#This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8</v>
      </c>
      <c r="M45">
        <f>COUNTIF(Scenario2[winner1-ability1],DruidAbilities1Scenario2[[#This Row],[ability]])</f>
        <v>5</v>
      </c>
      <c r="N45" s="3">
        <f>IF(SUM(DruidAbilities1Scenario2[[#This Row],[takes]]) &gt; 0,DruidAbilities1Scenario2[[#This Row],[takes]]/SUM(DruidAbilities1Scenario2[takes]),0)</f>
        <v>0.5</v>
      </c>
      <c r="O45" s="3">
        <f>IF(DruidAbilities1Scenario2[[#This Row],[takes]]&gt;0,DruidAbilities1Scenario2[[#This Row],[wins]]/DruidAbilities1Scenario2[[#This Row],[takes]],0)</f>
        <v>0.625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2</v>
      </c>
      <c r="S45" s="18">
        <f>COUNTIFS(Scenario2[winner1],"druid",Scenario2[winner1-cp],DruidEquipScenario2[[#This Row],[level]])+COUNTIFS(Scenario2[loser1],"druid",Scenario2[loser1-cp],DruidEquipScenario2[[#This Row],[level]])</f>
        <v>8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4</v>
      </c>
      <c r="M46">
        <f>COUNTIF(Scenario2[winner1-ability1],DruidAbilities1Scenario2[[#This Row],[ability]])</f>
        <v>4</v>
      </c>
      <c r="N46" s="3">
        <f>IF(SUM(DruidAbilities1Scenario2[[#This Row],[takes]]) &gt; 0,DruidAbilities1Scenario2[[#This Row],[takes]]/SUM(DruidAbilities1Scenario2[takes]),0)</f>
        <v>0.25</v>
      </c>
      <c r="O46" s="3">
        <f>IF(DruidAbilities1Scenario2[[#This Row],[takes]]&gt;0,DruidAbilities1Scenario2[[#This Row],[wins]]/DruidAbilities1Scenario2[[#This Row],[takes]],0)</f>
        <v>1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6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4</v>
      </c>
      <c r="M47">
        <f>COUNTIF(Scenario2[winner1-ability1],DruidAbilities1Scenario2[[#This Row],[ability]])</f>
        <v>4</v>
      </c>
      <c r="N47" s="3">
        <f>IF(SUM(DruidAbilities1Scenario2[[#This Row],[takes]]) &gt; 0,DruidAbilities1Scenario2[[#This Row],[takes]]/SUM(DruidAbilities1Scenario2[takes]),0)</f>
        <v>0.25</v>
      </c>
      <c r="O47" s="3">
        <f>IF(DruidAbilities1Scenario2[[#This Row],[takes]]&gt;0,DruidAbilities1Scenario2[[#This Row],[wins]]/DruidAbilities1Scenario2[[#This Row],[takes]],0)</f>
        <v>1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8</v>
      </c>
      <c r="S47" s="18">
        <f>COUNTIFS(Scenario2[winner1],"druid",Scenario2[winner1-cp],DruidEquipScenario2[[#This Row],[level]])+COUNTIFS(Scenario2[loser1],"druid",Scenario2[loser1-cp],DruidEquipScenario2[[#This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1</v>
      </c>
      <c r="M50" s="2">
        <f>COUNTIF(Scenario2[winner1-ability2],DruidAbilities2Scenario2[[#This Row],[ability]])</f>
        <v>1</v>
      </c>
      <c r="N50" s="12">
        <f>IF(SUM(DruidAbilities2Scenario2[[#This Row],[takes]]) &gt; 0,DruidAbilities2Scenario2[[#This Row],[takes]]/SUM(DruidAbilities2Scenario2[takes]),0)</f>
        <v>6.25E-2</v>
      </c>
      <c r="O50" s="12">
        <f>IF(DruidAbilities2Scenario2[[#This Row],[takes]]&gt;0,DruidAbilities2Scenario2[[#This Row],[wins]]/DruidAbilities2Scenario2[[#This Row],[takes]],0)</f>
        <v>1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0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0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15</v>
      </c>
      <c r="M52" s="2">
        <f>COUNTIF(Scenario2[winner1-ability2],DruidAbilities2Scenario2[[#This Row],[ability]])</f>
        <v>12</v>
      </c>
      <c r="N52" s="13">
        <f>IF(SUM(DruidAbilities2Scenario2[[#This Row],[takes]]) &gt; 0,DruidAbilities2Scenario2[[#This Row],[takes]]/SUM(DruidAbilities2Scenario2[takes]),0)</f>
        <v>0.9375</v>
      </c>
      <c r="O52" s="13">
        <f>IF(DruidAbilities2Scenario2[[#This Row],[takes]]&gt;0,DruidAbilities2Scenario2[[#This Row],[wins]]/DruidAbilities2Scenario2[[#This Row],[takes]],0)</f>
        <v>0.8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1</v>
      </c>
      <c r="M55" s="1">
        <f>COUNTIF(Scenario2[winner1-ability3],DruidAbilities3Scenario2[[#This Row],[ability]])</f>
        <v>1</v>
      </c>
      <c r="N55" s="14">
        <f>IF(SUM(DruidAbilities3Scenario2[[#This Row],[takes]]) &gt; 0,DruidAbilities3Scenario2[[#This Row],[takes]]/SUM(DruidAbilities3Scenario2[takes]),0)</f>
        <v>6.6666666666666666E-2</v>
      </c>
      <c r="O55" s="14">
        <f>IF(DruidAbilities3Scenario2[[#This Row],[takes]]&gt;0,DruidAbilities3Scenario2[[#This Row],[wins]]/DruidAbilities3Scenario2[[#This Row],[takes]],0)</f>
        <v>1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6</v>
      </c>
      <c r="M56" s="2">
        <f>COUNTIF(Scenario2[winner1-ability3],DruidAbilities3Scenario2[[#This Row],[ability]])</f>
        <v>6</v>
      </c>
      <c r="N56" s="12">
        <f>IF(SUM(DruidAbilities3Scenario2[[#This Row],[takes]]) &gt; 0,DruidAbilities3Scenario2[[#This Row],[takes]]/SUM(DruidAbilities3Scenario2[takes]),0)</f>
        <v>0.4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8</v>
      </c>
      <c r="M57" s="1">
        <f>COUNTIF(Scenario2[winner1-ability3],DruidAbilities3Scenario2[[#This Row],[ability]])</f>
        <v>5</v>
      </c>
      <c r="N57" s="15">
        <f>IF(SUM(DruidAbilities3Scenario2[[#This Row],[takes]]) &gt; 0,DruidAbilities3Scenario2[[#This Row],[takes]]/SUM(DruidAbilities3Scenario2[takes]),0)</f>
        <v>0.53333333333333333</v>
      </c>
      <c r="O57" s="15">
        <f>IF(DruidAbilities3Scenario2[[#This Row],[takes]]&gt;0,DruidAbilities3Scenario2[[#This Row],[wins]]/DruidAbilities3Scenario2[[#This Row],[takes]],0)</f>
        <v>0.625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10</v>
      </c>
      <c r="M60" s="2">
        <f>COUNTIF(Scenario2[winner1-ability4],DruidAbilities4Scenario2[[#This Row],[ability]])</f>
        <v>10</v>
      </c>
      <c r="N60" s="12">
        <f>IF(SUM(DruidAbilities4Scenario2[[#This Row],[takes]]) &gt; 0,DruidAbilities4Scenario2[[#This Row],[takes]]/SUM(DruidAbilities4Scenario2[takes]),0)</f>
        <v>0.66666666666666663</v>
      </c>
      <c r="O60" s="12">
        <f>IF(DruidAbilities4Scenario2[[#This Row],[takes]]&gt;0,DruidAbilities4Scenario2[[#This Row],[wins]]/DruidAbilities4Scenario2[[#This Row],[takes]],0)</f>
        <v>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5</v>
      </c>
      <c r="M61" s="2">
        <f>COUNTIF(Scenario2[winner1-ability4],DruidAbilities4Scenario2[[#This Row],[ability]])</f>
        <v>2</v>
      </c>
      <c r="N61" s="12">
        <f>IF(SUM(DruidAbilities4Scenario2[[#This Row],[takes]]) &gt; 0,DruidAbilities4Scenario2[[#This Row],[takes]]/SUM(DruidAbilities4Scenario2[takes]),0)</f>
        <v>0.33333333333333331</v>
      </c>
      <c r="O61" s="12">
        <f>IF(DruidAbilities4Scenario2[[#This Row],[takes]]&gt;0,DruidAbilities4Scenario2[[#This Row],[wins]]/DruidAbilities4Scenario2[[#This Row],[takes]],0)</f>
        <v>0.4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8">
        <f>COUNTIF(Scenario3[winner1-ability1],DruidAbilities1Scenario3[[#This Row],[ability]])</f>
        <v>0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0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3" s="2">
        <f>COUNTIF(Scenario3[winner1-ability2],DruidAbilities2Scenario3[[#This Row],[ability]])</f>
        <v>0</v>
      </c>
      <c r="N73" s="13">
        <f>IF(SUM(DruidAbilities2Scenario3[[#This Row],[takes]]) &gt; 0,DruidAbilities2Scenario3[[#This Row],[takes]]/SUM(DruidAbilities2Scenario3[takes]),0)</f>
        <v>1</v>
      </c>
      <c r="O73" s="13">
        <f>IF(DruidAbilities2Scenario3[[#This Row],[takes]]&gt;0,DruidAbilities2Scenario3[[#This Row],[wins]]/DruidAbilities2Scenario3[[#This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1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0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8" s="1">
        <f>COUNTIF(Scenario3[winner1-ability3],DruidAbilities3Scenario3[[#This Row],[ability]])</f>
        <v>0</v>
      </c>
      <c r="N78" s="15">
        <f>IF(SUM(DruidAbilities3Scenario3[[#This Row],[takes]]) &gt; 0,DruidAbilities3Scenario3[[#This Row],[takes]]/SUM(DruidAbilities3Scenario3[takes]),0)</f>
        <v>0</v>
      </c>
      <c r="O78" s="15">
        <f>IF(DruidAbilities3Scenario3[[#This Row],[takes]]&gt;0,DruidAbilities3Scenario3[[#This Row],[wins]]/DruidAbilities3Scenario3[[#This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1" s="2">
        <f>COUNTIF(Scenario3[winner1-ability4],DruidAbilities4Scenario3[[#This Row],[ability]])</f>
        <v>0</v>
      </c>
      <c r="N81" s="12">
        <f>IF(SUM(DruidAbilities4Scenario3[[#This Row],[takes]]) &gt; 0,DruidAbilities4Scenario3[[#This Row],[takes]]/SUM(DruidAbilities4Scenario3[takes]),0)</f>
        <v>1</v>
      </c>
      <c r="O81" s="12">
        <f>IF(DruidAbilities4Scenario3[[#This Row],[takes]]&gt;0,DruidAbilities4Scenario3[[#This Row],[wins]]/DruidAbilities4Scenario3[[#This Row],[takes]],0)</f>
        <v>0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9">
        <f>COUNTIF(Scenario4[winner1-ability1],DruidAbilities1Scenario4[[#This Row],[ability]])</f>
        <v>0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0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1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0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0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1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2" s="2">
        <f>COUNTIF(Scenario4[winner1-ability4],DruidAbilities4Scenario4[[#This Row],[ability]])</f>
        <v>0</v>
      </c>
      <c r="N102" s="12">
        <f>IF(SUM(DruidAbilities4Scenario4[[#This Row],[takes]]) &gt; 0,DruidAbilities4Scenario4[[#This Row],[takes]]/SUM(DruidAbilities4Scenario4[takes]),0)</f>
        <v>1</v>
      </c>
      <c r="O102" s="12">
        <f>IF(DruidAbilities4Scenario4[[#This Row],[takes]]&gt;0,DruidAbilities4Scenario4[[#This Row],[wins]]/DruidAbilities4Scenario4[[#This Row],[takes]],0)</f>
        <v>0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0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0</v>
      </c>
      <c r="M108">
        <f>COUNTIF(Scenario5[winner1-ability1],DruidAbilities1Scenario5[[#This Row],[ability]])+COUNTIF(Scenario5[winner2-ability1],DruidAbilities1Scenario5[[#This Row],[ability]])</f>
        <v>0</v>
      </c>
      <c r="N108" s="3">
        <f>IF(SUM(DruidAbilities1Scenario5[[#This Row],[takes]]) &gt; 0,DruidAbilities1Scenario5[[#This Row],[takes]]/SUM(DruidAbilities1Scenario5[takes]),0)</f>
        <v>0</v>
      </c>
      <c r="O108" s="3">
        <f>IF(DruidAbilities1Scenario5[[#This Row],[takes]]&gt;0,DruidAbilities1Scenario5[[#This Row],[wins]]/DruidAbilities1Scenario5[[#This Row],[takes]],0)</f>
        <v>0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0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0</v>
      </c>
      <c r="M109">
        <f>COUNTIF(Scenario5[winner1-ability1],DruidAbilities1Scenario5[[#This Row],[ability]])+COUNTIF(Scenario5[winner2-ability1],DruidAbilities1Scenario5[[#This Row],[ability]])</f>
        <v>0</v>
      </c>
      <c r="N109" s="3">
        <f>IF(SUM(DruidAbilities1Scenario5[[#This Row],[takes]]) &gt; 0,DruidAbilities1Scenario5[[#This Row],[takes]]/SUM(DruidAbilities1Scenario5[takes]),0)</f>
        <v>0</v>
      </c>
      <c r="O109" s="3">
        <f>IF(DruidAbilities1Scenario5[[#This Row],[takes]]&gt;0,DruidAbilities1Scenario5[[#This Row],[wins]]/DruidAbilities1Scenario5[[#This Row],[takes]],0)</f>
        <v>0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0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0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</v>
      </c>
      <c r="M110">
        <f>COUNTIF(Scenario5[winner1-ability1],DruidAbilities1Scenario5[[#This Row],[ability]])+COUNTIF(Scenario5[winner2-ability1],DruidAbilities1Scenario5[[#This Row],[ability]])</f>
        <v>0</v>
      </c>
      <c r="N110" s="3">
        <f>IF(SUM(DruidAbilities1Scenario5[[#This Row],[takes]]) &gt; 0,DruidAbilities1Scenario5[[#This Row],[takes]]/SUM(DruidAbilities1Scenario5[takes]),0)</f>
        <v>1</v>
      </c>
      <c r="O110" s="3">
        <f>IF(DruidAbilities1Scenario5[[#This Row],[takes]]&gt;0,DruidAbilities1Scenario5[[#This Row],[wins]]/DruidAbilities1Scenario5[[#This Row],[takes]],0)</f>
        <v>0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0</v>
      </c>
      <c r="M113" s="2">
        <f>COUNTIF(Scenario5[winner1-ability2],DruidAbilities2Scenario5[[#This Row],[ability]])+COUNTIF(Scenario5[winner2-ability2],DruidAbilities2Scenario5[[#This Row],[ability]])</f>
        <v>0</v>
      </c>
      <c r="N113" s="12">
        <f>IF(SUM(DruidAbilities2Scenario5[[#This Row],[takes]]) &gt; 0,DruidAbilities2Scenario5[[#This Row],[takes]]/SUM(DruidAbilities2Scenario5[takes]),0)</f>
        <v>0</v>
      </c>
      <c r="O113" s="12">
        <f>IF(DruidAbilities2Scenario5[[#This Row],[takes]]&gt;0,DruidAbilities2Scenario5[[#This Row],[wins]]/DruidAbilities2Scenario5[[#This Row],[takes]],0)</f>
        <v>0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0</v>
      </c>
      <c r="M114" s="2">
        <f>COUNTIF(Scenario5[winner1-ability2],DruidAbilities2Scenario5[[#This Row],[ability]])+COUNTIF(Scenario5[winner2-ability2],DruidAbilities2Scenario5[[#This Row],[ability]])</f>
        <v>0</v>
      </c>
      <c r="N114" s="3">
        <f>IF(SUM(DruidAbilities2Scenario5[[#This Row],[takes]]) &gt; 0,DruidAbilities2Scenario5[[#This Row],[takes]]/SUM(DruidAbilities2Scenario5[takes]),0)</f>
        <v>0</v>
      </c>
      <c r="O114" s="3">
        <f>IF(DruidAbilities2Scenario5[[#This Row],[takes]]&gt;0,DruidAbilities2Scenario5[[#This Row],[wins]]/DruidAbilities2Scenario5[[#This Row],[takes]],0)</f>
        <v>0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1</v>
      </c>
      <c r="M115" s="2">
        <f>COUNTIF(Scenario5[winner1-ability2],DruidAbilities2Scenario5[[#This Row],[ability]])+COUNTIF(Scenario5[winner2-ability2],DruidAbilities2Scenario5[[#This Row],[ability]])</f>
        <v>0</v>
      </c>
      <c r="N115" s="13">
        <f>IF(SUM(DruidAbilities2Scenario5[[#This Row],[takes]]) &gt; 0,DruidAbilities2Scenario5[[#This Row],[takes]]/SUM(DruidAbilities2Scenario5[takes]),0)</f>
        <v>1</v>
      </c>
      <c r="O115" s="13">
        <f>IF(DruidAbilities2Scenario5[[#This Row],[takes]]&gt;0,DruidAbilities2Scenario5[[#This Row],[wins]]/DruidAbilities2Scenario5[[#This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</v>
      </c>
      <c r="M118" s="1">
        <f>COUNTIF(Scenario5[winner1-ability3],DruidAbilities3Scenario5[[#This Row],[ability]])+COUNTIF(Scenario5[winner2-ability3],DruidAbilities3Scenario5[[#This Row],[ability]])</f>
        <v>0</v>
      </c>
      <c r="N118" s="14">
        <f>IF(SUM(DruidAbilities3Scenario5[[#This Row],[takes]]) &gt; 0,DruidAbilities3Scenario5[[#This Row],[takes]]/SUM(DruidAbilities3Scenario5[takes]),0)</f>
        <v>1</v>
      </c>
      <c r="O118" s="14">
        <f>IF(DruidAbilities3Scenario5[[#This Row],[takes]]&gt;0,DruidAbilities3Scenario5[[#This Row],[wins]]/DruidAbilities3Scenario5[[#This Row],[takes]],0)</f>
        <v>0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0</v>
      </c>
      <c r="M119" s="2">
        <f>COUNTIF(Scenario5[winner1-ability3],DruidAbilities3Scenario5[[#This Row],[ability]])+COUNTIF(Scenario5[winner2-ability3],DruidAbilities3Scenario5[[#This Row],[ability]])</f>
        <v>0</v>
      </c>
      <c r="N119" s="12">
        <f>IF(SUM(DruidAbilities3Scenario5[[#This Row],[takes]]) &gt; 0,DruidAbilities3Scenario5[[#This Row],[takes]]/SUM(DruidAbilities3Scenario5[takes]),0)</f>
        <v>0</v>
      </c>
      <c r="O119" s="12">
        <f>IF(DruidAbilities3Scenario5[[#This Row],[takes]]&gt;0,DruidAbilities3Scenario5[[#This Row],[wins]]/DruidAbilities3Scenario5[[#This Row],[takes]],0)</f>
        <v>0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0</v>
      </c>
      <c r="M120" s="1">
        <f>COUNTIF(Scenario5[winner1-ability3],DruidAbilities3Scenario5[[#This Row],[ability]])+COUNTIF(Scenario5[winner2-ability3],DruidAbilities3Scenario5[[#This Row],[ability]])</f>
        <v>0</v>
      </c>
      <c r="N120" s="15">
        <f>IF(SUM(DruidAbilities3Scenario5[[#This Row],[takes]]) &gt; 0,DruidAbilities3Scenario5[[#This Row],[takes]]/SUM(DruidAbilities3Scenario5[takes]),0)</f>
        <v>0</v>
      </c>
      <c r="O120" s="15">
        <f>IF(DruidAbilities3Scenario5[[#This Row],[takes]]&gt;0,DruidAbilities3Scenario5[[#This Row],[wins]]/DruidAbilities3Scenario5[[#This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0</v>
      </c>
      <c r="M123" s="2">
        <f>COUNTIF(Scenario5[winner1-ability4],DruidAbilities4Scenario5[[#This Row],[ability]])+COUNTIF(Scenario5[winner2-ability4],DruidAbilities4Scenario5[[#This Row],[ability]])</f>
        <v>0</v>
      </c>
      <c r="N123" s="12">
        <f>IF(SUM(DruidAbilities4Scenario5[[#This Row],[takes]]) &gt; 0,DruidAbilities4Scenario5[[#This Row],[takes]]/SUM(DruidAbilities4Scenario5[takes]),0)</f>
        <v>0</v>
      </c>
      <c r="O123" s="12">
        <f>IF(DruidAbilities4Scenario5[[#This Row],[takes]]&gt;0,DruidAbilities4Scenario5[[#This Row],[wins]]/DruidAbilities4Scenario5[[#This Row],[takes]],0)</f>
        <v>0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0</v>
      </c>
      <c r="M124" s="2">
        <f>COUNTIF(Scenario5[winner1-ability4],DruidAbilities4Scenario5[[#This Row],[ability]])+COUNTIF(Scenario5[winner2-ability4],DruidAbilities4Scenario5[[#This Row],[ability]])</f>
        <v>0</v>
      </c>
      <c r="N124" s="12">
        <f>IF(SUM(DruidAbilities4Scenario5[[#This Row],[takes]]) &gt; 0,DruidAbilities4Scenario5[[#This Row],[takes]]/SUM(DruidAbilities4Scenario5[takes]),0)</f>
        <v>0</v>
      </c>
      <c r="O124" s="12">
        <f>IF(DruidAbilities4Scenario5[[#This Row],[takes]]&gt;0,DruidAbilities4Scenario5[[#This Row],[wins]]/DruidAbilities4Scenario5[[#This Row],[takes]],0)</f>
        <v>0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</v>
      </c>
      <c r="M125" s="2">
        <f>COUNTIF(Scenario5[winner1-ability4],DruidAbilities4Scenario5[[#This Row],[ability]])+COUNTIF(Scenario5[winner2-ability4],DruidAbilities4Scenario5[[#This Row],[ability]])</f>
        <v>0</v>
      </c>
      <c r="N125" s="26">
        <f>IF(SUM(DruidAbilities4Scenario5[[#This Row],[takes]]) &gt; 0,DruidAbilities4Scenario5[[#This Row],[takes]]/SUM(DruidAbilities4Scenario5[takes]),0)</f>
        <v>1</v>
      </c>
      <c r="O125" s="26">
        <f>IF(DruidAbilities4Scenario5[[#This Row],[takes]]&gt;0,DruidAbilities4Scenario5[[#This Row],[wins]]/DruidAbilities4Scenario5[[#This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28" sqref="H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0.76470588235294112</v>
      </c>
    </row>
    <row r="3" spans="1:22" x14ac:dyDescent="0.25">
      <c r="A3" t="s">
        <v>46</v>
      </c>
      <c r="B3">
        <f>L3+L24+L45+L66+L87+L108</f>
        <v>0</v>
      </c>
      <c r="C3">
        <f>M3+M24+M45+M66+M87+M108</f>
        <v>0</v>
      </c>
      <c r="D3" s="3">
        <f>IF(SUM(OracleAbilities1[[#This Row],[takes]]) &gt; 0,OracleAbilities1[[#This Row],[takes]]/SUM(OracleAbilities1[takes]),0)</f>
        <v>0</v>
      </c>
      <c r="E3" s="3">
        <f>IF(OracleAbilities1[[#This Row],[takes]]&gt;0,OracleAbilities1[[#This Row],[wins]]/OracleAbilities1[[#This Row],[takes]],0)</f>
        <v>0</v>
      </c>
      <c r="G3">
        <v>1</v>
      </c>
      <c r="H3">
        <f>R3+R24+R45+R66+R87+R108</f>
        <v>4</v>
      </c>
      <c r="I3" s="18">
        <f>S3+S24+S45+S66+S87+S108</f>
        <v>5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3">
        <f>COUNTIF(Scenario0[winner1-ability1],OracleAbilities1Scenario0[[#This Row],[ability]])+COUNTIF(Scenario0[winner2-ability1],OracleAbilities1Scenario0[[#This Row],[ability]])</f>
        <v>0</v>
      </c>
      <c r="N3" s="3">
        <f>IF(SUM(OracleAbilities1Scenario0[[#This Row],[takes]]) &gt; 0,OracleAbilities1Scenario0[[#This Row],[takes]]/SUM(OracleAbilities1Scenario0[takes]),0)</f>
        <v>0</v>
      </c>
      <c r="O3" s="3">
        <f>IF(OracleAbilities1Scenario0[[#This Row],[takes]]&gt;0,OracleAbilities1Scenario0[[#This Row],[wins]]/OracleAbilities1Scenario0[[#This Row],[takes]],0)</f>
        <v>0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3" t="s">
        <v>198</v>
      </c>
      <c r="V3" s="16">
        <f>H5/SUM(OracleEquip[book])</f>
        <v>0</v>
      </c>
    </row>
    <row r="4" spans="1:22" x14ac:dyDescent="0.25">
      <c r="A4" t="s">
        <v>65</v>
      </c>
      <c r="B4">
        <f t="shared" ref="B4:B5" si="0">L4+L25+L46+L67+L88+L109</f>
        <v>4</v>
      </c>
      <c r="C4">
        <f t="shared" ref="C4:C5" si="1">M4+M25+M46+M67+M88+M109</f>
        <v>2</v>
      </c>
      <c r="D4" s="3">
        <f>IF(SUM(OracleAbilities1[[#This Row],[takes]]) &gt; 0,OracleAbilities1[[#This Row],[takes]]/SUM(OracleAbilities1[takes]),0)</f>
        <v>0.23529411764705882</v>
      </c>
      <c r="E4" s="3">
        <f>IF(OracleAbilities1[[#This Row],[takes]]&gt;0,OracleAbilities1[[#This Row],[wins]]/OracleAbilities1[[#This Row],[takes]],0)</f>
        <v>0.5</v>
      </c>
      <c r="G4">
        <v>2</v>
      </c>
      <c r="H4">
        <f t="shared" ref="H4:H5" si="2">R4+R25+R46+R67+R88+R109</f>
        <v>13</v>
      </c>
      <c r="I4" s="18">
        <f t="shared" ref="I4:I5" si="3">S4+S25+S46+S67+S88+S109</f>
        <v>9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4" t="s">
        <v>179</v>
      </c>
      <c r="V4" s="3">
        <f>OracleEquip[[#This Row],[chestpiece]]/SUM(OracleEquip[chestpiece])</f>
        <v>0.52941176470588236</v>
      </c>
    </row>
    <row r="5" spans="1:22" x14ac:dyDescent="0.25">
      <c r="A5" t="s">
        <v>34</v>
      </c>
      <c r="B5">
        <f t="shared" si="0"/>
        <v>13</v>
      </c>
      <c r="C5">
        <f t="shared" si="1"/>
        <v>4</v>
      </c>
      <c r="D5" s="3">
        <f>IF(SUM(OracleAbilities1[[#This Row],[takes]]) &gt; 0,OracleAbilities1[[#This Row],[takes]]/SUM(OracleAbilities1[takes]),0)</f>
        <v>0.76470588235294112</v>
      </c>
      <c r="E5" s="3">
        <f>IF(OracleAbilities1[[#This Row],[takes]]&gt;0,OracleAbilities1[[#This Row],[wins]]/OracleAbilities1[[#This Row],[takes]],0)</f>
        <v>0.30769230769230771</v>
      </c>
      <c r="G5">
        <v>3</v>
      </c>
      <c r="H5">
        <f t="shared" si="2"/>
        <v>0</v>
      </c>
      <c r="I5" s="18">
        <f t="shared" si="3"/>
        <v>3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5" t="s">
        <v>180</v>
      </c>
      <c r="V5" s="16">
        <f>OracleEquip[[#This Row],[chestpiece]]/SUM(OracleEquip[chestpiece])</f>
        <v>0.17647058823529413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0.47058823529411764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0.23529411764705882</v>
      </c>
    </row>
    <row r="8" spans="1:22" x14ac:dyDescent="0.25">
      <c r="A8" s="2" t="s">
        <v>66</v>
      </c>
      <c r="B8" s="2">
        <f>L8+L29+L50+L71+L92+L113</f>
        <v>4</v>
      </c>
      <c r="C8" s="2">
        <f>M8+M29+M50+M71+M92+M113</f>
        <v>2</v>
      </c>
      <c r="D8" s="12">
        <f>IF(SUM(OracleAbilities2[[#This Row],[takes]]) &gt; 0,OracleAbilities2[[#This Row],[takes]]/SUM(OracleAbilities2[takes]),0)</f>
        <v>0.5</v>
      </c>
      <c r="E8" s="12">
        <f>IF(OracleAbilities2[[#This Row],[takes]]&gt;0,OracleAbilities2[[#This Row],[wins]]/OracleAbilities2[[#This Row],[takes]],0)</f>
        <v>0.5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8" s="2">
        <f>COUNTIF(Scenario0[winner1-ability2],OracleAbilities2Scenario0[[#This Row],[ability]])+COUNTIF(Scenario0[winner2-ability2],OracleAbilities2Scenario0[[#This Row],[ability]])</f>
        <v>0</v>
      </c>
      <c r="N8" s="12">
        <f>IF(SUM(OracleAbilities2Scenario0[[#This Row],[takes]]) &gt; 0,OracleAbilities2Scenario0[[#This Row],[takes]]/SUM(OracleAbilities2Scenario0[takes]),0)</f>
        <v>0</v>
      </c>
      <c r="O8" s="12">
        <f>IF(OracleAbilities2Scenario0[[#This Row],[takes]]&gt;0,OracleAbilities2Scenario0[[#This Row],[wins]]/OracleAbilities2Scenario0[[#This Row],[takes]],0)</f>
        <v>0</v>
      </c>
      <c r="S8" s="18"/>
      <c r="U8" t="s">
        <v>178</v>
      </c>
      <c r="V8" s="16">
        <f>SUM(OracleAbilities4[takes])/SUM(OracleAbilities1[takes])</f>
        <v>5.8823529411764705E-2</v>
      </c>
    </row>
    <row r="9" spans="1:22" x14ac:dyDescent="0.25">
      <c r="A9" t="s">
        <v>130</v>
      </c>
      <c r="B9" s="2">
        <f t="shared" ref="B9:B10" si="4">L9+L30+L51+L72+L93+L114</f>
        <v>4</v>
      </c>
      <c r="C9" s="2">
        <f t="shared" ref="C9:C10" si="5">M9+M30+M51+M72+M93+M114</f>
        <v>2</v>
      </c>
      <c r="D9" s="3">
        <f>IF(SUM(OracleAbilities2[[#This Row],[takes]]) &gt; 0,OracleAbilities2[[#This Row],[takes]]/SUM(OracleAbilities2[takes]),0)</f>
        <v>0.5</v>
      </c>
      <c r="E9" s="3">
        <f>IF(OracleAbilities2[[#This Row],[takes]]&gt;0,OracleAbilities2[[#This Row],[wins]]/OracleAbilities2[[#This Row],[takes]],0)</f>
        <v>0.5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0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2.2352941176470589</v>
      </c>
    </row>
    <row r="10" spans="1:22" x14ac:dyDescent="0.25">
      <c r="A10" s="10" t="s">
        <v>35</v>
      </c>
      <c r="B10" s="2">
        <f t="shared" si="4"/>
        <v>0</v>
      </c>
      <c r="C10" s="2">
        <f t="shared" si="5"/>
        <v>0</v>
      </c>
      <c r="D10" s="13">
        <f>IF(SUM(OracleAbilities2[[#This Row],[takes]]) &gt; 0,OracleAbilities2[[#This Row],[takes]]/SUM(OracleAbilities2[takes]),0)</f>
        <v>0</v>
      </c>
      <c r="E10" s="13">
        <f>IF(OracleAbilities2[[#This Row],[takes]]&gt;0,OracleAbilities2[[#This Row],[wins]]/OracleAbilities2[[#This Row],[takes]],0)</f>
        <v>0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10" s="2">
        <f>COUNTIF(Scenario0[winner1-ability2],OracleAbilities2Scenario0[[#This Row],[ability]])+COUNTIF(Scenario0[winner2-ability2],OracleAbilities2Scenario0[[#This Row],[ability]])</f>
        <v>0</v>
      </c>
      <c r="N10" s="13">
        <f>IF(SUM(OracleAbilities2Scenario0[[#This Row],[takes]]) &gt; 0,OracleAbilities2Scenario0[[#This Row],[takes]]/SUM(OracleAbilities2Scenario0[takes]),0)</f>
        <v>0</v>
      </c>
      <c r="O10" s="13">
        <f>IF(OracleAbilities2Scenario0[[#This Row],[takes]]&gt;0,OracleAbilities2Scenario0[[#This Row],[wins]]/OracleAbilities2Scenario0[[#This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2</v>
      </c>
      <c r="C13" s="1">
        <f>M13+M34+M55+M76+M97+M118</f>
        <v>1</v>
      </c>
      <c r="D13" s="14">
        <f>IF(SUM(OracleAbilities3[[#This Row],[takes]]) &gt; 0,OracleAbilities3[[#This Row],[takes]]/SUM(OracleAbilities3[takes]),0)</f>
        <v>0.5</v>
      </c>
      <c r="E13" s="14">
        <f>IF(OracleAbilities3[[#This Row],[takes]]&gt;0,OracleAbilities3[[#This Row],[wins]]/OracleAbilities3[[#This Row],[takes]],0)</f>
        <v>0.5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3" s="1">
        <f>COUNTIF(Scenario0[winner1-ability3],OracleAbilities3Scenario0[[#This Row],[ability]])+COUNTIF(Scenario0[winner2-ability3],OracleAbilities3Scenario0[[#This Row],[ability]])</f>
        <v>0</v>
      </c>
      <c r="N13" s="14">
        <f>IF(SUM(OracleAbilities3Scenario0[[#This Row],[takes]]) &gt; 0,OracleAbilities3Scenario0[[#This Row],[takes]]/SUM(OracleAbilities3Scenario0[takes]),0)</f>
        <v>0</v>
      </c>
      <c r="O13" s="14">
        <f>IF(OracleAbilities3Scenario0[[#This Row],[takes]]&gt;0,OracleAbilities3Scenario0[[#This Row],[wins]]/OracleAbilities3Scenario0[[#This Row],[takes]],0)</f>
        <v>0</v>
      </c>
      <c r="S13" s="18"/>
    </row>
    <row r="14" spans="1:22" x14ac:dyDescent="0.25">
      <c r="A14" s="2" t="s">
        <v>131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IF(SUM(OracleAbilities3[[#This Row],[takes]]) &gt; 0,OracleAbilities3[[#This Row],[takes]]/SUM(OracleAbilities3[takes]),0)</f>
        <v>0</v>
      </c>
      <c r="E14" s="12">
        <f>IF(OracleAbilities3[[#This Row],[takes]]&gt;0,OracleAbilities3[[#This Row],[wins]]/OracleAbilities3[[#This Row],[takes]],0)</f>
        <v>0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4" s="2">
        <f>COUNTIF(Scenario0[winner1-ability3],OracleAbilities3Scenario0[[#This Row],[ability]])+COUNTIF(Scenario0[winner2-ability3],OracleAbilities3Scenario0[[#This Row],[ability]])</f>
        <v>0</v>
      </c>
      <c r="N14" s="12">
        <f>IF(SUM(OracleAbilities3Scenario0[[#This Row],[takes]]) &gt; 0,OracleAbilities3Scenario0[[#This Row],[takes]]/SUM(OracleAbilities3Scenario0[takes]),0)</f>
        <v>0</v>
      </c>
      <c r="O14" s="12">
        <f>IF(OracleAbilities3Scenario0[[#This Row],[takes]]&gt;0,OracleAbilities3Scenario0[[#This Row],[wins]]/OracleAbilities3Scenario0[[#This Row],[takes]],0)</f>
        <v>0</v>
      </c>
      <c r="S14" s="18"/>
    </row>
    <row r="15" spans="1:22" x14ac:dyDescent="0.25">
      <c r="A15" s="11" t="s">
        <v>132</v>
      </c>
      <c r="B15" s="1">
        <f t="shared" si="6"/>
        <v>2</v>
      </c>
      <c r="C15" s="1">
        <f t="shared" si="7"/>
        <v>2</v>
      </c>
      <c r="D15" s="15">
        <f>IF(SUM(OracleAbilities3[[#This Row],[takes]]) &gt; 0,OracleAbilities3[[#This Row],[takes]]/SUM(OracleAbilities3[takes]),0)</f>
        <v>0.5</v>
      </c>
      <c r="E15" s="15">
        <f>IF(OracleAbilities3[[#This Row],[takes]]&gt;0,OracleAbilities3[[#This Row],[wins]]/OracleAbilities3[[#This Row],[takes]],0)</f>
        <v>1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5" s="1">
        <f>COUNTIF(Scenario0[winner1-ability3],OracleAbilities3Scenario0[[#This Row],[ability]])+COUNTIF(Scenario0[winner2-ability3],OracleAbilities3Scenario0[[#This Row],[ability]])</f>
        <v>0</v>
      </c>
      <c r="N15" s="15">
        <f>IF(SUM(OracleAbilities3Scenario0[[#This Row],[takes]]) &gt; 0,OracleAbilities3Scenario0[[#This Row],[takes]]/SUM(OracleAbilities3Scenario0[takes]),0)</f>
        <v>0</v>
      </c>
      <c r="O15" s="15">
        <f>IF(OracleAbilities3Scenario0[[#This Row],[takes]]&gt;0,OracleAbilities3Scenario0[[#This Row],[wins]]/OracleAbilities3Scenario0[[#This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0</v>
      </c>
      <c r="C18" s="2">
        <f>M18+M39+M60+M81+M102+M123</f>
        <v>0</v>
      </c>
      <c r="D18" s="12">
        <f>IF(SUM(OracleAbilities4[[#This Row],[takes]]) &gt; 0,OracleAbilities4[[#This Row],[takes]]/SUM(OracleAbilities4[takes]),0)</f>
        <v>0</v>
      </c>
      <c r="E18" s="12">
        <f>IF(OracleAbilities4[[#This Row],[takes]]&gt;0,OracleAbilities4[[#This Row],[wins]]/OracleAbilities4[[#This Row],[takes]],0)</f>
        <v>0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IF(SUM(OracleAbilities4[[#This Row],[takes]]) &gt; 0,OracleAbilities4[[#This Row],[takes]]/SUM(OracleAbilities4[takes]),0)</f>
        <v>0</v>
      </c>
      <c r="E19" s="12">
        <f>IF(OracleAbilities4[[#This Row],[takes]]&gt;0,OracleAbilities4[[#This Row],[wins]]/OracleAbilities4[[#This Row],[takes]],0)</f>
        <v>0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1</v>
      </c>
      <c r="C20" s="2">
        <f t="shared" si="9"/>
        <v>1</v>
      </c>
      <c r="D20" s="26">
        <f>IF(SUM(OracleAbilities4[[#This Row],[takes]]) &gt; 0,OracleAbilities4[[#This Row],[takes]]/SUM(OracleAbilities4[takes]),0)</f>
        <v>1</v>
      </c>
      <c r="E20" s="26">
        <f>IF(OracleAbilities4[[#This Row],[takes]]&gt;0,OracleAbilities4[[#This Row],[wins]]/OracleAbilities4[[#This Row],[takes]],0)</f>
        <v>1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4">
        <f>COUNTIF(Scenario1[winner1-ability1],OracleAbilities1Scenario1[[#This Row],[ability]])+COUNTIF(Scenario1[winner2-ability1],OracleAbilities1Scenario1[[#This Row],[ability]])</f>
        <v>0</v>
      </c>
      <c r="N24" s="3">
        <f>IF(SUM(OracleAbilities1Scenario1[[#This Row],[takes]]) &gt; 0,OracleAbilities1Scenario1[[#This Row],[takes]]/SUM(OracleAbilities1Scenario1[takes]),0)</f>
        <v>0</v>
      </c>
      <c r="O24" s="3">
        <f>IF(OracleAbilities1Scenario1[[#This Row],[takes]]&gt;0,OracleAbilities1Scenario1[[#This Row],[wins]]/OracleAbilities1Scenario1[[#This Row],[takes]],0)</f>
        <v>0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5">
        <f>COUNTIF(Scenario1[winner1-ability1],OracleAbilities1Scenario1[[#This Row],[ability]])+COUNTIF(Scenario1[winner2-ability1],OracleAbilities1Scenario1[[#This Row],[ability]])</f>
        <v>0</v>
      </c>
      <c r="N25" s="3">
        <f>IF(SUM(OracleAbilities1Scenario1[[#This Row],[takes]]) &gt; 0,OracleAbilities1Scenario1[[#This Row],[takes]]/SUM(OracleAbilities1Scenario1[takes]),0)</f>
        <v>0</v>
      </c>
      <c r="O25" s="3">
        <f>IF(OracleAbilities1Scenario1[[#This Row],[takes]]&gt;0,OracleAbilities1Scenario1[[#This Row],[wins]]/OracleAbilities1Scenario1[[#This Row],[takes]],0)</f>
        <v>0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</v>
      </c>
      <c r="M26">
        <f>COUNTIF(Scenario1[winner1-ability1],OracleAbilities1Scenario1[[#This Row],[ability]])+COUNTIF(Scenario1[winner2-ability1],OracleAbilities1Scenario1[[#This Row],[ability]])</f>
        <v>1</v>
      </c>
      <c r="N26" s="3">
        <f>IF(SUM(OracleAbilities1Scenario1[[#This Row],[takes]]) &gt; 0,OracleAbilities1Scenario1[[#This Row],[takes]]/SUM(OracleAbilities1Scenario1[takes]),0)</f>
        <v>1</v>
      </c>
      <c r="O26" s="3">
        <f>IF(OracleAbilities1Scenario1[[#This Row],[takes]]&gt;0,OracleAbilities1Scenario1[[#This Row],[wins]]/OracleAbilities1Scenario1[[#This Row],[takes]],0)</f>
        <v>1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29" s="2">
        <f>COUNTIF(Scenario1[winner1-ability2],OracleAbilities2Scenario1[[#This Row],[ability]])+COUNTIF(Scenario1[winner2-ability2],OracleAbilities2Scenario1[[#This Row],[ability]])</f>
        <v>0</v>
      </c>
      <c r="N29" s="12">
        <f>IF(SUM(OracleAbilities2Scenario1[[#This Row],[takes]]) &gt; 0,OracleAbilities2Scenario1[[#This Row],[takes]]/SUM(OracleAbilities2Scenario1[takes]),0)</f>
        <v>0</v>
      </c>
      <c r="O29" s="12">
        <f>IF(OracleAbilities2Scenario1[[#This Row],[takes]]&gt;0,OracleAbilities2Scenario1[[#This Row],[wins]]/OracleAbilities2Scenario1[[#This Row],[takes]],0)</f>
        <v>0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0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1" s="2">
        <f>COUNTIF(Scenario1[winner1-ability2],OracleAbilities2Scenario1[[#This Row],[ability]])+COUNTIF(Scenario1[winner2-ability2],OracleAbilities2Scenario1[[#This Row],[ability]])</f>
        <v>0</v>
      </c>
      <c r="N31" s="13">
        <f>IF(SUM(OracleAbilities2Scenario1[[#This Row],[takes]]) &gt; 0,OracleAbilities2Scenario1[[#This Row],[takes]]/SUM(OracleAbilities2Scenario1[takes]),0)</f>
        <v>0</v>
      </c>
      <c r="O31" s="13">
        <f>IF(OracleAbilities2Scenario1[[#This Row],[takes]]&gt;0,OracleAbilities2Scenario1[[#This Row],[wins]]/OracleAbilities2Scenario1[[#This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4">
        <f>IF(SUM(OracleAbilities3Scenario1[[#This Row],[takes]]) &gt; 0,OracleAbilities3Scenario1[[#This Row],[takes]]/SUM(OracleAbilities3Scenario1[takes]),0)</f>
        <v>0</v>
      </c>
      <c r="O34" s="14">
        <f>IF(OracleAbilities3Scenario1[[#This Row],[takes]]&gt;0,OracleAbilities3Scenario1[[#This Row],[wins]]/OracleAbilities3Scenario1[[#This Row],[takes]],0)</f>
        <v>0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5" s="2">
        <f>COUNTIF(Scenario1[winner1-ability3],OracleAbilities3Scenario1[[#This Row],[ability]])+COUNTIF(Scenario1[winner2-ability3],OracleAbilities3Scenario1[[#This Row],[ability]])</f>
        <v>0</v>
      </c>
      <c r="N35" s="12">
        <f>IF(SUM(OracleAbilities3Scenario1[[#This Row],[takes]]) &gt; 0,OracleAbilities3Scenario1[[#This Row],[takes]]/SUM(OracleAbilities3Scenario1[takes]),0)</f>
        <v>0</v>
      </c>
      <c r="O35" s="12">
        <f>IF(OracleAbilities3Scenario1[[#This Row],[takes]]&gt;0,OracleAbilities3Scenario1[[#This Row],[wins]]/OracleAbilities3Scenario1[[#This Row],[takes]],0)</f>
        <v>0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2">
        <f>IF(SUM(OracleAbilities4Scenario1[[#This Row],[takes]]) &gt; 0,OracleAbilities4Scenario1[[#This Row],[takes]]/SUM(OracleAbilities4Scenario1[takes]),0)</f>
        <v>0</v>
      </c>
      <c r="O39" s="12">
        <f>IF(OracleAbilities4Scenario1[[#This Row],[takes]]&gt;0,OracleAbilities4Scenario1[[#This Row],[wins]]/OracleAbilities4Scenario1[[#This Row],[takes]],0)</f>
        <v>0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3</v>
      </c>
      <c r="S45" s="18">
        <f>COUNTIFS(Scenario2[winner1],"oracle",Scenario2[winner1-cp],OracleEquipScenario2[[#This Row],[level]])+COUNTIFS(Scenario2[loser1],"oracle",Scenario2[loser1-cp],OracleEquipScenario2[[#This Row],[level]])</f>
        <v>5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2</v>
      </c>
      <c r="N46" s="3">
        <f>IF(SUM(OracleAbilities1Scenario2[[#This Row],[takes]]) &gt; 0,OracleAbilities1Scenario2[[#This Row],[takes]]/SUM(OracleAbilities1Scenario2[takes]),0)</f>
        <v>0.25</v>
      </c>
      <c r="O46" s="3">
        <f>IF(OracleAbilities1Scenario2[[#This Row],[takes]]&gt;0,OracleAbilities1Scenario2[[#This Row],[wins]]/OracleAbilities1Scenario2[[#This Row],[takes]],0)</f>
        <v>0.5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13</v>
      </c>
      <c r="S46" s="18">
        <f>COUNTIFS(Scenario2[winner1],"oracle",Scenario2[winner1-cp],OracleEquipScenario2[[#This Row],[level]])+COUNTIFS(Scenario2[loser1],"oracle",Scenario2[loser1-cp],OracleEquipScenario2[[#This Row],[level]])</f>
        <v>8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12</v>
      </c>
      <c r="M47">
        <f>COUNTIF(Scenario2[winner1-ability1],OracleAbilities1Scenario2[[#This Row],[ability]])</f>
        <v>3</v>
      </c>
      <c r="N47" s="3">
        <f>IF(SUM(OracleAbilities1Scenario2[[#This Row],[takes]]) &gt; 0,OracleAbilities1Scenario2[[#This Row],[takes]]/SUM(OracleAbilities1Scenario2[takes]),0)</f>
        <v>0.75</v>
      </c>
      <c r="O47" s="3">
        <f>IF(OracleAbilities1Scenario2[[#This Row],[takes]]&gt;0,OracleAbilities1Scenario2[[#This Row],[wins]]/OracleAbilities1Scenario2[[#This Row],[takes]],0)</f>
        <v>0.25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0</v>
      </c>
      <c r="S47" s="18">
        <f>COUNTIFS(Scenario2[winner1],"oracle",Scenario2[winner1-cp],OracleEquipScenario2[[#This Row],[level]])+COUNTIFS(Scenario2[loser1],"oracle",Scenario2[loser1-cp],OracleEquipScenario2[[#This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4</v>
      </c>
      <c r="M50" s="2">
        <f>COUNTIF(Scenario2[winner1-ability2],OracleAbilities2Scenario2[[#This Row],[ability]])</f>
        <v>2</v>
      </c>
      <c r="N50" s="12">
        <f>IF(SUM(OracleAbilities2Scenario2[[#This Row],[takes]]) &gt; 0,OracleAbilities2Scenario2[[#This Row],[takes]]/SUM(OracleAbilities2Scenario2[takes]),0)</f>
        <v>0.5</v>
      </c>
      <c r="O50" s="12">
        <f>IF(OracleAbilities2Scenario2[[#This Row],[takes]]&gt;0,OracleAbilities2Scenario2[[#This Row],[wins]]/OracleAbilities2Scenario2[[#This Row],[takes]],0)</f>
        <v>0.5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4</v>
      </c>
      <c r="M51" s="2">
        <f>COUNTIF(Scenario2[winner1-ability2],OracleAbilities2Scenario2[[#This Row],[ability]])</f>
        <v>2</v>
      </c>
      <c r="N51" s="3">
        <f>IF(SUM(OracleAbilities2Scenario2[[#This Row],[takes]]) &gt; 0,OracleAbilities2Scenario2[[#This Row],[takes]]/SUM(OracleAbilities2Scenario2[takes]),0)</f>
        <v>0.5</v>
      </c>
      <c r="O51" s="3">
        <f>IF(OracleAbilities2Scenario2[[#This Row],[takes]]&gt;0,OracleAbilities2Scenario2[[#This Row],[wins]]/OracleAbilities2Scenario2[[#This Row],[takes]],0)</f>
        <v>0.5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0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2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0.5</v>
      </c>
      <c r="O55" s="14">
        <f>IF(OracleAbilities3Scenario2[[#This Row],[takes]]&gt;0,OracleAbilities3Scenario2[[#This Row],[wins]]/OracleAbilities3Scenario2[[#This Row],[takes]],0)</f>
        <v>0.5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0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2</v>
      </c>
      <c r="M57" s="1">
        <f>COUNTIF(Scenario2[winner1-ability3],OracleAbilities3Scenario2[[#This Row],[ability]])</f>
        <v>2</v>
      </c>
      <c r="N57" s="15">
        <f>IF(SUM(OracleAbilities3Scenario2[[#This Row],[takes]]) &gt; 0,OracleAbilities3Scenario2[[#This Row],[takes]]/SUM(OracleAbilities3Scenario2[takes]),0)</f>
        <v>0.5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1</v>
      </c>
      <c r="M62" s="25">
        <f>COUNTIF(Scenario2[winner1-ability4],OracleAbilities4Scenario2[[#This Row],[ability]])</f>
        <v>1</v>
      </c>
      <c r="N62" s="26">
        <f>IF(SUM(OracleAbilities4Scenario2[[#This Row],[takes]]) &gt; 0,OracleAbilities4Scenario2[[#This Row],[takes]]/SUM(OracleAbilities4Scenario2[takes]),0)</f>
        <v>1</v>
      </c>
      <c r="O62" s="26">
        <f>IF(OracleAbilities4Scenario2[[#This Row],[takes]]&gt;0,OracleAbilities4Scenario2[[#This Row],[wins]]/OracleAbilities4Scenario2[[#This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0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8">
        <f>COUNTIF(Scenario3[winner1-ability1],OracleAbilities1Scenario3[[#This Row],[ability]])</f>
        <v>0</v>
      </c>
      <c r="N68" s="3">
        <f>IF(SUM(OracleAbilities1Scenario3[[#This Row],[takes]]) &gt; 0,OracleAbilities1Scenario3[[#This Row],[takes]]/SUM(OracleAbilities1Scenario3[takes]),0)</f>
        <v>0</v>
      </c>
      <c r="O68" s="3">
        <f>IF(OracleAbilities1Scenario3[[#This Row],[takes]]&gt;0,OracleAbilities1Scenario3[[#This Row],[wins]]/OracleAbilities1Scenario3[[#This Row],[takes]],0)</f>
        <v>0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1" s="2">
        <f>COUNTIF(Scenario3[winner1-ability2],OracleAbilities2Scenario3[[#This Row],[ability]])</f>
        <v>0</v>
      </c>
      <c r="N71" s="12">
        <f>IF(SUM(OracleAbilities2Scenario3[[#This Row],[takes]]) &gt; 0,OracleAbilities2Scenario3[[#This Row],[takes]]/SUM(OracleAbilities2Scenario3[takes]),0)</f>
        <v>0</v>
      </c>
      <c r="O71" s="12">
        <f>IF(OracleAbilities2Scenario3[[#This Row],[takes]]&gt;0,OracleAbilities2Scenario3[[#This Row],[wins]]/OracleAbilities2Scenario3[[#This Row],[takes]],0)</f>
        <v>0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2" s="2">
        <f>COUNTIF(Scenario3[winner1-ability2],OracleAbilities2Scenario3[[#This Row],[ability]])</f>
        <v>0</v>
      </c>
      <c r="N72" s="3">
        <f>IF(SUM(OracleAbilities2Scenario3[[#This Row],[takes]]) &gt; 0,OracleAbilities2Scenario3[[#This Row],[takes]]/SUM(OracleAbilities2Scenario3[takes]),0)</f>
        <v>0</v>
      </c>
      <c r="O72" s="3">
        <f>IF(OracleAbilities2Scenario3[[#This Row],[takes]]&gt;0,OracleAbilities2Scenario3[[#This Row],[wins]]/OracleAbilities2Scenario3[[#This Row],[takes]],0)</f>
        <v>0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6" s="1">
        <f>COUNTIF(Scenario3[winner1-ability3],OracleAbilities3Scenario3[[#This Row],[ability]])</f>
        <v>0</v>
      </c>
      <c r="N76" s="14">
        <f>IF(SUM(OracleAbilities3Scenario3[[#This Row],[takes]]) &gt; 0,OracleAbilities3Scenario3[[#This Row],[takes]]/SUM(OracleAbilities3Scenario3[takes]),0)</f>
        <v>0</v>
      </c>
      <c r="O76" s="14">
        <f>IF(OracleAbilities3Scenario3[[#This Row],[takes]]&gt;0,OracleAbilities3Scenario3[[#This Row],[wins]]/OracleAbilities3Scenario3[[#This Row],[takes]],0)</f>
        <v>0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0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3" s="2">
        <f>COUNTIF(Scenario3[winner1-ability4],OracleAbilities4Scenario3[[#This Row],[ability]])</f>
        <v>0</v>
      </c>
      <c r="N83" s="26">
        <f>IF(SUM(OracleAbilities4Scenario3[[#This Row],[takes]]) &gt; 0,OracleAbilities4Scenario3[[#This Row],[takes]]/SUM(OracleAbilities4Scenario3[takes]),0)</f>
        <v>0</v>
      </c>
      <c r="O83" s="26">
        <f>IF(OracleAbilities4Scenario3[[#This Row],[takes]]&gt;0,OracleAbilities4Scenario3[[#This Row],[wins]]/OracleAbilities4Scenario3[[#This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9">
        <f>COUNTIF(Scenario4[winner1-ability1],OracleAbilities1Scenario4[[#This Row],[ability]])</f>
        <v>0</v>
      </c>
      <c r="N89" s="3">
        <f>IF(SUM(OracleAbilities1Scenario4[[#This Row],[takes]]) &gt; 0,OracleAbilities1Scenario4[[#This Row],[takes]]/SUM(OracleAbilities1Scenario4[takes]),0)</f>
        <v>0</v>
      </c>
      <c r="O89" s="3">
        <f>IF(OracleAbilities1Scenario4[[#This Row],[takes]]&gt;0,OracleAbilities1Scenario4[[#This Row],[wins]]/OracleAbilities1Scenario4[[#This Row],[takes]],0)</f>
        <v>0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3" s="2">
        <f>COUNTIF(Scenario4[winner1-ability2],OracleAbilities2Scenario4[[#This Row],[ability]])</f>
        <v>0</v>
      </c>
      <c r="N93" s="3">
        <f>IF(SUM(OracleAbilities2Scenario4[[#This Row],[takes]]) &gt; 0,OracleAbilities2Scenario4[[#This Row],[takes]]/SUM(OracleAbilities2Scenario4[takes]),0)</f>
        <v>0</v>
      </c>
      <c r="O93" s="3">
        <f>IF(OracleAbilities2Scenario4[[#This Row],[takes]]&gt;0,OracleAbilities2Scenario4[[#This Row],[wins]]/OracleAbilities2Scenario4[[#This Row],[takes]],0)</f>
        <v>0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7" s="1">
        <f>COUNTIF(Scenario4[winner1-ability3],OracleAbilities3Scenario4[[#This Row],[ability]])</f>
        <v>0</v>
      </c>
      <c r="N97" s="14">
        <f>IF(SUM(OracleAbilities3Scenario4[[#This Row],[takes]]) &gt; 0,OracleAbilities3Scenario4[[#This Row],[takes]]/SUM(OracleAbilities3Scenario4[takes]),0)</f>
        <v>0</v>
      </c>
      <c r="O97" s="14">
        <f>IF(OracleAbilities3Scenario4[[#This Row],[takes]]&gt;0,OracleAbilities3Scenario4[[#This Row],[wins]]/OracleAbilities3Scenario4[[#This Row],[takes]],0)</f>
        <v>0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8" s="2">
        <f>COUNTIF(Scenario4[winner1-ability3],OracleAbilities3Scenario4[[#This Row],[ability]])</f>
        <v>0</v>
      </c>
      <c r="N98" s="12">
        <f>IF(SUM(OracleAbilities3Scenario4[[#This Row],[takes]]) &gt; 0,OracleAbilities3Scenario4[[#This Row],[takes]]/SUM(OracleAbilities3Scenario4[takes]),0)</f>
        <v>0</v>
      </c>
      <c r="O98" s="12">
        <f>IF(OracleAbilities3Scenario4[[#This Row],[takes]]&gt;0,OracleAbilities3Scenario4[[#This Row],[wins]]/OracleAbilities3Scenario4[[#This Row],[takes]],0)</f>
        <v>0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9" s="1">
        <f>COUNTIF(Scenario4[winner1-ability3],OracleAbilities3Scenario4[[#This Row],[ability]])</f>
        <v>0</v>
      </c>
      <c r="N99" s="15">
        <f>IF(SUM(OracleAbilities3Scenario4[[#This Row],[takes]]) &gt; 0,OracleAbilities3Scenario4[[#This Row],[takes]]/SUM(OracleAbilities3Scenario4[takes]),0)</f>
        <v>0</v>
      </c>
      <c r="O99" s="15">
        <f>IF(OracleAbilities3Scenario4[[#This Row],[takes]]&gt;0,OracleAbilities3Scenario4[[#This Row],[wins]]/OracleAbilities3Scenario4[[#This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2" s="2">
        <f>COUNTIF(Scenario4[winner1-ability4],OracleAbilities4Scenario4[[#This Row],[ability]])</f>
        <v>0</v>
      </c>
      <c r="N102" s="12">
        <f>IF(SUM(OracleAbilities4Scenario4[[#This Row],[takes]]) &gt; 0,OracleAbilities4Scenario4[[#This Row],[takes]]/SUM(OracleAbilities4Scenario4[takes]),0)</f>
        <v>0</v>
      </c>
      <c r="O102" s="12">
        <f>IF(OracleAbilities4Scenario4[[#This Row],[takes]]&gt;0,OracleAbilities4Scenario4[[#This Row],[wins]]/OracleAbilities4Scenario4[[#This Row],[takes]],0)</f>
        <v>0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4" s="2">
        <f>COUNTIF(Scenario4[winner1-ability4],OracleAbilities4Scenario4[[#This Row],[ability]])</f>
        <v>0</v>
      </c>
      <c r="N104" s="26">
        <f>IF(SUM(OracleAbilities4Scenario4[[#This Row],[takes]]) &gt; 0,OracleAbilities4Scenario4[[#This Row],[takes]]/SUM(OracleAbilities4Scenario4[takes]),0)</f>
        <v>0</v>
      </c>
      <c r="O104" s="26">
        <f>IF(OracleAbilities4Scenario4[[#This Row],[takes]]&gt;0,OracleAbilities4Scenario4[[#This Row],[wins]]/OracleAbilities4Scenario4[[#This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0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0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9">
        <f>COUNTIF(Scenario5[winner1-ability1],OracleAbilities1Scenario5[[#This Row],[ability]])+COUNTIF(Scenario5[winner2-ability1],OracleAbilities1Scenario5[[#This Row],[ability]])</f>
        <v>0</v>
      </c>
      <c r="N109" s="3">
        <f>IF(SUM(OracleAbilities1Scenario5[[#This Row],[takes]]) &gt; 0,OracleAbilities1Scenario5[[#This Row],[takes]]/SUM(OracleAbilities1Scenario5[takes]),0)</f>
        <v>0</v>
      </c>
      <c r="O109" s="3">
        <f>IF(OracleAbilities1Scenario5[[#This Row],[takes]]&gt;0,OracleAbilities1Scenario5[[#This Row],[wins]]/OracleAbilities1Scenario5[[#This Row],[takes]],0)</f>
        <v>0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0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0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10">
        <f>COUNTIF(Scenario5[winner1-ability1],OracleAbilities1Scenario5[[#This Row],[ability]])+COUNTIF(Scenario5[winner2-ability1],OracleAbilities1Scenario5[[#This Row],[ability]])</f>
        <v>0</v>
      </c>
      <c r="N110" s="3">
        <f>IF(SUM(OracleAbilities1Scenario5[[#This Row],[takes]]) &gt; 0,OracleAbilities1Scenario5[[#This Row],[takes]]/SUM(OracleAbilities1Scenario5[takes]),0)</f>
        <v>0</v>
      </c>
      <c r="O110" s="3">
        <f>IF(OracleAbilities1Scenario5[[#This Row],[takes]]&gt;0,OracleAbilities1Scenario5[[#This Row],[wins]]/OracleAbilities1Scenario5[[#This Row],[takes]],0)</f>
        <v>0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0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3" s="2">
        <f>COUNTIF(Scenario5[winner1-ability2],OracleAbilities2Scenario5[[#This Row],[ability]])+COUNTIF(Scenario5[winner2-ability2],OracleAbilities2Scenario5[[#This Row],[ability]])</f>
        <v>0</v>
      </c>
      <c r="N113" s="12">
        <f>IF(SUM(OracleAbilities2Scenario5[[#This Row],[takes]]) &gt; 0,OracleAbilities2Scenario5[[#This Row],[takes]]/SUM(OracleAbilities2Scenario5[takes]),0)</f>
        <v>0</v>
      </c>
      <c r="O113" s="12">
        <f>IF(OracleAbilities2Scenario5[[#This Row],[takes]]&gt;0,OracleAbilities2Scenario5[[#This Row],[wins]]/OracleAbilities2Scenario5[[#This Row],[takes]],0)</f>
        <v>0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4" s="2">
        <f>COUNTIF(Scenario5[winner1-ability2],OracleAbilities2Scenario5[[#This Row],[ability]])+COUNTIF(Scenario5[winner2-ability2],OracleAbilities2Scenario5[[#This Row],[ability]])</f>
        <v>0</v>
      </c>
      <c r="N114" s="3">
        <f>IF(SUM(OracleAbilities2Scenario5[[#This Row],[takes]]) &gt; 0,OracleAbilities2Scenario5[[#This Row],[takes]]/SUM(OracleAbilities2Scenario5[takes]),0)</f>
        <v>0</v>
      </c>
      <c r="O114" s="3">
        <f>IF(OracleAbilities2Scenario5[[#This Row],[takes]]&gt;0,OracleAbilities2Scenario5[[#This Row],[wins]]/OracleAbilities2Scenario5[[#This Row],[takes]],0)</f>
        <v>0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0</v>
      </c>
      <c r="M115" s="2">
        <f>COUNTIF(Scenario5[winner1-ability2],OracleAbilities2Scenario5[[#This Row],[ability]])+COUNTIF(Scenario5[winner2-ability2],OracleAbilities2Scenario5[[#This Row],[ability]])</f>
        <v>0</v>
      </c>
      <c r="N115" s="13">
        <f>IF(SUM(OracleAbilities2Scenario5[[#This Row],[takes]]) &gt; 0,OracleAbilities2Scenario5[[#This Row],[takes]]/SUM(OracleAbilities2Scenario5[takes]),0)</f>
        <v>0</v>
      </c>
      <c r="O115" s="13">
        <f>IF(OracleAbilities2Scenario5[[#This Row],[takes]]&gt;0,OracleAbilities2Scenario5[[#This Row],[wins]]/OracleAbilities2Scenario5[[#This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18" s="1">
        <f>COUNTIF(Scenario5[winner1-ability3],OracleAbilities3Scenario5[[#This Row],[ability]])+COUNTIF(Scenario5[winner2-ability3],OracleAbilities3Scenario5[[#This Row],[ability]])</f>
        <v>0</v>
      </c>
      <c r="N118" s="14">
        <f>IF(SUM(OracleAbilities3Scenario5[[#This Row],[takes]]) &gt; 0,OracleAbilities3Scenario5[[#This Row],[takes]]/SUM(OracleAbilities3Scenario5[takes]),0)</f>
        <v>0</v>
      </c>
      <c r="O118" s="14">
        <f>IF(OracleAbilities3Scenario5[[#This Row],[takes]]&gt;0,OracleAbilities3Scenario5[[#This Row],[wins]]/OracleAbilities3Scenario5[[#This Row],[takes]],0)</f>
        <v>0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19" s="2">
        <f>COUNTIF(Scenario5[winner1-ability3],OracleAbilities3Scenario5[[#This Row],[ability]])+COUNTIF(Scenario5[winner2-ability3],OracleAbilities3Scenario5[[#This Row],[ability]])</f>
        <v>0</v>
      </c>
      <c r="N119" s="12">
        <f>IF(SUM(OracleAbilities3Scenario5[[#This Row],[takes]]) &gt; 0,OracleAbilities3Scenario5[[#This Row],[takes]]/SUM(OracleAbilities3Scenario5[takes]),0)</f>
        <v>0</v>
      </c>
      <c r="O119" s="12">
        <f>IF(OracleAbilities3Scenario5[[#This Row],[takes]]&gt;0,OracleAbilities3Scenario5[[#This Row],[wins]]/OracleAbilities3Scenario5[[#This Row],[takes]],0)</f>
        <v>0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20" s="1">
        <f>COUNTIF(Scenario5[winner1-ability3],OracleAbilities3Scenario5[[#This Row],[ability]])+COUNTIF(Scenario5[winner2-ability3],OracleAbilities3Scenario5[[#This Row],[ability]])</f>
        <v>0</v>
      </c>
      <c r="N120" s="15">
        <f>IF(SUM(OracleAbilities3Scenario5[[#This Row],[takes]]) &gt; 0,OracleAbilities3Scenario5[[#This Row],[takes]]/SUM(OracleAbilities3Scenario5[takes]),0)</f>
        <v>0</v>
      </c>
      <c r="O120" s="15">
        <f>IF(OracleAbilities3Scenario5[[#This Row],[takes]]&gt;0,OracleAbilities3Scenario5[[#This Row],[wins]]/OracleAbilities3Scenario5[[#This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3" s="2">
        <f>COUNTIF(Scenario5[winner1-ability4],OracleAbilities4Scenario5[[#This Row],[ability]])+COUNTIF(Scenario5[winner2-ability4],OracleAbilities4Scenario5[[#This Row],[ability]])</f>
        <v>0</v>
      </c>
      <c r="N123" s="12">
        <f>IF(SUM(OracleAbilities4Scenario5[[#This Row],[takes]]) &gt; 0,OracleAbilities4Scenario5[[#This Row],[takes]]/SUM(OracleAbilities4Scenario5[takes]),0)</f>
        <v>0</v>
      </c>
      <c r="O123" s="12">
        <f>IF(OracleAbilities4Scenario5[[#This Row],[takes]]&gt;0,OracleAbilities4Scenario5[[#This Row],[wins]]/OracleAbilities4Scenario5[[#This Row],[takes]],0)</f>
        <v>0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0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5" s="2">
        <f>COUNTIF(Scenario5[winner1-ability4],OracleAbilities4Scenario5[[#This Row],[ability]])+COUNTIF(Scenario5[winner2-ability4],OracleAbilities4Scenario5[[#This Row],[ability]])</f>
        <v>0</v>
      </c>
      <c r="N125" s="26">
        <f>IF(SUM(OracleAbilities4Scenario5[[#This Row],[takes]]) &gt; 0,OracleAbilities4Scenario5[[#This Row],[takes]]/SUM(OracleAbilities4Scenario5[takes]),0)</f>
        <v>0</v>
      </c>
      <c r="O125" s="26">
        <f>IF(OracleAbilities4Scenario5[[#This Row],[takes]]&gt;0,OracleAbilities4Scenario5[[#This Row],[wins]]/OracleAbilities4Scenario5[[#This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4" sqref="E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0.23529411764705882</v>
      </c>
    </row>
    <row r="3" spans="1:22" x14ac:dyDescent="0.25">
      <c r="A3" t="s">
        <v>44</v>
      </c>
      <c r="B3">
        <f>L3+L24+L45+L66+L87+L108</f>
        <v>1</v>
      </c>
      <c r="C3">
        <f>M3+M24+M45+M66+M87+M108</f>
        <v>0</v>
      </c>
      <c r="D3" s="3">
        <f>IF(SUM(AvatarAbilities1[[#This Row],[takes]]) &gt; 0,AvatarAbilities1[[#This Row],[takes]]/SUM(AvatarAbilities1[takes]),0)</f>
        <v>5.8823529411764705E-2</v>
      </c>
      <c r="E3" s="3">
        <f>IF(AvatarAbilities1[[#This Row],[takes]]&gt;0,AvatarAbilities1[[#This Row],[wins]]/AvatarAbilities1[[#This Row],[takes]],0)</f>
        <v>0</v>
      </c>
      <c r="G3">
        <v>1</v>
      </c>
      <c r="H3">
        <f>R3+R24+R45+R66+R87+R108</f>
        <v>1</v>
      </c>
      <c r="I3" s="18">
        <f>S3+S24+S45+S66+S87+S108</f>
        <v>9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3" t="s">
        <v>200</v>
      </c>
      <c r="V3" s="16">
        <f>H5/SUM(AvatarEquip[bracers])</f>
        <v>0.70588235294117652</v>
      </c>
    </row>
    <row r="4" spans="1:22" x14ac:dyDescent="0.25">
      <c r="A4" t="s">
        <v>135</v>
      </c>
      <c r="B4">
        <f t="shared" ref="B4:B5" si="0">L4+L25+L46+L67+L88+L109</f>
        <v>16</v>
      </c>
      <c r="C4">
        <f t="shared" ref="C4:C5" si="1">M4+M25+M46+M67+M88+M109</f>
        <v>8</v>
      </c>
      <c r="D4" s="3">
        <f>IF(SUM(AvatarAbilities1[[#This Row],[takes]]) &gt; 0,AvatarAbilities1[[#This Row],[takes]]/SUM(AvatarAbilities1[takes]),0)</f>
        <v>0.94117647058823528</v>
      </c>
      <c r="E4" s="3">
        <f>IF(AvatarAbilities1[[#This Row],[takes]]&gt;0,AvatarAbilities1[[#This Row],[wins]]/AvatarAbilities1[[#This Row],[takes]],0)</f>
        <v>0.5</v>
      </c>
      <c r="G4">
        <v>2</v>
      </c>
      <c r="H4">
        <f t="shared" ref="H4:H5" si="2">R4+R25+R46+R67+R88+R109</f>
        <v>4</v>
      </c>
      <c r="I4" s="18">
        <f t="shared" ref="I4:I5" si="3">S4+S25+S46+S67+S88+S109</f>
        <v>2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4">
        <f>COUNTIF(Scenario0[winner1-ability1],AvatarAbilities1Scenario0[[#This Row],[ability]])+COUNTIF(Scenario0[winner2-ability1],AvatarAbilities1Scenario0[[#This Row],[ability]])</f>
        <v>0</v>
      </c>
      <c r="N4" s="3">
        <f>IF(SUM(AvatarAbilities1Scenario0[[#This Row],[takes]]) &gt; 0,AvatarAbilities1Scenario0[[#This Row],[takes]]/SUM(AvatarAbilities1Scenario0[takes]),0)</f>
        <v>0</v>
      </c>
      <c r="O4" s="3">
        <f>IF(AvatarAbilities1Scenario0[[#This Row],[takes]]&gt;0,AvatarAbilities1Scenario0[[#This Row],[wins]]/AvatarAbilities1Scenario0[[#This Row],[takes]],0)</f>
        <v>0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4" t="s">
        <v>179</v>
      </c>
      <c r="V4" s="3">
        <f>AvatarEquip[[#This Row],[chestpiece]]/SUM(AvatarEquip[chestpiece])</f>
        <v>0.11764705882352941</v>
      </c>
    </row>
    <row r="5" spans="1:22" x14ac:dyDescent="0.25">
      <c r="A5" t="s">
        <v>73</v>
      </c>
      <c r="B5">
        <f t="shared" si="0"/>
        <v>0</v>
      </c>
      <c r="C5">
        <f t="shared" si="1"/>
        <v>0</v>
      </c>
      <c r="D5" s="3">
        <f>IF(SUM(AvatarAbilities1[[#This Row],[takes]]) &gt; 0,AvatarAbilities1[[#This Row],[takes]]/SUM(AvatarAbilities1[takes]),0)</f>
        <v>0</v>
      </c>
      <c r="E5" s="3">
        <f>IF(AvatarAbilities1[[#This Row],[takes]]&gt;0,AvatarAbilities1[[#This Row],[wins]]/AvatarAbilities1[[#This Row],[takes]],0)</f>
        <v>0</v>
      </c>
      <c r="G5">
        <v>3</v>
      </c>
      <c r="H5">
        <f t="shared" si="2"/>
        <v>12</v>
      </c>
      <c r="I5" s="18">
        <f t="shared" si="3"/>
        <v>6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0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5" t="s">
        <v>180</v>
      </c>
      <c r="V5" s="16">
        <f>AvatarEquip[[#This Row],[chestpiece]]/SUM(AvatarEquip[chestpiece])</f>
        <v>0.35294117647058826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0.82352941176470584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0.6470588235294118</v>
      </c>
    </row>
    <row r="8" spans="1:22" x14ac:dyDescent="0.25">
      <c r="A8" s="2" t="s">
        <v>74</v>
      </c>
      <c r="B8" s="2">
        <f>L8+L29+L50+L71+L92+L113</f>
        <v>6</v>
      </c>
      <c r="C8" s="2">
        <f>M8+M29+M50+M71+M92+M113</f>
        <v>2</v>
      </c>
      <c r="D8" s="12">
        <f>IF(SUM(AvatarAbilities2[[#This Row],[takes]]) &gt; 0,AvatarAbilities2[[#This Row],[takes]]/SUM(AvatarAbilities2[takes]),0)</f>
        <v>0.42857142857142855</v>
      </c>
      <c r="E8" s="12">
        <f>IF(AvatarAbilities2[[#This Row],[takes]]&gt;0,AvatarAbilities2[[#This Row],[wins]]/AvatarAbilities2[[#This Row],[takes]],0)</f>
        <v>0.33333333333333331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8" s="2">
        <f>COUNTIF(Scenario0[winner1-ability2],AvatarAbilities2Scenario0[[#This Row],[ability]])+COUNTIF(Scenario0[winner2-ability2],AvatarAbilities2Scenario0[[#This Row],[ability]])</f>
        <v>0</v>
      </c>
      <c r="N8" s="12">
        <f>IF(SUM(AvatarAbilities2Scenario0[[#This Row],[takes]]) &gt; 0,AvatarAbilities2Scenario0[[#This Row],[takes]]/SUM(AvatarAbilities2Scenario0[takes]),0)</f>
        <v>0</v>
      </c>
      <c r="O8" s="12">
        <f>IF(AvatarAbilities2Scenario0[[#This Row],[takes]]&gt;0,AvatarAbilities2Scenario0[[#This Row],[wins]]/AvatarAbilities2Scenario0[[#This Row],[takes]],0)</f>
        <v>0</v>
      </c>
      <c r="S8" s="18"/>
      <c r="U8" t="s">
        <v>178</v>
      </c>
      <c r="V8" s="16">
        <f>SUM(AvatarAbilities4[takes])/SUM(AvatarAbilities1[takes])</f>
        <v>0.41176470588235292</v>
      </c>
    </row>
    <row r="9" spans="1:22" x14ac:dyDescent="0.25">
      <c r="A9" t="s">
        <v>136</v>
      </c>
      <c r="B9" s="2">
        <f t="shared" ref="B9:B10" si="4">L9+L30+L51+L72+L93+L114</f>
        <v>8</v>
      </c>
      <c r="C9" s="2">
        <f t="shared" ref="C9:C10" si="5">M9+M30+M51+M72+M93+M114</f>
        <v>4</v>
      </c>
      <c r="D9" s="3">
        <f>IF(SUM(AvatarAbilities2[[#This Row],[takes]]) &gt; 0,AvatarAbilities2[[#This Row],[takes]]/SUM(AvatarAbilities2[takes]),0)</f>
        <v>0.5714285714285714</v>
      </c>
      <c r="E9" s="3">
        <f>IF(AvatarAbilities2[[#This Row],[takes]]&gt;0,AvatarAbilities2[[#This Row],[wins]]/AvatarAbilities2[[#This Row],[takes]],0)</f>
        <v>0.5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9" s="2">
        <f>COUNTIF(Scenario0[winner1-ability2],AvatarAbilities2Scenario0[[#This Row],[ability]])+COUNTIF(Scenario0[winner2-ability2],AvatarAbilities2Scenario0[[#This Row],[ability]])</f>
        <v>0</v>
      </c>
      <c r="N9" s="3">
        <f>IF(SUM(AvatarAbilities2Scenario0[[#This Row],[takes]]) &gt; 0,AvatarAbilities2Scenario0[[#This Row],[takes]]/SUM(AvatarAbilities2Scenario0[takes]),0)</f>
        <v>0</v>
      </c>
      <c r="O9" s="3">
        <f>IF(AvatarAbilities2Scenario0[[#This Row],[takes]]&gt;0,AvatarAbilities2Scenario0[[#This Row],[wins]]/AvatarAbilities2Scenario0[[#This Row],[takes]],0)</f>
        <v>0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3.2941176470588234</v>
      </c>
    </row>
    <row r="10" spans="1:22" x14ac:dyDescent="0.25">
      <c r="A10" s="10" t="s">
        <v>99</v>
      </c>
      <c r="B10" s="2">
        <f t="shared" si="4"/>
        <v>0</v>
      </c>
      <c r="C10" s="2">
        <f t="shared" si="5"/>
        <v>0</v>
      </c>
      <c r="D10" s="13">
        <f>IF(SUM(AvatarAbilities2[[#This Row],[takes]]) &gt; 0,AvatarAbilities2[[#This Row],[takes]]/SUM(AvatarAbilities2[takes]),0)</f>
        <v>0</v>
      </c>
      <c r="E10" s="13">
        <f>IF(AvatarAbilities2[[#This Row],[takes]]&gt;0,AvatarAbilities2[[#This Row],[wins]]/AvatarAbilities2[[#This Row],[takes]],0)</f>
        <v>0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10" s="2">
        <f>COUNTIF(Scenario0[winner1-ability2],AvatarAbilities2Scenario0[[#This Row],[ability]])+COUNTIF(Scenario0[winner2-ability2],AvatarAbilities2Scenario0[[#This Row],[ability]])</f>
        <v>0</v>
      </c>
      <c r="N10" s="13">
        <f>IF(SUM(AvatarAbilities2Scenario0[[#This Row],[takes]]) &gt; 0,AvatarAbilities2Scenario0[[#This Row],[takes]]/SUM(AvatarAbilities2Scenario0[takes]),0)</f>
        <v>0</v>
      </c>
      <c r="O10" s="13">
        <f>IF(AvatarAbilities2Scenario0[[#This Row],[takes]]&gt;0,AvatarAbilities2Scenario0[[#This Row],[wins]]/AvatarAbilities2Scenario0[[#This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10</v>
      </c>
      <c r="C13" s="1">
        <f>M13+M34+M55+M76+M97+M118</f>
        <v>4</v>
      </c>
      <c r="D13" s="14">
        <f>IF(SUM(AvatarAbilities3[[#This Row],[takes]]) &gt; 0,AvatarAbilities3[[#This Row],[takes]]/SUM(AvatarAbilities3[takes]),0)</f>
        <v>0.90909090909090906</v>
      </c>
      <c r="E13" s="14">
        <f>IF(AvatarAbilities3[[#This Row],[takes]]&gt;0,AvatarAbilities3[[#This Row],[wins]]/AvatarAbilities3[[#This Row],[takes]],0)</f>
        <v>0.4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3" s="1">
        <f>COUNTIF(Scenario0[winner1-ability3],AvatarAbilities3Scenario0[[#This Row],[ability]])+COUNTIF(Scenario0[winner2-ability3],AvatarAbilities3Scenario0[[#This Row],[ability]])</f>
        <v>0</v>
      </c>
      <c r="N13" s="14">
        <f>IF(SUM(AvatarAbilities3Scenario0[[#This Row],[takes]]) &gt; 0,AvatarAbilities3Scenario0[[#This Row],[takes]]/SUM(AvatarAbilities3Scenario0[takes]),0)</f>
        <v>0</v>
      </c>
      <c r="O13" s="14">
        <f>IF(AvatarAbilities3Scenario0[[#This Row],[takes]]&gt;0,AvatarAbilities3Scenario0[[#This Row],[wins]]/AvatarAbilities3Scenario0[[#This Row],[takes]],0)</f>
        <v>0</v>
      </c>
      <c r="S13" s="18"/>
    </row>
    <row r="14" spans="1:22" x14ac:dyDescent="0.25">
      <c r="A14" s="2" t="s">
        <v>100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IF(SUM(AvatarAbilities3[[#This Row],[takes]]) &gt; 0,AvatarAbilities3[[#This Row],[takes]]/SUM(AvatarAbilities3[takes]),0)</f>
        <v>0</v>
      </c>
      <c r="E14" s="12">
        <f>IF(AvatarAbilities3[[#This Row],[takes]]&gt;0,AvatarAbilities3[[#This Row],[wins]]/AvatarAbilities3[[#This Row],[takes]],0)</f>
        <v>0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4" s="2">
        <f>COUNTIF(Scenario0[winner1-ability3],AvatarAbilities3Scenario0[[#This Row],[ability]])+COUNTIF(Scenario0[winner2-ability3],AvatarAbilities3Scenario0[[#This Row],[ability]])</f>
        <v>0</v>
      </c>
      <c r="N14" s="12">
        <f>IF(SUM(AvatarAbilities3Scenario0[[#This Row],[takes]]) &gt; 0,AvatarAbilities3Scenario0[[#This Row],[takes]]/SUM(AvatarAbilities3Scenario0[takes]),0)</f>
        <v>0</v>
      </c>
      <c r="O14" s="12">
        <f>IF(AvatarAbilities3Scenario0[[#This Row],[takes]]&gt;0,AvatarAbilities3Scenario0[[#This Row],[wins]]/AvatarAbilities3Scenario0[[#This Row],[takes]],0)</f>
        <v>0</v>
      </c>
      <c r="S14" s="18"/>
    </row>
    <row r="15" spans="1:22" x14ac:dyDescent="0.25">
      <c r="A15" s="11" t="s">
        <v>75</v>
      </c>
      <c r="B15" s="1">
        <f t="shared" si="6"/>
        <v>1</v>
      </c>
      <c r="C15" s="1">
        <f t="shared" si="7"/>
        <v>1</v>
      </c>
      <c r="D15" s="15">
        <f>IF(SUM(AvatarAbilities3[[#This Row],[takes]]) &gt; 0,AvatarAbilities3[[#This Row],[takes]]/SUM(AvatarAbilities3[takes]),0)</f>
        <v>9.0909090909090912E-2</v>
      </c>
      <c r="E15" s="15">
        <f>IF(AvatarAbilities3[[#This Row],[takes]]&gt;0,AvatarAbilities3[[#This Row],[wins]]/AvatarAbilities3[[#This Row],[takes]],0)</f>
        <v>1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5" s="1">
        <f>COUNTIF(Scenario0[winner1-ability3],AvatarAbilities3Scenario0[[#This Row],[ability]])+COUNTIF(Scenario0[winner2-ability3],AvatarAbilities3Scenario0[[#This Row],[ability]])</f>
        <v>0</v>
      </c>
      <c r="N15" s="15">
        <f>IF(SUM(AvatarAbilities3Scenario0[[#This Row],[takes]]) &gt; 0,AvatarAbilities3Scenario0[[#This Row],[takes]]/SUM(AvatarAbilities3Scenario0[takes]),0)</f>
        <v>0</v>
      </c>
      <c r="O15" s="15">
        <f>IF(AvatarAbilities3Scenario0[[#This Row],[takes]]&gt;0,AvatarAbilities3Scenario0[[#This Row],[wins]]/AvatarAbilities3Scenario0[[#This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5</v>
      </c>
      <c r="C18" s="2">
        <f>M18+M39+M60+M81+M102+M123</f>
        <v>0</v>
      </c>
      <c r="D18" s="12">
        <f>IF(SUM(AvatarAbilities4[[#This Row],[takes]]) &gt; 0,AvatarAbilities4[[#This Row],[takes]]/SUM(AvatarAbilities4[takes]),0)</f>
        <v>0.7142857142857143</v>
      </c>
      <c r="E18" s="12">
        <f>IF(AvatarAbilities4[[#This Row],[takes]]&gt;0,AvatarAbilities4[[#This Row],[wins]]/AvatarAbilities4[[#This Row],[takes]],0)</f>
        <v>0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8" s="2">
        <f>COUNTIF(Scenario0[winner1-ability4],AvatarAbilities4Scenario0[[#This Row],[ability]])+COUNTIF(Scenario0[winner2-ability4],AvatarAbilities4Scenario0[[#This Row],[ability]])</f>
        <v>0</v>
      </c>
      <c r="N18" s="12">
        <f>IF(SUM(AvatarAbilities4Scenario0[[#This Row],[takes]]) &gt; 0,AvatarAbilities4Scenario0[[#This Row],[takes]]/SUM(AvatarAbilities4Scenario0[takes]),0)</f>
        <v>0</v>
      </c>
      <c r="O18" s="12">
        <f>IF(AvatarAbilities4Scenario0[[#This Row],[takes]]&gt;0,AvatarAbilities4Scenario0[[#This Row],[wins]]/AvatarAbilities4Scenario0[[#This Row],[takes]],0)</f>
        <v>0</v>
      </c>
      <c r="S18" s="18"/>
    </row>
    <row r="19" spans="1:20" x14ac:dyDescent="0.25">
      <c r="A19" s="2" t="s">
        <v>101</v>
      </c>
      <c r="B19" s="2">
        <f t="shared" ref="B19:B20" si="8">L19+L40+L61+L82+L103+L124</f>
        <v>1</v>
      </c>
      <c r="C19" s="2">
        <f t="shared" ref="C19:C20" si="9">M19+M40+M61+M82+M103+M124</f>
        <v>0</v>
      </c>
      <c r="D19" s="12">
        <f>IF(SUM(AvatarAbilities4[[#This Row],[takes]]) &gt; 0,AvatarAbilities4[[#This Row],[takes]]/SUM(AvatarAbilities4[takes]),0)</f>
        <v>0.14285714285714285</v>
      </c>
      <c r="E19" s="12">
        <f>IF(AvatarAbilities4[[#This Row],[takes]]&gt;0,AvatarAbilities4[[#This Row],[wins]]/AvatarAbilities4[[#This Row],[takes]],0)</f>
        <v>0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9" s="2">
        <f>COUNTIF(Scenario0[winner1-ability4],AvatarAbilities4Scenario0[[#This Row],[ability]])+COUNTIF(Scenario0[winner2-ability4],AvatarAbilities4Scenario0[[#This Row],[ability]])</f>
        <v>0</v>
      </c>
      <c r="N19" s="12">
        <f>IF(SUM(AvatarAbilities4Scenario0[[#This Row],[takes]]) &gt; 0,AvatarAbilities4Scenario0[[#This Row],[takes]]/SUM(AvatarAbilities4Scenario0[takes]),0)</f>
        <v>0</v>
      </c>
      <c r="O19" s="12">
        <f>IF(AvatarAbilities4Scenario0[[#This Row],[takes]]&gt;0,AvatarAbilities4Scenario0[[#This Row],[wins]]/AvatarAbilities4Scenario0[[#This Row],[takes]],0)</f>
        <v>0</v>
      </c>
      <c r="S19" s="18"/>
    </row>
    <row r="20" spans="1:20" ht="15.75" thickBot="1" x14ac:dyDescent="0.3">
      <c r="A20" s="10" t="s">
        <v>139</v>
      </c>
      <c r="B20" s="2">
        <f t="shared" si="8"/>
        <v>1</v>
      </c>
      <c r="C20" s="2">
        <f t="shared" si="9"/>
        <v>1</v>
      </c>
      <c r="D20" s="26">
        <f>IF(SUM(AvatarAbilities4[[#This Row],[takes]]) &gt; 0,AvatarAbilities4[[#This Row],[takes]]/SUM(AvatarAbilities4[takes]),0)</f>
        <v>0.14285714285714285</v>
      </c>
      <c r="E20" s="26">
        <f>IF(AvatarAbilities4[[#This Row],[takes]]&gt;0,AvatarAbilities4[[#This Row],[wins]]/AvatarAbilities4[[#This Row],[takes]],0)</f>
        <v>1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20" s="25">
        <f>COUNTIF(Scenario0[winner1-ability4],AvatarAbilities4Scenario0[[#This Row],[ability]])+COUNTIF(Scenario0[winner2-ability4],AvatarAbilities4Scenario0[[#This Row],[ability]])</f>
        <v>0</v>
      </c>
      <c r="N20" s="26">
        <f>IF(SUM(AvatarAbilities4Scenario0[[#This Row],[takes]]) &gt; 0,AvatarAbilities4Scenario0[[#This Row],[takes]]/SUM(AvatarAbilities4Scenario0[takes]),0)</f>
        <v>0</v>
      </c>
      <c r="O20" s="26">
        <f>IF(AvatarAbilities4Scenario0[[#This Row],[takes]]&gt;0,AvatarAbilities4Scenario0[[#This Row],[wins]]/AvatarAbilities4Scenario0[[#This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0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5">
        <f>COUNTIF(Scenario1[winner1-ability1],AvatarAbilities1Scenario1[[#This Row],[ability]])+COUNTIF(Scenario1[winner2-ability1],AvatarAbilities1Scenario1[[#This Row],[ability]])</f>
        <v>0</v>
      </c>
      <c r="N25" s="3">
        <f>IF(SUM(AvatarAbilities1Scenario1[[#This Row],[takes]]) &gt; 0,AvatarAbilities1Scenario1[[#This Row],[takes]]/SUM(AvatarAbilities1Scenario1[takes]),0)</f>
        <v>0</v>
      </c>
      <c r="O25" s="3">
        <f>IF(AvatarAbilities1Scenario1[[#This Row],[takes]]&gt;0,AvatarAbilities1Scenario1[[#This Row],[wins]]/AvatarAbilities1Scenario1[[#This Row],[takes]],0)</f>
        <v>0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>
        <f>COUNTIF(Scenario1[winner1-ability1],AvatarAbilities1Scenario1[[#This Row],[ability]])+COUNTIF(Scenario1[winner2-ability1],AvatarAbilities1Scenario1[[#This Row],[ability]])</f>
        <v>0</v>
      </c>
      <c r="N26" s="3">
        <f>IF(SUM(AvatarAbilities1Scenario1[[#This Row],[takes]]) &gt; 0,AvatarAbilities1Scenario1[[#This Row],[takes]]/SUM(AvatarAbilities1Scenario1[takes]),0)</f>
        <v>0</v>
      </c>
      <c r="O26" s="3">
        <f>IF(AvatarAbilities1Scenario1[[#This Row],[takes]]&gt;0,AvatarAbilities1Scenario1[[#This Row],[wins]]/AvatarAbilities1Scenario1[[#This Row],[takes]],0)</f>
        <v>0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29" s="2">
        <f>COUNTIF(Scenario1[winner1-ability2],AvatarAbilities2Scenario1[[#This Row],[ability]])+COUNTIF(Scenario1[winner2-ability2],AvatarAbilities2Scenario1[[#This Row],[ability]])</f>
        <v>0</v>
      </c>
      <c r="N29" s="12">
        <f>IF(SUM(AvatarAbilities2Scenario1[[#This Row],[takes]]) &gt; 0,AvatarAbilities2Scenario1[[#This Row],[takes]]/SUM(AvatarAbilities2Scenario1[takes]),0)</f>
        <v>0</v>
      </c>
      <c r="O29" s="12">
        <f>IF(AvatarAbilities2Scenario1[[#This Row],[takes]]&gt;0,AvatarAbilities2Scenario1[[#This Row],[wins]]/AvatarAbilities2Scenario1[[#This Row],[takes]],0)</f>
        <v>0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0" s="2">
        <f>COUNTIF(Scenario1[winner1-ability2],AvatarAbilities2Scenario1[[#This Row],[ability]])+COUNTIF(Scenario1[winner2-ability2],AvatarAbilities2Scenario1[[#This Row],[ability]])</f>
        <v>0</v>
      </c>
      <c r="N30" s="3">
        <f>IF(SUM(AvatarAbilities2Scenario1[[#This Row],[takes]]) &gt; 0,AvatarAbilities2Scenario1[[#This Row],[takes]]/SUM(AvatarAbilities2Scenario1[takes]),0)</f>
        <v>0</v>
      </c>
      <c r="O30" s="3">
        <f>IF(AvatarAbilities2Scenario1[[#This Row],[takes]]&gt;0,AvatarAbilities2Scenario1[[#This Row],[wins]]/AvatarAbilities2Scenario1[[#This Row],[takes]],0)</f>
        <v>0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1" s="2">
        <f>COUNTIF(Scenario1[winner1-ability2],AvatarAbilities2Scenario1[[#This Row],[ability]])+COUNTIF(Scenario1[winner2-ability2],AvatarAbilities2Scenario1[[#This Row],[ability]])</f>
        <v>0</v>
      </c>
      <c r="N31" s="13">
        <f>IF(SUM(AvatarAbilities2Scenario1[[#This Row],[takes]]) &gt; 0,AvatarAbilities2Scenario1[[#This Row],[takes]]/SUM(AvatarAbilities2Scenario1[takes]),0)</f>
        <v>0</v>
      </c>
      <c r="O31" s="13">
        <f>IF(AvatarAbilities2Scenario1[[#This Row],[takes]]&gt;0,AvatarAbilities2Scenario1[[#This Row],[wins]]/AvatarAbilities2Scenario1[[#This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4" s="1">
        <f>COUNTIF(Scenario1[winner1-ability3],AvatarAbilities3Scenario1[[#This Row],[ability]])+COUNTIF(Scenario1[winner2-ability3],AvatarAbilities3Scenario1[[#This Row],[ability]])</f>
        <v>0</v>
      </c>
      <c r="N34" s="14">
        <f>IF(SUM(AvatarAbilities3Scenario1[[#This Row],[takes]]) &gt; 0,AvatarAbilities3Scenario1[[#This Row],[takes]]/SUM(AvatarAbilities3Scenario1[takes]),0)</f>
        <v>0</v>
      </c>
      <c r="O34" s="14">
        <f>IF(AvatarAbilities3Scenario1[[#This Row],[takes]]&gt;0,AvatarAbilities3Scenario1[[#This Row],[wins]]/AvatarAbilities3Scenario1[[#This Row],[takes]],0)</f>
        <v>0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5" s="2">
        <f>COUNTIF(Scenario1[winner1-ability3],AvatarAbilities3Scenario1[[#This Row],[ability]])+COUNTIF(Scenario1[winner2-ability3],AvatarAbilities3Scenario1[[#This Row],[ability]])</f>
        <v>0</v>
      </c>
      <c r="N35" s="12">
        <f>IF(SUM(AvatarAbilities3Scenario1[[#This Row],[takes]]) &gt; 0,AvatarAbilities3Scenario1[[#This Row],[takes]]/SUM(AvatarAbilities3Scenario1[takes]),0)</f>
        <v>0</v>
      </c>
      <c r="O35" s="12">
        <f>IF(AvatarAbilities3Scenario1[[#This Row],[takes]]&gt;0,AvatarAbilities3Scenario1[[#This Row],[wins]]/AvatarAbilities3Scenario1[[#This Row],[takes]],0)</f>
        <v>0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6" s="1">
        <f>COUNTIF(Scenario1[winner1-ability3],AvatarAbilities3Scenario1[[#This Row],[ability]])+COUNTIF(Scenario1[winner2-ability3],AvatarAbilities3Scenario1[[#This Row],[ability]])</f>
        <v>0</v>
      </c>
      <c r="N36" s="15">
        <f>IF(SUM(AvatarAbilities3Scenario1[[#This Row],[takes]]) &gt; 0,AvatarAbilities3Scenario1[[#This Row],[takes]]/SUM(AvatarAbilities3Scenario1[takes]),0)</f>
        <v>0</v>
      </c>
      <c r="O36" s="15">
        <f>IF(AvatarAbilities3Scenario1[[#This Row],[takes]]&gt;0,AvatarAbilities3Scenario1[[#This Row],[wins]]/AvatarAbilities3Scenario1[[#This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39" s="2">
        <f>COUNTIF(Scenario1[winner1-ability4],AvatarAbilities4Scenario1[[#This Row],[ability]])+COUNTIF(Scenario1[winner2-ability4],AvatarAbilities4Scenario1[[#This Row],[ability]])</f>
        <v>0</v>
      </c>
      <c r="N39" s="12">
        <f>IF(SUM(AvatarAbilities4Scenario1[[#This Row],[takes]]) &gt; 0,AvatarAbilities4Scenario1[[#This Row],[takes]]/SUM(AvatarAbilities4Scenario1[takes]),0)</f>
        <v>0</v>
      </c>
      <c r="O39" s="12">
        <f>IF(AvatarAbilities4Scenario1[[#This Row],[takes]]&gt;0,AvatarAbilities4Scenario1[[#This Row],[wins]]/AvatarAbilities4Scenario1[[#This Row],[takes]],0)</f>
        <v>0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2">
        <f>IF(SUM(AvatarAbilities4Scenario1[[#This Row],[takes]]) &gt; 0,AvatarAbilities4Scenario1[[#This Row],[takes]]/SUM(AvatarAbilities4Scenario1[takes]),0)</f>
        <v>0</v>
      </c>
      <c r="O40" s="12">
        <f>IF(AvatarAbilities4Scenario1[[#This Row],[takes]]&gt;0,AvatarAbilities4Scenario1[[#This Row],[wins]]/AvatarAbilities4Scenario1[[#This Row],[takes]],0)</f>
        <v>0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1" s="25">
        <f>COUNTIF(Scenario1[winner1-ability4],AvatarAbilities4Scenario1[[#This Row],[ability]])+COUNTIF(Scenario1[winner2-ability4],AvatarAbilities4Scenario1[[#This Row],[ability]])</f>
        <v>0</v>
      </c>
      <c r="N41" s="26">
        <f>IF(SUM(AvatarAbilities4Scenario1[[#This Row],[takes]]) &gt; 0,AvatarAbilities4Scenario1[[#This Row],[takes]]/SUM(AvatarAbilities4Scenario1[takes]),0)</f>
        <v>0</v>
      </c>
      <c r="O41" s="26">
        <f>IF(AvatarAbilities4Scenario1[[#This Row],[takes]]&gt;0,AvatarAbilities4Scenario1[[#This Row],[wins]]/AvatarAbilities4Scenario1[[#This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0</v>
      </c>
      <c r="M45">
        <f>COUNTIF(Scenario2[winner1-ability1],AvatarAbilities1Scenario2[[#This Row],[ability]])</f>
        <v>0</v>
      </c>
      <c r="N45" s="3">
        <f>IF(SUM(AvatarAbilities1Scenario2[[#This Row],[takes]]) &gt; 0,AvatarAbilities1Scenario2[[#This Row],[takes]]/SUM(AvatarAbilities1Scenario2[takes]),0)</f>
        <v>0</v>
      </c>
      <c r="O45" s="3">
        <f>IF(AvatarAbilities1Scenario2[[#This Row],[takes]]&gt;0,AvatarAbilities1Scenario2[[#This Row],[wins]]/AvatarAbilities1Scenario2[[#This Row],[takes]],0)</f>
        <v>0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1</v>
      </c>
      <c r="S45" s="18">
        <f>COUNTIFS(Scenario2[winner1],"avatar",Scenario2[winner1-cp],AvatarEquipScenario2[[#This Row],[level]])+COUNTIFS(Scenario2[loser1],"avatar",Scenario2[loser1-cp],AvatarEquipScenario2[[#This Row],[level]])</f>
        <v>9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16</v>
      </c>
      <c r="M46">
        <f>COUNTIF(Scenario2[winner1-ability1],AvatarAbilities1Scenario2[[#This Row],[ability]])</f>
        <v>8</v>
      </c>
      <c r="N46" s="3">
        <f>IF(SUM(AvatarAbilities1Scenario2[[#This Row],[takes]]) &gt; 0,AvatarAbilities1Scenario2[[#This Row],[takes]]/SUM(AvatarAbilities1Scenario2[takes]),0)</f>
        <v>1</v>
      </c>
      <c r="O46" s="3">
        <f>IF(AvatarAbilities1Scenario2[[#This Row],[takes]]&gt;0,AvatarAbilities1Scenario2[[#This Row],[wins]]/AvatarAbilities1Scenario2[[#This Row],[takes]],0)</f>
        <v>0.5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4</v>
      </c>
      <c r="S46" s="18">
        <f>COUNTIFS(Scenario2[winner1],"avatar",Scenario2[winner1-cp],AvatarEquipScenario2[[#This Row],[level]])+COUNTIFS(Scenario2[loser1],"avatar",Scenario2[loser1-cp],AvatarEquipScenario2[[#This Row],[level]])</f>
        <v>2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11</v>
      </c>
      <c r="S47" s="18">
        <f>COUNTIFS(Scenario2[winner1],"avatar",Scenario2[winner1-cp],AvatarEquipScenario2[[#This Row],[level]])+COUNTIFS(Scenario2[loser1],"avatar",Scenario2[loser1-cp],AvatarEquipScenario2[[#This Row],[level]])</f>
        <v>5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5</v>
      </c>
      <c r="M50" s="2">
        <f>COUNTIF(Scenario2[winner1-ability2],AvatarAbilities2Scenario2[[#This Row],[ability]])</f>
        <v>2</v>
      </c>
      <c r="N50" s="12">
        <f>IF(SUM(AvatarAbilities2Scenario2[[#This Row],[takes]]) &gt; 0,AvatarAbilities2Scenario2[[#This Row],[takes]]/SUM(AvatarAbilities2Scenario2[takes]),0)</f>
        <v>0.38461538461538464</v>
      </c>
      <c r="O50" s="12">
        <f>IF(AvatarAbilities2Scenario2[[#This Row],[takes]]&gt;0,AvatarAbilities2Scenario2[[#This Row],[wins]]/AvatarAbilities2Scenario2[[#This Row],[takes]],0)</f>
        <v>0.4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8</v>
      </c>
      <c r="M51" s="2">
        <f>COUNTIF(Scenario2[winner1-ability2],AvatarAbilities2Scenario2[[#This Row],[ability]])</f>
        <v>4</v>
      </c>
      <c r="N51" s="3">
        <f>IF(SUM(AvatarAbilities2Scenario2[[#This Row],[takes]]) &gt; 0,AvatarAbilities2Scenario2[[#This Row],[takes]]/SUM(AvatarAbilities2Scenario2[takes]),0)</f>
        <v>0.61538461538461542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0</v>
      </c>
      <c r="M52" s="2">
        <f>COUNTIF(Scenario2[winner1-ability2],AvatarAbilities2Scenario2[[#This Row],[ability]])</f>
        <v>0</v>
      </c>
      <c r="N52" s="13">
        <f>IF(SUM(AvatarAbilities2Scenario2[[#This Row],[takes]]) &gt; 0,AvatarAbilities2Scenario2[[#This Row],[takes]]/SUM(AvatarAbilities2Scenario2[takes]),0)</f>
        <v>0</v>
      </c>
      <c r="O52" s="13">
        <f>IF(AvatarAbilities2Scenario2[[#This Row],[takes]]&gt;0,AvatarAbilities2Scenario2[[#This Row],[wins]]/AvatarAbilities2Scenario2[[#This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9</v>
      </c>
      <c r="M55" s="1">
        <f>COUNTIF(Scenario2[winner1-ability3],AvatarAbilities3Scenario2[[#This Row],[ability]])</f>
        <v>4</v>
      </c>
      <c r="N55" s="14">
        <f>IF(SUM(AvatarAbilities3Scenario2[[#This Row],[takes]]) &gt; 0,AvatarAbilities3Scenario2[[#This Row],[takes]]/SUM(AvatarAbilities3Scenario2[takes]),0)</f>
        <v>0.9</v>
      </c>
      <c r="O55" s="14">
        <f>IF(AvatarAbilities3Scenario2[[#This Row],[takes]]&gt;0,AvatarAbilities3Scenario2[[#This Row],[wins]]/AvatarAbilities3Scenario2[[#This Row],[takes]],0)</f>
        <v>0.44444444444444442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1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0.1</v>
      </c>
      <c r="O57" s="15">
        <f>IF(AvatarAbilities3Scenario2[[#This Row],[takes]]&gt;0,AvatarAbilities3Scenario2[[#This Row],[wins]]/AvatarAbilities3Scenario2[[#This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5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0.83333333333333337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1</v>
      </c>
      <c r="M62" s="25">
        <f>COUNTIF(Scenario2[winner1-ability4],AvatarAbilities4Scenario2[[#This Row],[ability]])</f>
        <v>1</v>
      </c>
      <c r="N62" s="26">
        <f>IF(SUM(AvatarAbilities4Scenario2[[#This Row],[takes]]) &gt; 0,AvatarAbilities4Scenario2[[#This Row],[takes]]/SUM(AvatarAbilities4Scenario2[takes]),0)</f>
        <v>0.16666666666666666</v>
      </c>
      <c r="O62" s="26">
        <f>IF(AvatarAbilities4Scenario2[[#This Row],[takes]]&gt;0,AvatarAbilities4Scenario2[[#This Row],[wins]]/AvatarAbilities4Scenario2[[#This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6">
        <f>COUNTIF(Scenario3[winner1-ability1],AvatarAbilities1Scenario3[[#This Row],[ability]])</f>
        <v>0</v>
      </c>
      <c r="N66" s="3">
        <f>IF(SUM(AvatarAbilities1Scenario3[[#This Row],[takes]]) &gt; 0,AvatarAbilities1Scenario3[[#This Row],[takes]]/SUM(AvatarAbilities1Scenario3[takes]),0)</f>
        <v>0</v>
      </c>
      <c r="O66" s="3">
        <f>IF(AvatarAbilities1Scenario3[[#This Row],[takes]]&gt;0,AvatarAbilities1Scenario3[[#This Row],[wins]]/AvatarAbilities1Scenario3[[#This Row],[takes]],0)</f>
        <v>0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0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2" s="2">
        <f>COUNTIF(Scenario3[winner1-ability2],AvatarAbilities2Scenario3[[#This Row],[ability]])</f>
        <v>0</v>
      </c>
      <c r="N72" s="3">
        <f>IF(SUM(AvatarAbilities2Scenario3[[#This Row],[takes]]) &gt; 0,AvatarAbilities2Scenario3[[#This Row],[takes]]/SUM(AvatarAbilities2Scenario3[takes]),0)</f>
        <v>0</v>
      </c>
      <c r="O72" s="3">
        <f>IF(AvatarAbilities2Scenario3[[#This Row],[takes]]&gt;0,AvatarAbilities2Scenario3[[#This Row],[wins]]/AvatarAbilities2Scenario3[[#This Row],[takes]],0)</f>
        <v>0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6" s="1">
        <f>COUNTIF(Scenario3[winner1-ability3],AvatarAbilities3Scenario3[[#This Row],[ability]])</f>
        <v>0</v>
      </c>
      <c r="N76" s="14">
        <f>IF(SUM(AvatarAbilities3Scenario3[[#This Row],[takes]]) &gt; 0,AvatarAbilities3Scenario3[[#This Row],[takes]]/SUM(AvatarAbilities3Scenario3[takes]),0)</f>
        <v>0</v>
      </c>
      <c r="O76" s="14">
        <f>IF(AvatarAbilities3Scenario3[[#This Row],[takes]]&gt;0,AvatarAbilities3Scenario3[[#This Row],[wins]]/AvatarAbilities3Scenario3[[#This Row],[takes]],0)</f>
        <v>0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1" s="2">
        <f>COUNTIF(Scenario3[winner1-ability4],AvatarAbilities4Scenario3[[#This Row],[ability]])</f>
        <v>0</v>
      </c>
      <c r="N81" s="12">
        <f>IF(SUM(AvatarAbilities4Scenario3[[#This Row],[takes]]) &gt; 0,AvatarAbilities4Scenario3[[#This Row],[takes]]/SUM(AvatarAbilities4Scenario3[takes]),0)</f>
        <v>0</v>
      </c>
      <c r="O81" s="12">
        <f>IF(AvatarAbilities4Scenario3[[#This Row],[takes]]&gt;0,AvatarAbilities4Scenario3[[#This Row],[wins]]/AvatarAbilities4Scenario3[[#This Row],[takes]],0)</f>
        <v>0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0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3" s="2">
        <f>COUNTIF(Scenario3[winner1-ability4],AvatarAbilities4Scenario3[[#This Row],[ability]])</f>
        <v>0</v>
      </c>
      <c r="N83" s="26">
        <f>IF(SUM(AvatarAbilities4Scenario3[[#This Row],[takes]]) &gt; 0,AvatarAbilities4Scenario3[[#This Row],[takes]]/SUM(AvatarAbilities4Scenario3[takes]),0)</f>
        <v>0</v>
      </c>
      <c r="O83" s="26">
        <f>IF(AvatarAbilities4Scenario3[[#This Row],[takes]]&gt;0,AvatarAbilities4Scenario3[[#This Row],[wins]]/AvatarAbilities4Scenario3[[#This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</v>
      </c>
      <c r="M87">
        <f>COUNTIF(Scenario4[winner1-ability1],AvatarAbilities1Scenario4[[#This Row],[ability]])</f>
        <v>0</v>
      </c>
      <c r="N87" s="3">
        <f>IF(SUM(AvatarAbilities1Scenario4[[#This Row],[takes]]) &gt; 0,AvatarAbilities1Scenario4[[#This Row],[takes]]/SUM(AvatarAbilities1Scenario4[takes]),0)</f>
        <v>1</v>
      </c>
      <c r="O87" s="3">
        <f>IF(AvatarAbilities1Scenario4[[#This Row],[takes]]&gt;0,AvatarAbilities1Scenario4[[#This Row],[wins]]/AvatarAbilities1Scenario4[[#This Row],[takes]],0)</f>
        <v>0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1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3" s="2">
        <f>COUNTIF(Scenario4[winner1-ability2],AvatarAbilities2Scenario4[[#This Row],[ability]])</f>
        <v>0</v>
      </c>
      <c r="N93" s="3">
        <f>IF(SUM(AvatarAbilities2Scenario4[[#This Row],[takes]]) &gt; 0,AvatarAbilities2Scenario4[[#This Row],[takes]]/SUM(AvatarAbilities2Scenario4[takes]),0)</f>
        <v>0</v>
      </c>
      <c r="O93" s="3">
        <f>IF(AvatarAbilities2Scenario4[[#This Row],[takes]]&gt;0,AvatarAbilities2Scenario4[[#This Row],[wins]]/AvatarAbilities2Scenario4[[#This Row],[takes]],0)</f>
        <v>0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</v>
      </c>
      <c r="M97" s="1">
        <f>COUNTIF(Scenario4[winner1-ability3],AvatarAbilities3Scenario4[[#This Row],[ability]])</f>
        <v>0</v>
      </c>
      <c r="N97" s="14">
        <f>IF(SUM(AvatarAbilities3Scenario4[[#This Row],[takes]]) &gt; 0,AvatarAbilities3Scenario4[[#This Row],[takes]]/SUM(AvatarAbilities3Scenario4[takes]),0)</f>
        <v>1</v>
      </c>
      <c r="O97" s="14">
        <f>IF(AvatarAbilities3Scenario4[[#This Row],[takes]]&gt;0,AvatarAbilities3Scenario4[[#This Row],[wins]]/AvatarAbilities3Scenario4[[#This Row],[takes]],0)</f>
        <v>0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2" s="2">
        <f>COUNTIF(Scenario4[winner1-ability4],AvatarAbilities4Scenario4[[#This Row],[ability]])</f>
        <v>0</v>
      </c>
      <c r="N102" s="12">
        <f>IF(SUM(AvatarAbilities4Scenario4[[#This Row],[takes]]) &gt; 0,AvatarAbilities4Scenario4[[#This Row],[takes]]/SUM(AvatarAbilities4Scenario4[takes]),0)</f>
        <v>0</v>
      </c>
      <c r="O102" s="12">
        <f>IF(AvatarAbilities4Scenario4[[#This Row],[takes]]&gt;0,AvatarAbilities4Scenario4[[#This Row],[wins]]/AvatarAbilities4Scenario4[[#This Row],[takes]],0)</f>
        <v>0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1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0</v>
      </c>
      <c r="M108">
        <f>COUNTIF(Scenario5[winner1-ability1],AvatarAbilities1Scenario5[[#This Row],[ability]])+COUNTIF(Scenario5[winner2-ability1],AvatarAbilities1Scenario5[[#This Row],[ability]])</f>
        <v>0</v>
      </c>
      <c r="N108" s="3">
        <f>IF(SUM(AvatarAbilities1Scenario5[[#This Row],[takes]]) &gt; 0,AvatarAbilities1Scenario5[[#This Row],[takes]]/SUM(AvatarAbilities1Scenario5[takes]),0)</f>
        <v>0</v>
      </c>
      <c r="O108" s="3">
        <f>IF(AvatarAbilities1Scenario5[[#This Row],[takes]]&gt;0,AvatarAbilities1Scenario5[[#This Row],[wins]]/AvatarAbilities1Scenario5[[#This Row],[takes]],0)</f>
        <v>0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0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0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0</v>
      </c>
      <c r="M109">
        <f>COUNTIF(Scenario5[winner1-ability1],AvatarAbilities1Scenario5[[#This Row],[ability]])+COUNTIF(Scenario5[winner2-ability1],AvatarAbilities1Scenario5[[#This Row],[ability]])</f>
        <v>0</v>
      </c>
      <c r="N109" s="3">
        <f>IF(SUM(AvatarAbilities1Scenario5[[#This Row],[takes]]) &gt; 0,AvatarAbilities1Scenario5[[#This Row],[takes]]/SUM(AvatarAbilities1Scenario5[takes]),0)</f>
        <v>0</v>
      </c>
      <c r="O109" s="3">
        <f>IF(AvatarAbilities1Scenario5[[#This Row],[takes]]&gt;0,AvatarAbilities1Scenario5[[#This Row],[wins]]/AvatarAbilities1Scenario5[[#This Row],[takes]],0)</f>
        <v>0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0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0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0</v>
      </c>
      <c r="M110">
        <f>COUNTIF(Scenario5[winner1-ability1],AvatarAbilities1Scenario5[[#This Row],[ability]])+COUNTIF(Scenario5[winner2-ability1],AvatarAbilities1Scenario5[[#This Row],[ability]])</f>
        <v>0</v>
      </c>
      <c r="N110" s="3">
        <f>IF(SUM(AvatarAbilities1Scenario5[[#This Row],[takes]]) &gt; 0,AvatarAbilities1Scenario5[[#This Row],[takes]]/SUM(AvatarAbilities1Scenario5[takes]),0)</f>
        <v>0</v>
      </c>
      <c r="O110" s="3">
        <f>IF(AvatarAbilities1Scenario5[[#This Row],[takes]]&gt;0,AvatarAbilities1Scenario5[[#This Row],[wins]]/AvatarAbilities1Scenario5[[#This Row],[takes]],0)</f>
        <v>0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0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3" s="2">
        <f>COUNTIF(Scenario5[winner1-ability2],AvatarAbilities2Scenario5[[#This Row],[ability]])+COUNTIF(Scenario5[winner2-ability2],AvatarAbilities2Scenario5[[#This Row],[ability]])</f>
        <v>0</v>
      </c>
      <c r="N113" s="12">
        <f>IF(SUM(AvatarAbilities2Scenario5[[#This Row],[takes]]) &gt; 0,AvatarAbilities2Scenario5[[#This Row],[takes]]/SUM(AvatarAbilities2Scenario5[takes]),0)</f>
        <v>0</v>
      </c>
      <c r="O113" s="12">
        <f>IF(AvatarAbilities2Scenario5[[#This Row],[takes]]&gt;0,AvatarAbilities2Scenario5[[#This Row],[wins]]/AvatarAbilities2Scenario5[[#This Row],[takes]],0)</f>
        <v>0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4" s="2">
        <f>COUNTIF(Scenario5[winner1-ability2],AvatarAbilities2Scenario5[[#This Row],[ability]])+COUNTIF(Scenario5[winner2-ability2],AvatarAbilities2Scenario5[[#This Row],[ability]])</f>
        <v>0</v>
      </c>
      <c r="N114" s="3">
        <f>IF(SUM(AvatarAbilities2Scenario5[[#This Row],[takes]]) &gt; 0,AvatarAbilities2Scenario5[[#This Row],[takes]]/SUM(AvatarAbilities2Scenario5[takes]),0)</f>
        <v>0</v>
      </c>
      <c r="O114" s="3">
        <f>IF(AvatarAbilities2Scenario5[[#This Row],[takes]]&gt;0,AvatarAbilities2Scenario5[[#This Row],[wins]]/AvatarAbilities2Scenario5[[#This Row],[takes]],0)</f>
        <v>0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0</v>
      </c>
      <c r="M115" s="2">
        <f>COUNTIF(Scenario5[winner1-ability2],AvatarAbilities2Scenario5[[#This Row],[ability]])+COUNTIF(Scenario5[winner2-ability2],AvatarAbilities2Scenario5[[#This Row],[ability]])</f>
        <v>0</v>
      </c>
      <c r="N115" s="13">
        <f>IF(SUM(AvatarAbilities2Scenario5[[#This Row],[takes]]) &gt; 0,AvatarAbilities2Scenario5[[#This Row],[takes]]/SUM(AvatarAbilities2Scenario5[takes]),0)</f>
        <v>0</v>
      </c>
      <c r="O115" s="13">
        <f>IF(AvatarAbilities2Scenario5[[#This Row],[takes]]&gt;0,AvatarAbilities2Scenario5[[#This Row],[wins]]/AvatarAbilities2Scenario5[[#This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0</v>
      </c>
      <c r="M118" s="1">
        <f>COUNTIF(Scenario5[winner1-ability3],AvatarAbilities3Scenario5[[#This Row],[ability]])+COUNTIF(Scenario5[winner2-ability3],AvatarAbilities3Scenario5[[#This Row],[ability]])</f>
        <v>0</v>
      </c>
      <c r="N118" s="14">
        <f>IF(SUM(AvatarAbilities3Scenario5[[#This Row],[takes]]) &gt; 0,AvatarAbilities3Scenario5[[#This Row],[takes]]/SUM(AvatarAbilities3Scenario5[takes]),0)</f>
        <v>0</v>
      </c>
      <c r="O118" s="14">
        <f>IF(AvatarAbilities3Scenario5[[#This Row],[takes]]&gt;0,AvatarAbilities3Scenario5[[#This Row],[wins]]/AvatarAbilities3Scenario5[[#This Row],[takes]],0)</f>
        <v>0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0</v>
      </c>
      <c r="M119" s="2">
        <f>COUNTIF(Scenario5[winner1-ability3],AvatarAbilities3Scenario5[[#This Row],[ability]])+COUNTIF(Scenario5[winner2-ability3],AvatarAbilities3Scenario5[[#This Row],[ability]])</f>
        <v>0</v>
      </c>
      <c r="N119" s="12">
        <f>IF(SUM(AvatarAbilities3Scenario5[[#This Row],[takes]]) &gt; 0,AvatarAbilities3Scenario5[[#This Row],[takes]]/SUM(AvatarAbilities3Scenario5[takes]),0)</f>
        <v>0</v>
      </c>
      <c r="O119" s="12">
        <f>IF(AvatarAbilities3Scenario5[[#This Row],[takes]]&gt;0,AvatarAbilities3Scenario5[[#This Row],[wins]]/AvatarAbilities3Scenario5[[#This Row],[takes]],0)</f>
        <v>0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0</v>
      </c>
      <c r="M120" s="1">
        <f>COUNTIF(Scenario5[winner1-ability3],AvatarAbilities3Scenario5[[#This Row],[ability]])+COUNTIF(Scenario5[winner2-ability3],AvatarAbilities3Scenario5[[#This Row],[ability]])</f>
        <v>0</v>
      </c>
      <c r="N120" s="15">
        <f>IF(SUM(AvatarAbilities3Scenario5[[#This Row],[takes]]) &gt; 0,AvatarAbilities3Scenario5[[#This Row],[takes]]/SUM(AvatarAbilities3Scenario5[takes]),0)</f>
        <v>0</v>
      </c>
      <c r="O120" s="15">
        <f>IF(AvatarAbilities3Scenario5[[#This Row],[takes]]&gt;0,AvatarAbilities3Scenario5[[#This Row],[wins]]/AvatarAbilities3Scenario5[[#This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0</v>
      </c>
      <c r="M123" s="2">
        <f>COUNTIF(Scenario5[winner1-ability4],AvatarAbilities4Scenario5[[#This Row],[ability]])+COUNTIF(Scenario5[winner2-ability4],AvatarAbilities4Scenario5[[#This Row],[ability]])</f>
        <v>0</v>
      </c>
      <c r="N123" s="12">
        <f>IF(SUM(AvatarAbilities4Scenario5[[#This Row],[takes]]) &gt; 0,AvatarAbilities4Scenario5[[#This Row],[takes]]/SUM(AvatarAbilities4Scenario5[takes]),0)</f>
        <v>0</v>
      </c>
      <c r="O123" s="12">
        <f>IF(AvatarAbilities4Scenario5[[#This Row],[takes]]&gt;0,AvatarAbilities4Scenario5[[#This Row],[wins]]/AvatarAbilities4Scenario5[[#This Row],[takes]],0)</f>
        <v>0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0</v>
      </c>
      <c r="M124" s="2">
        <f>COUNTIF(Scenario5[winner1-ability4],AvatarAbilities4Scenario5[[#This Row],[ability]])+COUNTIF(Scenario5[winner2-ability4],AvatarAbilities4Scenario5[[#This Row],[ability]])</f>
        <v>0</v>
      </c>
      <c r="N124" s="12">
        <f>IF(SUM(AvatarAbilities4Scenario5[[#This Row],[takes]]) &gt; 0,AvatarAbilities4Scenario5[[#This Row],[takes]]/SUM(AvatarAbilities4Scenario5[takes]),0)</f>
        <v>0</v>
      </c>
      <c r="O124" s="12">
        <f>IF(AvatarAbilities4Scenario5[[#This Row],[takes]]&gt;0,AvatarAbilities4Scenario5[[#This Row],[wins]]/AvatarAbilities4Scenario5[[#This Row],[takes]],0)</f>
        <v>0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0</v>
      </c>
      <c r="M125" s="2">
        <f>COUNTIF(Scenario5[winner1-ability4],AvatarAbilities4Scenario5[[#This Row],[ability]])+COUNTIF(Scenario5[winner2-ability4],AvatarAbilities4Scenario5[[#This Row],[ability]])</f>
        <v>0</v>
      </c>
      <c r="N125" s="26">
        <f>IF(SUM(AvatarAbilities4Scenario5[[#This Row],[takes]]) &gt; 0,AvatarAbilities4Scenario5[[#This Row],[takes]]/SUM(AvatarAbilities4Scenario5[takes]),0)</f>
        <v>0</v>
      </c>
      <c r="O125" s="26">
        <f>IF(AvatarAbilities4Scenario5[[#This Row],[takes]]&gt;0,AvatarAbilities4Scenario5[[#This Row],[wins]]/AvatarAbilities4Scenario5[[#This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E26" sqref="E26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</v>
      </c>
    </row>
    <row r="3" spans="1:22" x14ac:dyDescent="0.25">
      <c r="A3" t="s">
        <v>47</v>
      </c>
      <c r="B3">
        <f>L3+L24+L45+L66+L87+L108</f>
        <v>1</v>
      </c>
      <c r="C3">
        <f>M3+M24+M45+M66+M87+M108</f>
        <v>1</v>
      </c>
      <c r="D3" s="3">
        <f>IF(SUM(ShadowAbilities1[[#This Row],[takes]]) &gt; 0,ShadowAbilities1[[#This Row],[takes]]/SUM(ShadowAbilities1[takes]),0)</f>
        <v>5.5555555555555552E-2</v>
      </c>
      <c r="E3" s="3">
        <f>IF(ShadowAbilities1[[#This Row],[takes]]&gt;0,ShadowAbilities1[[#This Row],[wins]]/ShadowAbilities1[[#This Row],[takes]],0)</f>
        <v>1</v>
      </c>
      <c r="G3">
        <v>1</v>
      </c>
      <c r="H3">
        <f>R3+R24+R45+R66+R87+R108</f>
        <v>0</v>
      </c>
      <c r="I3" s="18">
        <f>S3+S24+S45+S66+S87+S108</f>
        <v>12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</v>
      </c>
      <c r="M3">
        <f>COUNTIF(Scenario0[winner1-ability1],ShadowAbilities1Scenario0[[#This Row],[ability]])+COUNTIF(Scenario0[winner2-ability1],ShadowAbilities1Scenario0[[#This Row],[ability]])</f>
        <v>1</v>
      </c>
      <c r="N3" s="3">
        <f>IF(SUM(ShadowAbilities1Scenario0[[#This Row],[takes]]) &gt; 0,ShadowAbilities1Scenario0[[#This Row],[takes]]/SUM(ShadowAbilities1Scenario0[takes]),0)</f>
        <v>1</v>
      </c>
      <c r="O3" s="3">
        <f>IF(ShadowAbilities1Scenario0[[#This Row],[takes]]&gt;0,ShadowAbilities1Scenario0[[#This Row],[wins]]/ShadowAbilities1Scenario0[[#This Row],[takes]],0)</f>
        <v>1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3" t="s">
        <v>202</v>
      </c>
      <c r="V3" s="16">
        <f>H5/SUM(ShadowEquip[bow])</f>
        <v>1</v>
      </c>
    </row>
    <row r="4" spans="1:22" x14ac:dyDescent="0.25">
      <c r="A4" t="s">
        <v>86</v>
      </c>
      <c r="B4">
        <f t="shared" ref="B4:B5" si="0">L4+L25+L46+L67+L88+L109</f>
        <v>9</v>
      </c>
      <c r="C4">
        <f t="shared" ref="C4:C5" si="1">M4+M25+M46+M67+M88+M109</f>
        <v>0</v>
      </c>
      <c r="D4" s="3">
        <f>IF(SUM(ShadowAbilities1[[#This Row],[takes]]) &gt; 0,ShadowAbilities1[[#This Row],[takes]]/SUM(ShadowAbilities1[takes]),0)</f>
        <v>0.5</v>
      </c>
      <c r="E4" s="3">
        <f>IF(ShadowAbilities1[[#This Row],[takes]]&gt;0,ShadowAbilities1[[#This Row],[wins]]/ShadowAbilities1[[#This Row],[takes]],0)</f>
        <v>0</v>
      </c>
      <c r="G4">
        <v>2</v>
      </c>
      <c r="H4">
        <f t="shared" ref="H4:H5" si="2">R4+R25+R46+R67+R88+R109</f>
        <v>0</v>
      </c>
      <c r="I4" s="18">
        <f t="shared" ref="I4:I5" si="3">S4+S25+S46+S67+S88+S109</f>
        <v>2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4">
        <f>COUNTIF(Scenario0[winner1-ability1],ShadowAbilities1Scenario0[[#This Row],[ability]])+COUNTIF(Scenario0[winner2-ability1],ShadowAbilities1Scenario0[[#This Row],[ability]])</f>
        <v>0</v>
      </c>
      <c r="N4" s="3">
        <f>IF(SUM(ShadowAbilities1Scenario0[[#This Row],[takes]]) &gt; 0,ShadowAbilities1Scenario0[[#This Row],[takes]]/SUM(ShadowAbilities1Scenario0[takes]),0)</f>
        <v>0</v>
      </c>
      <c r="O4" s="3">
        <f>IF(ShadowAbilities1Scenario0[[#This Row],[takes]]&gt;0,ShadowAbilities1Scenario0[[#This Row],[wins]]/ShadowAbilities1Scenario0[[#This Row],[takes]],0)</f>
        <v>0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</v>
      </c>
      <c r="U4" t="s">
        <v>179</v>
      </c>
      <c r="V4" s="3">
        <f>ShadowEquip[[#This Row],[chestpiece]]/SUM(ShadowEquip[chestpiece])</f>
        <v>0.1111111111111111</v>
      </c>
    </row>
    <row r="5" spans="1:22" x14ac:dyDescent="0.25">
      <c r="A5" t="s">
        <v>140</v>
      </c>
      <c r="B5">
        <f t="shared" si="0"/>
        <v>8</v>
      </c>
      <c r="C5">
        <f t="shared" si="1"/>
        <v>5</v>
      </c>
      <c r="D5" s="3">
        <f>IF(SUM(ShadowAbilities1[[#This Row],[takes]]) &gt; 0,ShadowAbilities1[[#This Row],[takes]]/SUM(ShadowAbilities1[takes]),0)</f>
        <v>0.44444444444444442</v>
      </c>
      <c r="E5" s="3">
        <f>IF(ShadowAbilities1[[#This Row],[takes]]&gt;0,ShadowAbilities1[[#This Row],[wins]]/ShadowAbilities1[[#This Row],[takes]],0)</f>
        <v>0.625</v>
      </c>
      <c r="G5">
        <v>3</v>
      </c>
      <c r="H5">
        <f t="shared" si="2"/>
        <v>18</v>
      </c>
      <c r="I5" s="18">
        <f t="shared" si="3"/>
        <v>4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5">
        <f>COUNTIF(Scenario0[winner1-ability1],ShadowAbilities1Scenario0[[#This Row],[ability]])+COUNTIF(Scenario0[winner2-ability1],ShadowAbilities1Scenario0[[#This Row],[ability]])</f>
        <v>0</v>
      </c>
      <c r="N5" s="3">
        <f>IF(SUM(ShadowAbilities1Scenario0[[#This Row],[takes]]) &gt; 0,ShadowAbilities1Scenario0[[#This Row],[takes]]/SUM(ShadowAbilities1Scenario0[takes]),0)</f>
        <v>0</v>
      </c>
      <c r="O5" s="3">
        <f>IF(ShadowAbilities1Scenario0[[#This Row],[takes]]&gt;0,ShadowAbilities1Scenario0[[#This Row],[wins]]/ShadowAbilities1Scenario0[[#This Row],[takes]],0)</f>
        <v>0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5" t="s">
        <v>180</v>
      </c>
      <c r="V5" s="16">
        <f>ShadowEquip[[#This Row],[chestpiece]]/SUM(ShadowEquip[chestpiece])</f>
        <v>0.22222222222222221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0.83333333333333337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0.44444444444444442</v>
      </c>
    </row>
    <row r="8" spans="1:22" x14ac:dyDescent="0.25">
      <c r="A8" s="2" t="s">
        <v>141</v>
      </c>
      <c r="B8" s="2">
        <f>L8+L29+L50+L71+L92+L113</f>
        <v>8</v>
      </c>
      <c r="C8" s="2">
        <f>M8+M29+M50+M71+M92+M113</f>
        <v>2</v>
      </c>
      <c r="D8" s="12">
        <f>IF(SUM(ShadowAbilities2[[#This Row],[takes]]) &gt; 0,ShadowAbilities2[[#This Row],[takes]]/SUM(ShadowAbilities2[takes]),0)</f>
        <v>0.53333333333333333</v>
      </c>
      <c r="E8" s="12">
        <f>IF(ShadowAbilities2[[#This Row],[takes]]&gt;0,ShadowAbilities2[[#This Row],[wins]]/ShadowAbilities2[[#This Row],[takes]],0)</f>
        <v>0.25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8" s="2">
        <f>COUNTIF(Scenario0[winner1-ability2],ShadowAbilities2Scenario0[[#This Row],[ability]])+COUNTIF(Scenario0[winner2-ability2],ShadowAbilities2Scenario0[[#This Row],[ability]])</f>
        <v>0</v>
      </c>
      <c r="N8" s="12">
        <f>IF(SUM(ShadowAbilities2Scenario0[[#This Row],[takes]]) &gt; 0,ShadowAbilities2Scenario0[[#This Row],[takes]]/SUM(ShadowAbilities2Scenario0[takes]),0)</f>
        <v>0</v>
      </c>
      <c r="O8" s="12">
        <f>IF(ShadowAbilities2Scenario0[[#This Row],[takes]]&gt;0,ShadowAbilities2Scenario0[[#This Row],[wins]]/ShadowAbilities2Scenario0[[#This Row],[takes]],0)</f>
        <v>0</v>
      </c>
      <c r="S8" s="18"/>
      <c r="U8" t="s">
        <v>178</v>
      </c>
      <c r="V8" s="16">
        <f>SUM(ShadowAbilities4[takes])/SUM(ShadowAbilities1[takes])</f>
        <v>0.33333333333333331</v>
      </c>
    </row>
    <row r="9" spans="1:22" x14ac:dyDescent="0.25">
      <c r="A9" t="s">
        <v>92</v>
      </c>
      <c r="B9" s="2">
        <f t="shared" ref="B9:B10" si="4">L9+L30+L51+L72+L93+L114</f>
        <v>1</v>
      </c>
      <c r="C9" s="2">
        <f t="shared" ref="C9:C10" si="5">M9+M30+M51+M72+M93+M114</f>
        <v>1</v>
      </c>
      <c r="D9" s="3">
        <f>IF(SUM(ShadowAbilities2[[#This Row],[takes]]) &gt; 0,ShadowAbilities2[[#This Row],[takes]]/SUM(ShadowAbilities2[takes]),0)</f>
        <v>6.6666666666666666E-2</v>
      </c>
      <c r="E9" s="3">
        <f>IF(ShadowAbilities2[[#This Row],[takes]]&gt;0,ShadowAbilities2[[#This Row],[wins]]/ShadowAbilities2[[#This Row],[takes]],0)</f>
        <v>1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2.9444444444444446</v>
      </c>
    </row>
    <row r="10" spans="1:22" x14ac:dyDescent="0.25">
      <c r="A10" s="10" t="s">
        <v>76</v>
      </c>
      <c r="B10" s="2">
        <f t="shared" si="4"/>
        <v>6</v>
      </c>
      <c r="C10" s="2">
        <f t="shared" si="5"/>
        <v>1</v>
      </c>
      <c r="D10" s="13">
        <f>IF(SUM(ShadowAbilities2[[#This Row],[takes]]) &gt; 0,ShadowAbilities2[[#This Row],[takes]]/SUM(ShadowAbilities2[takes]),0)</f>
        <v>0.4</v>
      </c>
      <c r="E10" s="13">
        <f>IF(ShadowAbilities2[[#This Row],[takes]]&gt;0,ShadowAbilities2[[#This Row],[wins]]/ShadowAbilities2[[#This Row],[takes]],0)</f>
        <v>0.16666666666666666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10" s="2">
        <f>COUNTIF(Scenario0[winner1-ability2],ShadowAbilities2Scenario0[[#This Row],[ability]])+COUNTIF(Scenario0[winner2-ability2],ShadowAbilities2Scenario0[[#This Row],[ability]])</f>
        <v>0</v>
      </c>
      <c r="N10" s="13">
        <f>IF(SUM(ShadowAbilities2Scenario0[[#This Row],[takes]]) &gt; 0,ShadowAbilities2Scenario0[[#This Row],[takes]]/SUM(ShadowAbilities2Scenario0[takes]),0)</f>
        <v>0</v>
      </c>
      <c r="O10" s="13">
        <f>IF(ShadowAbilities2Scenario0[[#This Row],[takes]]&gt;0,ShadowAbilities2Scenario0[[#This Row],[wins]]/ShadowAbilities2Scenario0[[#This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1</v>
      </c>
      <c r="C13" s="1">
        <f>M13+M34+M55+M76+M97+M118</f>
        <v>0</v>
      </c>
      <c r="D13" s="14">
        <f>IF(SUM(ShadowAbilities3[[#This Row],[takes]]) &gt; 0,ShadowAbilities3[[#This Row],[takes]]/SUM(ShadowAbilities3[takes]),0)</f>
        <v>0.125</v>
      </c>
      <c r="E13" s="14">
        <f>IF(ShadowAbilities3[[#This Row],[takes]]&gt;0,ShadowAbilities3[[#This Row],[wins]]/ShadowAbilities3[[#This Row],[takes]],0)</f>
        <v>0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0</v>
      </c>
      <c r="C14" s="2">
        <f t="shared" ref="C14:C15" si="7">M14+M35+M56+M77+M98+M119</f>
        <v>0</v>
      </c>
      <c r="D14" s="12">
        <f>IF(SUM(ShadowAbilities3[[#This Row],[takes]]) &gt; 0,ShadowAbilities3[[#This Row],[takes]]/SUM(ShadowAbilities3[takes]),0)</f>
        <v>0</v>
      </c>
      <c r="E14" s="12">
        <f>IF(ShadowAbilities3[[#This Row],[takes]]&gt;0,ShadowAbilities3[[#This Row],[wins]]/ShadowAbilities3[[#This Row],[takes]],0)</f>
        <v>0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7</v>
      </c>
      <c r="C15" s="1">
        <f t="shared" si="7"/>
        <v>0</v>
      </c>
      <c r="D15" s="15">
        <f>IF(SUM(ShadowAbilities3[[#This Row],[takes]]) &gt; 0,ShadowAbilities3[[#This Row],[takes]]/SUM(ShadowAbilities3[takes]),0)</f>
        <v>0.875</v>
      </c>
      <c r="E15" s="15">
        <f>IF(ShadowAbilities3[[#This Row],[takes]]&gt;0,ShadowAbilities3[[#This Row],[wins]]/ShadowAbilities3[[#This Row],[takes]],0)</f>
        <v>0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</v>
      </c>
      <c r="C18" s="2">
        <f>M18+M39+M60+M81+M102+M123</f>
        <v>0</v>
      </c>
      <c r="D18" s="12">
        <f>IF(SUM(ShadowAbilities4[[#This Row],[takes]]) &gt; 0,ShadowAbilities4[[#This Row],[takes]]/SUM(ShadowAbilities4[takes]),0)</f>
        <v>0.5</v>
      </c>
      <c r="E18" s="12">
        <f>IF(ShadowAbilities4[[#This Row],[takes]]&gt;0,ShadowAbilities4[[#This Row],[wins]]/ShadowAbilities4[[#This Row],[takes]],0)</f>
        <v>0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1</v>
      </c>
      <c r="C19" s="2">
        <f t="shared" ref="C19:C20" si="9">M19+M40+M61+M82+M103+M124</f>
        <v>0</v>
      </c>
      <c r="D19" s="12">
        <f>IF(SUM(ShadowAbilities4[[#This Row],[takes]]) &gt; 0,ShadowAbilities4[[#This Row],[takes]]/SUM(ShadowAbilities4[takes]),0)</f>
        <v>0.16666666666666666</v>
      </c>
      <c r="E19" s="12">
        <f>IF(ShadowAbilities4[[#This Row],[takes]]&gt;0,ShadowAbilities4[[#This Row],[wins]]/ShadowAbilities4[[#This Row],[takes]],0)</f>
        <v>0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2</v>
      </c>
      <c r="C20" s="2">
        <f t="shared" si="9"/>
        <v>0</v>
      </c>
      <c r="D20" s="26">
        <f>IF(SUM(ShadowAbilities4[[#This Row],[takes]]) &gt; 0,ShadowAbilities4[[#This Row],[takes]]/SUM(ShadowAbilities4[takes]),0)</f>
        <v>0.33333333333333331</v>
      </c>
      <c r="E20" s="26">
        <f>IF(ShadowAbilities4[[#This Row],[takes]]&gt;0,ShadowAbilities4[[#This Row],[wins]]/ShadowAbilities4[[#This Row],[takes]],0)</f>
        <v>0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4">
        <f>COUNTIF(Scenario1[winner1-ability1],ShadowAbilities1Scenario1[[#This Row],[ability]])+COUNTIF(Scenario1[winner2-ability1],ShadowAbilities1Scenario1[[#This Row],[ability]])</f>
        <v>0</v>
      </c>
      <c r="N24" s="3">
        <f>IF(SUM(ShadowAbilities1Scenario1[[#This Row],[takes]]) &gt; 0,ShadowAbilities1Scenario1[[#This Row],[takes]]/SUM(ShadowAbilities1Scenario1[takes]),0)</f>
        <v>0</v>
      </c>
      <c r="O24" s="3">
        <f>IF(ShadowAbilities1Scenario1[[#This Row],[takes]]&gt;0,ShadowAbilities1Scenario1[[#This Row],[wins]]/ShadowAbilities1Scenario1[[#This Row],[takes]],0)</f>
        <v>0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5">
        <f>COUNTIF(Scenario1[winner1-ability1],ShadowAbilities1Scenario1[[#This Row],[ability]])+COUNTIF(Scenario1[winner2-ability1],ShadowAbilities1Scenario1[[#This Row],[ability]])</f>
        <v>0</v>
      </c>
      <c r="N25" s="3">
        <f>IF(SUM(ShadowAbilities1Scenario1[[#This Row],[takes]]) &gt; 0,ShadowAbilities1Scenario1[[#This Row],[takes]]/SUM(ShadowAbilities1Scenario1[takes]),0)</f>
        <v>0</v>
      </c>
      <c r="O25" s="3">
        <f>IF(ShadowAbilities1Scenario1[[#This Row],[takes]]&gt;0,ShadowAbilities1Scenario1[[#This Row],[wins]]/ShadowAbilities1Scenario1[[#This Row],[takes]],0)</f>
        <v>0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6">
        <f>COUNTIF(Scenario1[winner1-ability1],ShadowAbilities1Scenario1[[#This Row],[ability]])+COUNTIF(Scenario1[winner2-ability1],ShadowAbilities1Scenario1[[#This Row],[ability]])</f>
        <v>0</v>
      </c>
      <c r="N26" s="3">
        <f>IF(SUM(ShadowAbilities1Scenario1[[#This Row],[takes]]) &gt; 0,ShadowAbilities1Scenario1[[#This Row],[takes]]/SUM(ShadowAbilities1Scenario1[takes]),0)</f>
        <v>0</v>
      </c>
      <c r="O26" s="3">
        <f>IF(ShadowAbilities1Scenario1[[#This Row],[takes]]&gt;0,ShadowAbilities1Scenario1[[#This Row],[wins]]/ShadowAbilities1Scenario1[[#This Row],[takes]],0)</f>
        <v>0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29" s="2">
        <f>COUNTIF(Scenario1[winner1-ability2],ShadowAbilities2Scenario1[[#This Row],[ability]])+COUNTIF(Scenario1[winner2-ability2],ShadowAbilities2Scenario1[[#This Row],[ability]])</f>
        <v>0</v>
      </c>
      <c r="N29" s="12">
        <f>IF(SUM(ShadowAbilities2Scenario1[[#This Row],[takes]]) &gt; 0,ShadowAbilities2Scenario1[[#This Row],[takes]]/SUM(ShadowAbilities2Scenario1[takes]),0)</f>
        <v>0</v>
      </c>
      <c r="O29" s="12">
        <f>IF(ShadowAbilities2Scenario1[[#This Row],[takes]]&gt;0,ShadowAbilities2Scenario1[[#This Row],[wins]]/ShadowAbilities2Scenario1[[#This Row],[takes]],0)</f>
        <v>0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0" s="2">
        <f>COUNTIF(Scenario1[winner1-ability2],ShadowAbilities2Scenario1[[#This Row],[ability]])+COUNTIF(Scenario1[winner2-ability2],ShadowAbilities2Scenario1[[#This Row],[ability]])</f>
        <v>0</v>
      </c>
      <c r="N30" s="3">
        <f>IF(SUM(ShadowAbilities2Scenario1[[#This Row],[takes]]) &gt; 0,ShadowAbilities2Scenario1[[#This Row],[takes]]/SUM(ShadowAbilities2Scenario1[takes]),0)</f>
        <v>0</v>
      </c>
      <c r="O30" s="3">
        <f>IF(ShadowAbilities2Scenario1[[#This Row],[takes]]&gt;0,ShadowAbilities2Scenario1[[#This Row],[wins]]/ShadowAbilities2Scenario1[[#This Row],[takes]],0)</f>
        <v>0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1" s="2">
        <f>COUNTIF(Scenario1[winner1-ability2],ShadowAbilities2Scenario1[[#This Row],[ability]])+COUNTIF(Scenario1[winner2-ability2],ShadowAbilities2Scenario1[[#This Row],[ability]])</f>
        <v>0</v>
      </c>
      <c r="N31" s="13">
        <f>IF(SUM(ShadowAbilities2Scenario1[[#This Row],[takes]]) &gt; 0,ShadowAbilities2Scenario1[[#This Row],[takes]]/SUM(ShadowAbilities2Scenario1[takes]),0)</f>
        <v>0</v>
      </c>
      <c r="O31" s="13">
        <f>IF(ShadowAbilities2Scenario1[[#This Row],[takes]]&gt;0,ShadowAbilities2Scenario1[[#This Row],[wins]]/ShadowAbilities2Scenario1[[#This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12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8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1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8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0.625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16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7</v>
      </c>
      <c r="M50" s="2">
        <f>COUNTIF(Scenario2[winner1-ability2],ShadowAbilities2Scenario2[[#This Row],[ability]])</f>
        <v>2</v>
      </c>
      <c r="N50" s="12">
        <f>IF(SUM(ShadowAbilities2Scenario2[[#This Row],[takes]]) &gt; 0,ShadowAbilities2Scenario2[[#This Row],[takes]]/SUM(ShadowAbilities2Scenario2[takes]),0)</f>
        <v>0.5</v>
      </c>
      <c r="O50" s="12">
        <f>IF(ShadowAbilities2Scenario2[[#This Row],[takes]]&gt;0,ShadowAbilities2Scenario2[[#This Row],[wins]]/ShadowAbilities2Scenario2[[#This Row],[takes]],0)</f>
        <v>0.2857142857142857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7.1428571428571425E-2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6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0.42857142857142855</v>
      </c>
      <c r="O52" s="13">
        <f>IF(ShadowAbilities2Scenario2[[#This Row],[takes]]&gt;0,ShadowAbilities2Scenario2[[#This Row],[wins]]/ShadowAbilities2Scenario2[[#This Row],[takes]],0)</f>
        <v>0.16666666666666666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1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0.14285714285714285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6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0.8571428571428571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3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0.6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1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0.2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1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0.2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7">
        <f>COUNTIF(Scenario3[winner1-ability1],ShadowAbilities1Scenario3[[#This Row],[ability]])</f>
        <v>0</v>
      </c>
      <c r="N67" s="3">
        <f>IF(SUM(ShadowAbilities1Scenario3[[#This Row],[takes]]) &gt; 0,ShadowAbilities1Scenario3[[#This Row],[takes]]/SUM(ShadowAbilities1Scenario3[takes]),0)</f>
        <v>0</v>
      </c>
      <c r="O67" s="3">
        <f>IF(ShadowAbilities1Scenario3[[#This Row],[takes]]&gt;0,ShadowAbilities1Scenario3[[#This Row],[wins]]/ShadowAbilities1Scenario3[[#This Row],[takes]],0)</f>
        <v>0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1" s="2">
        <f>COUNTIF(Scenario3[winner1-ability2],ShadowAbilities2Scenario3[[#This Row],[ability]])</f>
        <v>0</v>
      </c>
      <c r="N71" s="12">
        <f>IF(SUM(ShadowAbilities2Scenario3[[#This Row],[takes]]) &gt; 0,ShadowAbilities2Scenario3[[#This Row],[takes]]/SUM(ShadowAbilities2Scenario3[takes]),0)</f>
        <v>0</v>
      </c>
      <c r="O71" s="12">
        <f>IF(ShadowAbilities2Scenario3[[#This Row],[takes]]&gt;0,ShadowAbilities2Scenario3[[#This Row],[wins]]/ShadowAbilities2Scenario3[[#This Row],[takes]],0)</f>
        <v>0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0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6" s="1">
        <f>COUNTIF(Scenario3[winner1-ability3],ShadowAbilities3Scenario3[[#This Row],[ability]])</f>
        <v>0</v>
      </c>
      <c r="N76" s="14">
        <f>IF(SUM(ShadowAbilities3Scenario3[[#This Row],[takes]]) &gt; 0,ShadowAbilities3Scenario3[[#This Row],[takes]]/SUM(ShadowAbilities3Scenario3[takes]),0)</f>
        <v>0</v>
      </c>
      <c r="O76" s="14">
        <f>IF(ShadowAbilities3Scenario3[[#This Row],[takes]]&gt;0,ShadowAbilities3Scenario3[[#This Row],[wins]]/ShadowAbilities3Scenario3[[#This Row],[takes]],0)</f>
        <v>0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7" s="2">
        <f>COUNTIF(Scenario3[winner1-ability3],ShadowAbilities3Scenario3[[#This Row],[ability]])</f>
        <v>0</v>
      </c>
      <c r="N77" s="12">
        <f>IF(SUM(ShadowAbilities3Scenario3[[#This Row],[takes]]) &gt; 0,ShadowAbilities3Scenario3[[#This Row],[takes]]/SUM(ShadowAbilities3Scenario3[takes]),0)</f>
        <v>0</v>
      </c>
      <c r="O77" s="12">
        <f>IF(ShadowAbilities3Scenario3[[#This Row],[takes]]&gt;0,ShadowAbilities3Scenario3[[#This Row],[wins]]/ShadowAbilities3Scenario3[[#This Row],[takes]],0)</f>
        <v>0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2" s="2">
        <f>COUNTIF(Scenario3[winner1-ability4],ShadowAbilities4Scenario3[[#This Row],[ability]])</f>
        <v>0</v>
      </c>
      <c r="N82" s="12">
        <f>IF(SUM(ShadowAbilities4Scenario3[[#This Row],[takes]]) &gt; 0,ShadowAbilities4Scenario3[[#This Row],[takes]]/SUM(ShadowAbilities4Scenario3[takes]),0)</f>
        <v>0</v>
      </c>
      <c r="O82" s="12">
        <f>IF(ShadowAbilities4Scenario3[[#This Row],[takes]]&gt;0,ShadowAbilities4Scenario3[[#This Row],[wins]]/ShadowAbilities4Scenario3[[#This Row],[takes]],0)</f>
        <v>0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3" s="2">
        <f>COUNTIF(Scenario3[winner1-ability4],ShadowAbilities4Scenario3[[#This Row],[ability]])</f>
        <v>0</v>
      </c>
      <c r="N83" s="26">
        <f>IF(SUM(ShadowAbilities4Scenario3[[#This Row],[takes]]) &gt; 0,ShadowAbilities4Scenario3[[#This Row],[takes]]/SUM(ShadowAbilities4Scenario3[takes]),0)</f>
        <v>0</v>
      </c>
      <c r="O83" s="26">
        <f>IF(ShadowAbilities4Scenario3[[#This Row],[takes]]&gt;0,ShadowAbilities4Scenario3[[#This Row],[wins]]/ShadowAbilities4Scenario3[[#This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8">
        <f>COUNTIF(Scenario4[winner1-ability1],ShadowAbilities1Scenario4[[#This Row],[ability]])</f>
        <v>0</v>
      </c>
      <c r="N88" s="3">
        <f>IF(SUM(ShadowAbilities1Scenario4[[#This Row],[takes]]) &gt; 0,ShadowAbilities1Scenario4[[#This Row],[takes]]/SUM(ShadowAbilities1Scenario4[takes]),0)</f>
        <v>0</v>
      </c>
      <c r="O88" s="3">
        <f>IF(ShadowAbilities1Scenario4[[#This Row],[takes]]&gt;0,ShadowAbilities1Scenario4[[#This Row],[wins]]/ShadowAbilities1Scenario4[[#This Row],[takes]],0)</f>
        <v>0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2" s="2">
        <f>COUNTIF(Scenario4[winner1-ability2],ShadowAbilities2Scenario4[[#This Row],[ability]])</f>
        <v>0</v>
      </c>
      <c r="N92" s="12">
        <f>IF(SUM(ShadowAbilities2Scenario4[[#This Row],[takes]]) &gt; 0,ShadowAbilities2Scenario4[[#This Row],[takes]]/SUM(ShadowAbilities2Scenario4[takes]),0)</f>
        <v>0</v>
      </c>
      <c r="O92" s="12">
        <f>IF(ShadowAbilities2Scenario4[[#This Row],[takes]]&gt;0,ShadowAbilities2Scenario4[[#This Row],[wins]]/ShadowAbilities2Scenario4[[#This Row],[takes]],0)</f>
        <v>0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4" s="2">
        <f>COUNTIF(Scenario4[winner1-ability2],ShadowAbilities2Scenario4[[#This Row],[ability]])</f>
        <v>0</v>
      </c>
      <c r="N94" s="13">
        <f>IF(SUM(ShadowAbilities2Scenario4[[#This Row],[takes]]) &gt; 0,ShadowAbilities2Scenario4[[#This Row],[takes]]/SUM(ShadowAbilities2Scenario4[takes]),0)</f>
        <v>0</v>
      </c>
      <c r="O94" s="13">
        <f>IF(ShadowAbilities2Scenario4[[#This Row],[takes]]&gt;0,ShadowAbilities2Scenario4[[#This Row],[wins]]/ShadowAbilities2Scenario4[[#This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8" s="2">
        <f>COUNTIF(Scenario4[winner1-ability3],ShadowAbilities3Scenario4[[#This Row],[ability]])</f>
        <v>0</v>
      </c>
      <c r="N98" s="12">
        <f>IF(SUM(ShadowAbilities3Scenario4[[#This Row],[takes]]) &gt; 0,ShadowAbilities3Scenario4[[#This Row],[takes]]/SUM(ShadowAbilities3Scenario4[takes]),0)</f>
        <v>0</v>
      </c>
      <c r="O98" s="12">
        <f>IF(ShadowAbilities3Scenario4[[#This Row],[takes]]&gt;0,ShadowAbilities3Scenario4[[#This Row],[wins]]/ShadowAbilities3Scenario4[[#This Row],[takes]],0)</f>
        <v>0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3" s="2">
        <f>COUNTIF(Scenario4[winner1-ability4],ShadowAbilities4Scenario4[[#This Row],[ability]])</f>
        <v>0</v>
      </c>
      <c r="N103" s="12">
        <f>IF(SUM(ShadowAbilities4Scenario4[[#This Row],[takes]]) &gt; 0,ShadowAbilities4Scenario4[[#This Row],[takes]]/SUM(ShadowAbilities4Scenario4[takes]),0)</f>
        <v>0</v>
      </c>
      <c r="O103" s="12">
        <f>IF(ShadowAbilities4Scenario4[[#This Row],[takes]]&gt;0,ShadowAbilities4Scenario4[[#This Row],[wins]]/ShadowAbilities4Scenario4[[#This Row],[takes]],0)</f>
        <v>0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0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0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1</v>
      </c>
      <c r="M109">
        <f>COUNTIF(Scenario5[winner1-ability1],ShadowAbilities1Scenario5[[#This Row],[ability]])+COUNTIF(Scenario5[winner2-ability1],ShadowAbilities1Scenario5[[#This Row],[ability]])</f>
        <v>0</v>
      </c>
      <c r="N109" s="3">
        <f>IF(SUM(ShadowAbilities1Scenario5[[#This Row],[takes]]) &gt; 0,ShadowAbilities1Scenario5[[#This Row],[takes]]/SUM(ShadowAbilities1Scenario5[takes]),0)</f>
        <v>1</v>
      </c>
      <c r="O109" s="3">
        <f>IF(ShadowAbilities1Scenario5[[#This Row],[takes]]&gt;0,ShadowAbilities1Scenario5[[#This Row],[wins]]/ShadowAbilities1Scenario5[[#This Row],[takes]],0)</f>
        <v>0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0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10">
        <f>COUNTIF(Scenario5[winner1-ability1],ShadowAbilities1Scenario5[[#This Row],[ability]])+COUNTIF(Scenario5[winner2-ability1],ShadowAbilities1Scenario5[[#This Row],[ability]])</f>
        <v>0</v>
      </c>
      <c r="N110" s="3">
        <f>IF(SUM(ShadowAbilities1Scenario5[[#This Row],[takes]]) &gt; 0,ShadowAbilities1Scenario5[[#This Row],[takes]]/SUM(ShadowAbilities1Scenario5[takes]),0)</f>
        <v>0</v>
      </c>
      <c r="O110" s="3">
        <f>IF(ShadowAbilities1Scenario5[[#This Row],[takes]]&gt;0,ShadowAbilities1Scenario5[[#This Row],[wins]]/ShadowAbilities1Scenario5[[#This Row],[takes]],0)</f>
        <v>0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</v>
      </c>
      <c r="M113" s="2">
        <f>COUNTIF(Scenario5[winner1-ability2],ShadowAbilities2Scenario5[[#This Row],[ability]])+COUNTIF(Scenario5[winner2-ability2],ShadowAbilities2Scenario5[[#This Row],[ability]])</f>
        <v>0</v>
      </c>
      <c r="N113" s="12">
        <f>IF(SUM(ShadowAbilities2Scenario5[[#This Row],[takes]]) &gt; 0,ShadowAbilities2Scenario5[[#This Row],[takes]]/SUM(ShadowAbilities2Scenario5[takes]),0)</f>
        <v>1</v>
      </c>
      <c r="O113" s="12">
        <f>IF(ShadowAbilities2Scenario5[[#This Row],[takes]]&gt;0,ShadowAbilities2Scenario5[[#This Row],[wins]]/ShadowAbilities2Scenario5[[#This Row],[takes]],0)</f>
        <v>0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0</v>
      </c>
      <c r="M114" s="2">
        <f>COUNTIF(Scenario5[winner1-ability2],ShadowAbilities2Scenario5[[#This Row],[ability]])+COUNTIF(Scenario5[winner2-ability2],ShadowAbilities2Scenario5[[#This Row],[ability]])</f>
        <v>0</v>
      </c>
      <c r="N114" s="3">
        <f>IF(SUM(ShadowAbilities2Scenario5[[#This Row],[takes]]) &gt; 0,ShadowAbilities2Scenario5[[#This Row],[takes]]/SUM(ShadowAbilities2Scenario5[takes]),0)</f>
        <v>0</v>
      </c>
      <c r="O114" s="3">
        <f>IF(ShadowAbilities2Scenario5[[#This Row],[takes]]&gt;0,ShadowAbilities2Scenario5[[#This Row],[wins]]/ShadowAbilities2Scenario5[[#This Row],[takes]],0)</f>
        <v>0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0</v>
      </c>
      <c r="M115" s="2">
        <f>COUNTIF(Scenario5[winner1-ability2],ShadowAbilities2Scenario5[[#This Row],[ability]])+COUNTIF(Scenario5[winner2-ability2],ShadowAbilities2Scenario5[[#This Row],[ability]])</f>
        <v>0</v>
      </c>
      <c r="N115" s="13">
        <f>IF(SUM(ShadowAbilities2Scenario5[[#This Row],[takes]]) &gt; 0,ShadowAbilities2Scenario5[[#This Row],[takes]]/SUM(ShadowAbilities2Scenario5[takes]),0)</f>
        <v>0</v>
      </c>
      <c r="O115" s="13">
        <f>IF(ShadowAbilities2Scenario5[[#This Row],[takes]]&gt;0,ShadowAbilities2Scenario5[[#This Row],[wins]]/ShadowAbilities2Scenario5[[#This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0</v>
      </c>
      <c r="M118" s="1">
        <f>COUNTIF(Scenario5[winner1-ability3],ShadowAbilities3Scenario5[[#This Row],[ability]])+COUNTIF(Scenario5[winner2-ability3],ShadowAbilities3Scenario5[[#This Row],[ability]])</f>
        <v>0</v>
      </c>
      <c r="N118" s="14">
        <f>IF(SUM(ShadowAbilities3Scenario5[[#This Row],[takes]]) &gt; 0,ShadowAbilities3Scenario5[[#This Row],[takes]]/SUM(ShadowAbilities3Scenario5[takes]),0)</f>
        <v>0</v>
      </c>
      <c r="O118" s="14">
        <f>IF(ShadowAbilities3Scenario5[[#This Row],[takes]]&gt;0,ShadowAbilities3Scenario5[[#This Row],[wins]]/ShadowAbilities3Scenario5[[#This Row],[takes]],0)</f>
        <v>0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0</v>
      </c>
      <c r="M119" s="2">
        <f>COUNTIF(Scenario5[winner1-ability3],ShadowAbilities3Scenario5[[#This Row],[ability]])+COUNTIF(Scenario5[winner2-ability3],ShadowAbilities3Scenario5[[#This Row],[ability]])</f>
        <v>0</v>
      </c>
      <c r="N119" s="12">
        <f>IF(SUM(ShadowAbilities3Scenario5[[#This Row],[takes]]) &gt; 0,ShadowAbilities3Scenario5[[#This Row],[takes]]/SUM(ShadowAbilities3Scenario5[takes]),0)</f>
        <v>0</v>
      </c>
      <c r="O119" s="12">
        <f>IF(ShadowAbilities3Scenario5[[#This Row],[takes]]&gt;0,ShadowAbilities3Scenario5[[#This Row],[wins]]/ShadowAbilities3Scenario5[[#This Row],[takes]],0)</f>
        <v>0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</v>
      </c>
      <c r="M120" s="1">
        <f>COUNTIF(Scenario5[winner1-ability3],ShadowAbilities3Scenario5[[#This Row],[ability]])+COUNTIF(Scenario5[winner2-ability3],ShadowAbilities3Scenario5[[#This Row],[ability]])</f>
        <v>0</v>
      </c>
      <c r="N120" s="15">
        <f>IF(SUM(ShadowAbilities3Scenario5[[#This Row],[takes]]) &gt; 0,ShadowAbilities3Scenario5[[#This Row],[takes]]/SUM(ShadowAbilities3Scenario5[takes]),0)</f>
        <v>1</v>
      </c>
      <c r="O120" s="15">
        <f>IF(ShadowAbilities3Scenario5[[#This Row],[takes]]&gt;0,ShadowAbilities3Scenario5[[#This Row],[wins]]/ShadowAbilities3Scenario5[[#This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0</v>
      </c>
      <c r="M123" s="2">
        <f>COUNTIF(Scenario5[winner1-ability4],ShadowAbilities4Scenario5[[#This Row],[ability]])+COUNTIF(Scenario5[winner2-ability4],ShadowAbilities4Scenario5[[#This Row],[ability]])</f>
        <v>0</v>
      </c>
      <c r="N123" s="12">
        <f>IF(SUM(ShadowAbilities4Scenario5[[#This Row],[takes]]) &gt; 0,ShadowAbilities4Scenario5[[#This Row],[takes]]/SUM(ShadowAbilities4Scenario5[takes]),0)</f>
        <v>0</v>
      </c>
      <c r="O123" s="12">
        <f>IF(ShadowAbilities4Scenario5[[#This Row],[takes]]&gt;0,ShadowAbilities4Scenario5[[#This Row],[wins]]/ShadowAbilities4Scenario5[[#This Row],[takes]],0)</f>
        <v>0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0</v>
      </c>
      <c r="M124" s="2">
        <f>COUNTIF(Scenario5[winner1-ability4],ShadowAbilities4Scenario5[[#This Row],[ability]])+COUNTIF(Scenario5[winner2-ability4],ShadowAbilities4Scenario5[[#This Row],[ability]])</f>
        <v>0</v>
      </c>
      <c r="N124" s="12">
        <f>IF(SUM(ShadowAbilities4Scenario5[[#This Row],[takes]]) &gt; 0,ShadowAbilities4Scenario5[[#This Row],[takes]]/SUM(ShadowAbilities4Scenario5[takes]),0)</f>
        <v>0</v>
      </c>
      <c r="O124" s="12">
        <f>IF(ShadowAbilities4Scenario5[[#This Row],[takes]]&gt;0,ShadowAbilities4Scenario5[[#This Row],[wins]]/ShadowAbilities4Scenario5[[#This Row],[takes]],0)</f>
        <v>0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</v>
      </c>
      <c r="M125" s="2">
        <f>COUNTIF(Scenario5[winner1-ability4],ShadowAbilities4Scenario5[[#This Row],[ability]])+COUNTIF(Scenario5[winner2-ability4],ShadowAbilities4Scenario5[[#This Row],[ability]])</f>
        <v>0</v>
      </c>
      <c r="N125" s="26">
        <f>IF(SUM(ShadowAbilities4Scenario5[[#This Row],[takes]]) &gt; 0,ShadowAbilities4Scenario5[[#This Row],[takes]]/SUM(ShadowAbilities4Scenario5[takes]),0)</f>
        <v>1</v>
      </c>
      <c r="O125" s="26">
        <f>IF(ShadowAbilities4Scenario5[[#This Row],[takes]]&gt;0,ShadowAbilities4Scenario5[[#This Row],[wins]]/ShadowAbilities4Scenario5[[#This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0"/>
  <sheetViews>
    <sheetView workbookViewId="0">
      <selection activeCell="C8" sqref="C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MIN(Scenario0[crystals])</f>
        <v>10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10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0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" s="3">
        <f>IF(ScenarioTeams0[[#This Row],[battles]],ScenarioTeams0[[#This Row],[wins]]/ScenarioTeams0[[#This Row],[battles]],0)</f>
        <v>0</v>
      </c>
      <c r="O3" s="4" t="s">
        <v>159</v>
      </c>
      <c r="P3" s="30">
        <f>MAX(Scenario0[crystals])</f>
        <v>10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0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4" s="3">
        <f>IF(ScenarioTeams0[[#This Row],[battles]],ScenarioTeams0[[#This Row],[wins]]/ScenarioTeams0[[#This Row],[battles]],0)</f>
        <v>0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5" s="3">
        <f>IF(ScenarioTeams0[[#This Row],[battles]],ScenarioTeams0[[#This Row],[wins]]/ScenarioTeams0[[#This Row],[battles]],0)</f>
        <v>0</v>
      </c>
      <c r="O5" s="4" t="s">
        <v>158</v>
      </c>
      <c r="P5" s="30">
        <f>MIN(Scenario0[turns])</f>
        <v>38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0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6" s="3">
        <f>IF(ScenarioTeams0[[#This Row],[battles]],ScenarioTeams0[[#This Row],[wins]]/ScenarioTeams0[[#This Row],[battles]],0)</f>
        <v>0</v>
      </c>
      <c r="O6" s="5" t="s">
        <v>108</v>
      </c>
      <c r="P6" s="31">
        <f>AVERAGE(Scenario0[turns])</f>
        <v>38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0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7" s="3">
        <f>IF(ScenarioTeams0[[#This Row],[battles]],ScenarioTeams0[[#This Row],[wins]]/ScenarioTeams0[[#This Row],[battles]],0)</f>
        <v>0</v>
      </c>
      <c r="O7" s="5" t="s">
        <v>160</v>
      </c>
      <c r="P7" s="31">
        <f>MAX(Scenario0[turns])</f>
        <v>38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48</v>
      </c>
      <c r="E8" t="s">
        <v>232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0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8" s="3">
        <f>IF(ScenarioTeams0[[#This Row],[battles]],ScenarioTeams0[[#This Row],[wins]]/ScenarioTeams0[[#This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43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">
        <f>ScenarioStat0[[#This Row],[team-1-win]]+ScenarioStat0[[#This Row],[team-2-win]]</f>
        <v>0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9" s="3">
        <f>IF(ScenarioTeams0[[#This Row],[battles]],ScenarioTeams0[[#This Row],[wins]]/ScenarioTeams0[[#This Row],[battles]],0)</f>
        <v>0</v>
      </c>
      <c r="O9" s="4" t="s">
        <v>185</v>
      </c>
      <c r="P9" s="30">
        <f>120000*$P$6/1000/60</f>
        <v>76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45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0</v>
      </c>
      <c r="I10" t="s">
        <v>53</v>
      </c>
      <c r="J10" t="s">
        <v>232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0" s="3">
        <f>IF(ScenarioTeams0[[#This Row],[battles]],ScenarioTeams0[[#This Row],[wins]]/ScenarioTeams0[[#This Row],[battles]],0)</f>
        <v>0</v>
      </c>
      <c r="O10" s="5" t="s">
        <v>186</v>
      </c>
      <c r="P10" s="31">
        <f>P9*COUNTA(ScenarioStat0[hero-1])/60/24</f>
        <v>19.95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63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0</v>
      </c>
      <c r="I11" t="s">
        <v>56</v>
      </c>
      <c r="J11" t="s">
        <v>48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1" s="3">
        <f>IF(ScenarioTeams0[[#This Row],[battles]],ScenarioTeams0[[#This Row],[wins]]/ScenarioTeams0[[#This Row],[battles]],0)</f>
        <v>0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33</v>
      </c>
      <c r="E12" t="s">
        <v>38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0</v>
      </c>
      <c r="I12" t="s">
        <v>56</v>
      </c>
      <c r="J12" t="s">
        <v>33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2" s="3">
        <f>IF(ScenarioTeams0[[#This Row],[battles]],ScenarioTeams0[[#This Row],[wins]]/ScenarioTeams0[[#This Row],[battles]],0)</f>
        <v>0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33</v>
      </c>
      <c r="E13" t="s">
        <v>232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0</v>
      </c>
      <c r="I13" t="s">
        <v>56</v>
      </c>
      <c r="J13" t="s">
        <v>43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3" s="3">
        <f>IF(ScenarioTeams0[[#This Row],[battles]],ScenarioTeams0[[#This Row],[wins]]/ScenarioTeams0[[#This Row],[battles]],0)</f>
        <v>0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45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0</v>
      </c>
      <c r="I14" t="s">
        <v>56</v>
      </c>
      <c r="J14" t="s">
        <v>45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4" s="3">
        <f>IF(ScenarioTeams0[[#This Row],[battles]],ScenarioTeams0[[#This Row],[wins]]/ScenarioTeams0[[#This Row],[battles]],0)</f>
        <v>0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43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0</v>
      </c>
      <c r="I15" t="s">
        <v>56</v>
      </c>
      <c r="J15" t="s">
        <v>63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5" s="3">
        <f>IF(ScenarioTeams0[[#This Row],[battles]],ScenarioTeams0[[#This Row],[wins]]/ScenarioTeams0[[#This Row],[battles]],0)</f>
        <v>0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43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0</v>
      </c>
      <c r="I16" t="s">
        <v>56</v>
      </c>
      <c r="J16" t="s">
        <v>38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6" s="3">
        <f>IF(ScenarioTeams0[[#This Row],[battles]],ScenarioTeams0[[#This Row],[wins]]/ScenarioTeams0[[#This Row],[battles]],0)</f>
        <v>0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43</v>
      </c>
      <c r="E17" t="s">
        <v>232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0</v>
      </c>
      <c r="I17" t="s">
        <v>56</v>
      </c>
      <c r="J17" t="s">
        <v>232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7" s="3">
        <f>IF(ScenarioTeams0[[#This Row],[battles]],ScenarioTeams0[[#This Row],[wins]]/ScenarioTeams0[[#This Row],[battles]],0)</f>
        <v>0</v>
      </c>
    </row>
    <row r="18" spans="1:13" x14ac:dyDescent="0.25">
      <c r="A18" t="s">
        <v>53</v>
      </c>
      <c r="B18" t="s">
        <v>56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45</v>
      </c>
      <c r="E18" t="s">
        <v>63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0</v>
      </c>
      <c r="I18" t="s">
        <v>48</v>
      </c>
      <c r="J18" t="s">
        <v>33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8" s="3">
        <f>IF(ScenarioTeams0[[#This Row],[battles]],ScenarioTeams0[[#This Row],[wins]]/ScenarioTeams0[[#This Row],[battles]],0)</f>
        <v>0</v>
      </c>
    </row>
    <row r="19" spans="1:13" x14ac:dyDescent="0.25">
      <c r="A19" t="s">
        <v>53</v>
      </c>
      <c r="B19" t="s">
        <v>56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45</v>
      </c>
      <c r="E19" t="s">
        <v>38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0</v>
      </c>
      <c r="I19" t="s">
        <v>48</v>
      </c>
      <c r="J19" t="s">
        <v>43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9" s="3">
        <f>IF(ScenarioTeams0[[#This Row],[battles]],ScenarioTeams0[[#This Row],[wins]]/ScenarioTeams0[[#This Row],[battles]],0)</f>
        <v>0</v>
      </c>
    </row>
    <row r="20" spans="1:13" x14ac:dyDescent="0.25">
      <c r="A20" t="s">
        <v>53</v>
      </c>
      <c r="B20" t="s">
        <v>56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45</v>
      </c>
      <c r="E20" t="s">
        <v>232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0</v>
      </c>
      <c r="I20" t="s">
        <v>48</v>
      </c>
      <c r="J20" t="s">
        <v>45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0" s="3">
        <f>IF(ScenarioTeams0[[#This Row],[battles]],ScenarioTeams0[[#This Row],[wins]]/ScenarioTeams0[[#This Row],[battles]],0)</f>
        <v>1</v>
      </c>
    </row>
    <row r="21" spans="1:13" x14ac:dyDescent="0.25">
      <c r="A21" t="s">
        <v>53</v>
      </c>
      <c r="B21" t="s">
        <v>56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63</v>
      </c>
      <c r="E21" t="s">
        <v>38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0</v>
      </c>
      <c r="I21" t="s">
        <v>48</v>
      </c>
      <c r="J21" t="s">
        <v>63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1" s="3">
        <f>IF(ScenarioTeams0[[#This Row],[battles]],ScenarioTeams0[[#This Row],[wins]]/ScenarioTeams0[[#This Row],[battles]],0)</f>
        <v>0</v>
      </c>
    </row>
    <row r="22" spans="1:13" x14ac:dyDescent="0.25">
      <c r="A22" t="s">
        <v>53</v>
      </c>
      <c r="B22" t="s">
        <v>56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63</v>
      </c>
      <c r="E22" t="s">
        <v>232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0</v>
      </c>
      <c r="I22" t="s">
        <v>48</v>
      </c>
      <c r="J22" t="s">
        <v>38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2" s="3">
        <f>IF(ScenarioTeams0[[#This Row],[battles]],ScenarioTeams0[[#This Row],[wins]]/ScenarioTeams0[[#This Row],[battles]],0)</f>
        <v>0</v>
      </c>
    </row>
    <row r="23" spans="1:13" x14ac:dyDescent="0.25">
      <c r="A23" t="s">
        <v>53</v>
      </c>
      <c r="B23" t="s">
        <v>56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38</v>
      </c>
      <c r="E23" t="s">
        <v>232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">
        <f>ScenarioStat0[[#This Row],[team-1-win]]+ScenarioStat0[[#This Row],[team-2-win]]</f>
        <v>0</v>
      </c>
      <c r="I23" t="s">
        <v>48</v>
      </c>
      <c r="J23" t="s">
        <v>232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3" s="3">
        <f>IF(ScenarioTeams0[[#This Row],[battles]],ScenarioTeams0[[#This Row],[wins]]/ScenarioTeams0[[#This Row],[battles]],0)</f>
        <v>0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56</v>
      </c>
      <c r="E24" t="s">
        <v>33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">
        <f>ScenarioStat0[[#This Row],[team-1-win]]+ScenarioStat0[[#This Row],[team-2-win]]</f>
        <v>0</v>
      </c>
      <c r="I24" t="s">
        <v>33</v>
      </c>
      <c r="J24" t="s">
        <v>43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4" s="3">
        <f>IF(ScenarioTeams0[[#This Row],[battles]],ScenarioTeams0[[#This Row],[wins]]/ScenarioTeams0[[#This Row],[battles]],0)</f>
        <v>0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56</v>
      </c>
      <c r="E25" t="s">
        <v>43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0</v>
      </c>
      <c r="I25" t="s">
        <v>33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5" s="3">
        <f>IF(ScenarioTeams0[[#This Row],[battles]],ScenarioTeams0[[#This Row],[wins]]/ScenarioTeams0[[#This Row],[battles]],0)</f>
        <v>0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56</v>
      </c>
      <c r="E26" t="s">
        <v>45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0</v>
      </c>
      <c r="I26" t="s">
        <v>33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6" s="3">
        <f>IF(ScenarioTeams0[[#This Row],[battles]],ScenarioTeams0[[#This Row],[wins]]/ScenarioTeams0[[#This Row],[battles]],0)</f>
        <v>0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56</v>
      </c>
      <c r="E27" t="s">
        <v>63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">
        <f>ScenarioStat0[[#This Row],[team-1-win]]+ScenarioStat0[[#This Row],[team-2-win]]</f>
        <v>0</v>
      </c>
      <c r="I27" t="s">
        <v>33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7" s="3">
        <f>IF(ScenarioTeams0[[#This Row],[battles]],ScenarioTeams0[[#This Row],[wins]]/ScenarioTeams0[[#This Row],[battles]],0)</f>
        <v>0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56</v>
      </c>
      <c r="E28" t="s">
        <v>38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0</v>
      </c>
      <c r="I28" t="s">
        <v>33</v>
      </c>
      <c r="J28" t="s">
        <v>232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8" s="3">
        <f>IF(ScenarioTeams0[[#This Row],[battles]],ScenarioTeams0[[#This Row],[wins]]/ScenarioTeams0[[#This Row],[battles]],0)</f>
        <v>0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56</v>
      </c>
      <c r="E29" t="s">
        <v>232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0</v>
      </c>
      <c r="I29" t="s">
        <v>43</v>
      </c>
      <c r="J29" t="s">
        <v>45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9" s="3">
        <f>IF(ScenarioTeams0[[#This Row],[battles]],ScenarioTeams0[[#This Row],[wins]]/ScenarioTeams0[[#This Row],[battles]],0)</f>
        <v>0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33</v>
      </c>
      <c r="E30" t="s">
        <v>43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0</v>
      </c>
      <c r="I30" t="s">
        <v>43</v>
      </c>
      <c r="J30" t="s">
        <v>63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0" s="3">
        <f>IF(ScenarioTeams0[[#This Row],[battles]],ScenarioTeams0[[#This Row],[wins]]/ScenarioTeams0[[#This Row],[battles]],0)</f>
        <v>0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33</v>
      </c>
      <c r="E31" t="s">
        <v>45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0</v>
      </c>
      <c r="I31" t="s">
        <v>43</v>
      </c>
      <c r="J31" t="s">
        <v>38</v>
      </c>
      <c r="K3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1" s="3">
        <f>IF(ScenarioTeams0[[#This Row],[battles]],ScenarioTeams0[[#This Row],[wins]]/ScenarioTeams0[[#This Row],[battles]],0)</f>
        <v>0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33</v>
      </c>
      <c r="E32" t="s">
        <v>63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0</v>
      </c>
      <c r="I32" t="s">
        <v>43</v>
      </c>
      <c r="J32" t="s">
        <v>232</v>
      </c>
      <c r="K3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2" s="3">
        <f>IF(ScenarioTeams0[[#This Row],[battles]],ScenarioTeams0[[#This Row],[wins]]/ScenarioTeams0[[#This Row],[battles]],0)</f>
        <v>0</v>
      </c>
    </row>
    <row r="33" spans="1:13" x14ac:dyDescent="0.25">
      <c r="A33" t="s">
        <v>53</v>
      </c>
      <c r="B33" t="s">
        <v>48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33</v>
      </c>
      <c r="E33" t="s">
        <v>38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0</v>
      </c>
      <c r="I33" t="s">
        <v>45</v>
      </c>
      <c r="J33" t="s">
        <v>63</v>
      </c>
      <c r="K3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3" s="3">
        <f>IF(ScenarioTeams0[[#This Row],[battles]],ScenarioTeams0[[#This Row],[wins]]/ScenarioTeams0[[#This Row],[battles]],0)</f>
        <v>0</v>
      </c>
    </row>
    <row r="34" spans="1:13" x14ac:dyDescent="0.25">
      <c r="A34" t="s">
        <v>53</v>
      </c>
      <c r="B34" t="s">
        <v>48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33</v>
      </c>
      <c r="E34" t="s">
        <v>232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0</v>
      </c>
      <c r="I34" t="s">
        <v>45</v>
      </c>
      <c r="J34" t="s">
        <v>38</v>
      </c>
      <c r="K3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4" s="3">
        <f>IF(ScenarioTeams0[[#This Row],[battles]],ScenarioTeams0[[#This Row],[wins]]/ScenarioTeams0[[#This Row],[battles]],0)</f>
        <v>0</v>
      </c>
    </row>
    <row r="35" spans="1:13" x14ac:dyDescent="0.25">
      <c r="A35" t="s">
        <v>53</v>
      </c>
      <c r="B35" t="s">
        <v>48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43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0</v>
      </c>
      <c r="I35" t="s">
        <v>45</v>
      </c>
      <c r="J35" t="s">
        <v>232</v>
      </c>
      <c r="K3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5" s="3">
        <f>IF(ScenarioTeams0[[#This Row],[battles]],ScenarioTeams0[[#This Row],[wins]]/ScenarioTeams0[[#This Row],[battles]],0)</f>
        <v>0</v>
      </c>
    </row>
    <row r="36" spans="1:13" x14ac:dyDescent="0.25">
      <c r="A36" t="s">
        <v>53</v>
      </c>
      <c r="B36" t="s">
        <v>48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43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0</v>
      </c>
      <c r="I36" t="s">
        <v>63</v>
      </c>
      <c r="J36" t="s">
        <v>38</v>
      </c>
      <c r="K3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6" s="3">
        <f>IF(ScenarioTeams0[[#This Row],[battles]],ScenarioTeams0[[#This Row],[wins]]/ScenarioTeams0[[#This Row],[battles]],0)</f>
        <v>0</v>
      </c>
    </row>
    <row r="37" spans="1:13" x14ac:dyDescent="0.25">
      <c r="A37" t="s">
        <v>53</v>
      </c>
      <c r="B37" t="s">
        <v>48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43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0</v>
      </c>
      <c r="I37" t="s">
        <v>38</v>
      </c>
      <c r="J37" t="s">
        <v>232</v>
      </c>
      <c r="K3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7" s="3">
        <f>IF(ScenarioTeams0[[#This Row],[battles]],ScenarioTeams0[[#This Row],[wins]]/ScenarioTeams0[[#This Row],[battles]],0)</f>
        <v>0</v>
      </c>
    </row>
    <row r="38" spans="1:13" x14ac:dyDescent="0.25">
      <c r="A38" t="s">
        <v>53</v>
      </c>
      <c r="B38" t="s">
        <v>48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43</v>
      </c>
      <c r="E38" t="s">
        <v>232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0</v>
      </c>
    </row>
    <row r="39" spans="1:13" x14ac:dyDescent="0.25">
      <c r="A39" t="s">
        <v>53</v>
      </c>
      <c r="B39" t="s">
        <v>48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45</v>
      </c>
      <c r="E39" t="s">
        <v>63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0</v>
      </c>
    </row>
    <row r="40" spans="1:13" x14ac:dyDescent="0.25">
      <c r="A40" t="s">
        <v>53</v>
      </c>
      <c r="B40" t="s">
        <v>48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45</v>
      </c>
      <c r="E40" t="s">
        <v>38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0</v>
      </c>
    </row>
    <row r="41" spans="1:13" x14ac:dyDescent="0.25">
      <c r="A41" t="s">
        <v>53</v>
      </c>
      <c r="B41" t="s">
        <v>48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45</v>
      </c>
      <c r="E41" t="s">
        <v>232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0</v>
      </c>
    </row>
    <row r="42" spans="1:13" x14ac:dyDescent="0.25">
      <c r="A42" t="s">
        <v>53</v>
      </c>
      <c r="B42" t="s">
        <v>48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63</v>
      </c>
      <c r="E42" t="s">
        <v>38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0</v>
      </c>
    </row>
    <row r="43" spans="1:13" x14ac:dyDescent="0.25">
      <c r="A43" t="s">
        <v>53</v>
      </c>
      <c r="B43" t="s">
        <v>48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63</v>
      </c>
      <c r="E43" t="s">
        <v>232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0</v>
      </c>
    </row>
    <row r="44" spans="1:13" x14ac:dyDescent="0.25">
      <c r="A44" t="s">
        <v>53</v>
      </c>
      <c r="B44" t="s">
        <v>48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38</v>
      </c>
      <c r="E44" t="s">
        <v>232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0</v>
      </c>
    </row>
    <row r="45" spans="1:13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56</v>
      </c>
      <c r="E45" t="s">
        <v>48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0</v>
      </c>
    </row>
    <row r="46" spans="1:13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56</v>
      </c>
      <c r="E46" t="s">
        <v>43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0</v>
      </c>
    </row>
    <row r="47" spans="1:13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56</v>
      </c>
      <c r="E47" t="s">
        <v>45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0</v>
      </c>
    </row>
    <row r="48" spans="1:13" x14ac:dyDescent="0.25">
      <c r="A48" t="s">
        <v>53</v>
      </c>
      <c r="B48" t="s">
        <v>33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63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0</v>
      </c>
    </row>
    <row r="49" spans="1:7" x14ac:dyDescent="0.25">
      <c r="A49" t="s">
        <v>53</v>
      </c>
      <c r="B49" t="s">
        <v>33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38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0</v>
      </c>
    </row>
    <row r="50" spans="1:7" x14ac:dyDescent="0.25">
      <c r="A50" t="s">
        <v>53</v>
      </c>
      <c r="B50" t="s">
        <v>33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232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0</v>
      </c>
    </row>
    <row r="51" spans="1:7" x14ac:dyDescent="0.25">
      <c r="A51" t="s">
        <v>53</v>
      </c>
      <c r="B51" t="s">
        <v>33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48</v>
      </c>
      <c r="E51" t="s">
        <v>43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0</v>
      </c>
    </row>
    <row r="52" spans="1:7" x14ac:dyDescent="0.25">
      <c r="A52" t="s">
        <v>53</v>
      </c>
      <c r="B52" t="s">
        <v>33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48</v>
      </c>
      <c r="E52" t="s">
        <v>45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0</v>
      </c>
    </row>
    <row r="53" spans="1:7" x14ac:dyDescent="0.25">
      <c r="A53" t="s">
        <v>53</v>
      </c>
      <c r="B53" t="s">
        <v>33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63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0</v>
      </c>
    </row>
    <row r="54" spans="1:7" x14ac:dyDescent="0.25">
      <c r="A54" t="s">
        <v>53</v>
      </c>
      <c r="B54" t="s">
        <v>33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38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0</v>
      </c>
    </row>
    <row r="55" spans="1:7" x14ac:dyDescent="0.25">
      <c r="A55" t="s">
        <v>53</v>
      </c>
      <c r="B55" t="s">
        <v>33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232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0</v>
      </c>
    </row>
    <row r="56" spans="1:7" x14ac:dyDescent="0.25">
      <c r="A56" t="s">
        <v>53</v>
      </c>
      <c r="B56" t="s">
        <v>33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43</v>
      </c>
      <c r="E56" t="s">
        <v>45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0</v>
      </c>
    </row>
    <row r="57" spans="1:7" x14ac:dyDescent="0.25">
      <c r="A57" t="s">
        <v>53</v>
      </c>
      <c r="B57" t="s">
        <v>33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43</v>
      </c>
      <c r="E57" t="s">
        <v>63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0</v>
      </c>
    </row>
    <row r="58" spans="1:7" x14ac:dyDescent="0.25">
      <c r="A58" t="s">
        <v>53</v>
      </c>
      <c r="B58" t="s">
        <v>33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43</v>
      </c>
      <c r="E58" t="s">
        <v>38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0</v>
      </c>
    </row>
    <row r="59" spans="1:7" x14ac:dyDescent="0.25">
      <c r="A59" t="s">
        <v>53</v>
      </c>
      <c r="B59" t="s">
        <v>33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43</v>
      </c>
      <c r="E59" t="s">
        <v>232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0</v>
      </c>
    </row>
    <row r="60" spans="1:7" x14ac:dyDescent="0.25">
      <c r="A60" t="s">
        <v>53</v>
      </c>
      <c r="B60" t="s">
        <v>33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0</v>
      </c>
    </row>
    <row r="61" spans="1:7" x14ac:dyDescent="0.25">
      <c r="A61" t="s">
        <v>53</v>
      </c>
      <c r="B61" t="s">
        <v>33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0</v>
      </c>
    </row>
    <row r="62" spans="1:7" x14ac:dyDescent="0.25">
      <c r="A62" t="s">
        <v>53</v>
      </c>
      <c r="B62" t="s">
        <v>33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45</v>
      </c>
      <c r="E62" t="s">
        <v>232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0</v>
      </c>
    </row>
    <row r="63" spans="1:7" x14ac:dyDescent="0.25">
      <c r="A63" t="s">
        <v>53</v>
      </c>
      <c r="B63" t="s">
        <v>33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63</v>
      </c>
      <c r="E63" t="s">
        <v>38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0</v>
      </c>
    </row>
    <row r="64" spans="1:7" x14ac:dyDescent="0.25">
      <c r="A64" t="s">
        <v>53</v>
      </c>
      <c r="B64" t="s">
        <v>33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63</v>
      </c>
      <c r="E64" t="s">
        <v>232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0</v>
      </c>
    </row>
    <row r="65" spans="1:7" x14ac:dyDescent="0.25">
      <c r="A65" t="s">
        <v>53</v>
      </c>
      <c r="B65" t="s">
        <v>33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38</v>
      </c>
      <c r="E65" t="s">
        <v>232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0</v>
      </c>
    </row>
    <row r="66" spans="1:7" x14ac:dyDescent="0.25">
      <c r="A66" t="s">
        <v>53</v>
      </c>
      <c r="B66" t="s">
        <v>43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48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0</v>
      </c>
    </row>
    <row r="67" spans="1:7" x14ac:dyDescent="0.25">
      <c r="A67" t="s">
        <v>53</v>
      </c>
      <c r="B67" t="s">
        <v>43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33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0</v>
      </c>
    </row>
    <row r="68" spans="1:7" x14ac:dyDescent="0.25">
      <c r="A68" t="s">
        <v>53</v>
      </c>
      <c r="B68" t="s">
        <v>43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56</v>
      </c>
      <c r="E68" t="s">
        <v>45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0</v>
      </c>
    </row>
    <row r="69" spans="1:7" x14ac:dyDescent="0.25">
      <c r="A69" t="s">
        <v>53</v>
      </c>
      <c r="B69" t="s">
        <v>43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56</v>
      </c>
      <c r="E69" t="s">
        <v>63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0</v>
      </c>
    </row>
    <row r="70" spans="1:7" x14ac:dyDescent="0.25">
      <c r="A70" t="s">
        <v>53</v>
      </c>
      <c r="B70" t="s">
        <v>43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56</v>
      </c>
      <c r="E70" t="s">
        <v>38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0</v>
      </c>
    </row>
    <row r="71" spans="1:7" x14ac:dyDescent="0.25">
      <c r="A71" t="s">
        <v>53</v>
      </c>
      <c r="B71" t="s">
        <v>43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56</v>
      </c>
      <c r="E71" t="s">
        <v>232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0</v>
      </c>
    </row>
    <row r="72" spans="1:7" x14ac:dyDescent="0.25">
      <c r="A72" t="s">
        <v>53</v>
      </c>
      <c r="B72" t="s">
        <v>43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48</v>
      </c>
      <c r="E72" t="s">
        <v>33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0</v>
      </c>
    </row>
    <row r="73" spans="1:7" x14ac:dyDescent="0.25">
      <c r="A73" t="s">
        <v>53</v>
      </c>
      <c r="B73" t="s">
        <v>43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48</v>
      </c>
      <c r="E73" t="s">
        <v>45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0</v>
      </c>
    </row>
    <row r="74" spans="1:7" x14ac:dyDescent="0.25">
      <c r="A74" t="s">
        <v>53</v>
      </c>
      <c r="B74" t="s">
        <v>43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48</v>
      </c>
      <c r="E74" t="s">
        <v>63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0</v>
      </c>
    </row>
    <row r="75" spans="1:7" x14ac:dyDescent="0.25">
      <c r="A75" t="s">
        <v>53</v>
      </c>
      <c r="B75" t="s">
        <v>43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48</v>
      </c>
      <c r="E75" t="s">
        <v>38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0</v>
      </c>
    </row>
    <row r="76" spans="1:7" x14ac:dyDescent="0.25">
      <c r="A76" t="s">
        <v>53</v>
      </c>
      <c r="B76" t="s">
        <v>43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48</v>
      </c>
      <c r="E76" t="s">
        <v>232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0</v>
      </c>
    </row>
    <row r="77" spans="1:7" x14ac:dyDescent="0.25">
      <c r="A77" t="s">
        <v>53</v>
      </c>
      <c r="B77" t="s">
        <v>43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33</v>
      </c>
      <c r="E77" t="s">
        <v>45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0</v>
      </c>
    </row>
    <row r="78" spans="1:7" x14ac:dyDescent="0.25">
      <c r="A78" t="s">
        <v>53</v>
      </c>
      <c r="B78" t="s">
        <v>43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33</v>
      </c>
      <c r="E78" t="s">
        <v>63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0</v>
      </c>
    </row>
    <row r="79" spans="1:7" x14ac:dyDescent="0.25">
      <c r="A79" t="s">
        <v>53</v>
      </c>
      <c r="B79" t="s">
        <v>43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33</v>
      </c>
      <c r="E79" t="s">
        <v>38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9">
        <f>ScenarioStat0[[#This Row],[team-1-win]]+ScenarioStat0[[#This Row],[team-2-win]]</f>
        <v>0</v>
      </c>
    </row>
    <row r="80" spans="1:7" x14ac:dyDescent="0.25">
      <c r="A80" t="s">
        <v>53</v>
      </c>
      <c r="B80" t="s">
        <v>43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33</v>
      </c>
      <c r="E80" t="s">
        <v>232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0</v>
      </c>
    </row>
    <row r="81" spans="1:7" x14ac:dyDescent="0.25">
      <c r="A81" t="s">
        <v>53</v>
      </c>
      <c r="B81" t="s">
        <v>43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45</v>
      </c>
      <c r="E81" t="s">
        <v>63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0</v>
      </c>
    </row>
    <row r="82" spans="1:7" x14ac:dyDescent="0.25">
      <c r="A82" t="s">
        <v>53</v>
      </c>
      <c r="B82" t="s">
        <v>43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45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0</v>
      </c>
    </row>
    <row r="83" spans="1:7" x14ac:dyDescent="0.25">
      <c r="A83" t="s">
        <v>53</v>
      </c>
      <c r="B83" t="s">
        <v>43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45</v>
      </c>
      <c r="E83" t="s">
        <v>232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0</v>
      </c>
    </row>
    <row r="84" spans="1:7" x14ac:dyDescent="0.25">
      <c r="A84" t="s">
        <v>53</v>
      </c>
      <c r="B84" t="s">
        <v>43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63</v>
      </c>
      <c r="E84" t="s">
        <v>38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0</v>
      </c>
    </row>
    <row r="85" spans="1:7" x14ac:dyDescent="0.25">
      <c r="A85" t="s">
        <v>53</v>
      </c>
      <c r="B85" t="s">
        <v>43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63</v>
      </c>
      <c r="E85" t="s">
        <v>232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0</v>
      </c>
    </row>
    <row r="86" spans="1:7" x14ac:dyDescent="0.25">
      <c r="A86" t="s">
        <v>53</v>
      </c>
      <c r="B86" t="s">
        <v>43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38</v>
      </c>
      <c r="E86" t="s">
        <v>232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0</v>
      </c>
    </row>
    <row r="87" spans="1:7" x14ac:dyDescent="0.25">
      <c r="A87" t="s">
        <v>53</v>
      </c>
      <c r="B87" t="s">
        <v>45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56</v>
      </c>
      <c r="E87" t="s">
        <v>48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0</v>
      </c>
    </row>
    <row r="88" spans="1:7" x14ac:dyDescent="0.25">
      <c r="A88" t="s">
        <v>53</v>
      </c>
      <c r="B88" t="s">
        <v>45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56</v>
      </c>
      <c r="E88" t="s">
        <v>33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0</v>
      </c>
    </row>
    <row r="89" spans="1:7" x14ac:dyDescent="0.25">
      <c r="A89" t="s">
        <v>53</v>
      </c>
      <c r="B89" t="s">
        <v>45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56</v>
      </c>
      <c r="E89" t="s">
        <v>43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0</v>
      </c>
    </row>
    <row r="90" spans="1:7" x14ac:dyDescent="0.25">
      <c r="A90" t="s">
        <v>53</v>
      </c>
      <c r="B90" t="s">
        <v>45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56</v>
      </c>
      <c r="E90" t="s">
        <v>63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0">
        <f>ScenarioStat0[[#This Row],[team-1-win]]+ScenarioStat0[[#This Row],[team-2-win]]</f>
        <v>0</v>
      </c>
    </row>
    <row r="91" spans="1:7" x14ac:dyDescent="0.25">
      <c r="A91" t="s">
        <v>53</v>
      </c>
      <c r="B91" t="s">
        <v>45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56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0</v>
      </c>
    </row>
    <row r="92" spans="1:7" x14ac:dyDescent="0.25">
      <c r="A92" t="s">
        <v>53</v>
      </c>
      <c r="B92" t="s">
        <v>45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56</v>
      </c>
      <c r="E92" t="s">
        <v>232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0</v>
      </c>
    </row>
    <row r="93" spans="1:7" x14ac:dyDescent="0.25">
      <c r="A93" t="s">
        <v>53</v>
      </c>
      <c r="B93" t="s">
        <v>45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48</v>
      </c>
      <c r="E93" t="s">
        <v>33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0</v>
      </c>
    </row>
    <row r="94" spans="1:7" x14ac:dyDescent="0.25">
      <c r="A94" t="s">
        <v>53</v>
      </c>
      <c r="B94" t="s">
        <v>45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48</v>
      </c>
      <c r="E94" t="s">
        <v>43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0</v>
      </c>
    </row>
    <row r="95" spans="1:7" x14ac:dyDescent="0.25">
      <c r="A95" t="s">
        <v>53</v>
      </c>
      <c r="B95" t="s">
        <v>45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48</v>
      </c>
      <c r="E95" t="s">
        <v>63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0</v>
      </c>
    </row>
    <row r="96" spans="1:7" x14ac:dyDescent="0.25">
      <c r="A96" t="s">
        <v>53</v>
      </c>
      <c r="B96" t="s">
        <v>45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48</v>
      </c>
      <c r="E96" t="s">
        <v>38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0</v>
      </c>
    </row>
    <row r="97" spans="1:7" x14ac:dyDescent="0.25">
      <c r="A97" t="s">
        <v>53</v>
      </c>
      <c r="B97" t="s">
        <v>45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48</v>
      </c>
      <c r="E97" t="s">
        <v>232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0</v>
      </c>
    </row>
    <row r="98" spans="1:7" x14ac:dyDescent="0.25">
      <c r="A98" t="s">
        <v>53</v>
      </c>
      <c r="B98" t="s">
        <v>45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33</v>
      </c>
      <c r="E98" t="s">
        <v>43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0</v>
      </c>
    </row>
    <row r="99" spans="1:7" x14ac:dyDescent="0.25">
      <c r="A99" t="s">
        <v>53</v>
      </c>
      <c r="B99" t="s">
        <v>45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33</v>
      </c>
      <c r="E99" t="s">
        <v>63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0</v>
      </c>
    </row>
    <row r="100" spans="1:7" x14ac:dyDescent="0.25">
      <c r="A100" t="s">
        <v>53</v>
      </c>
      <c r="B100" t="s">
        <v>45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33</v>
      </c>
      <c r="E100" t="s">
        <v>38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0</v>
      </c>
    </row>
    <row r="101" spans="1:7" x14ac:dyDescent="0.25">
      <c r="A101" t="s">
        <v>53</v>
      </c>
      <c r="B101" t="s">
        <v>45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33</v>
      </c>
      <c r="E101" t="s">
        <v>232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0</v>
      </c>
    </row>
    <row r="102" spans="1:7" x14ac:dyDescent="0.25">
      <c r="A102" t="s">
        <v>53</v>
      </c>
      <c r="B102" t="s">
        <v>45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43</v>
      </c>
      <c r="E102" t="s">
        <v>63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0</v>
      </c>
    </row>
    <row r="103" spans="1:7" x14ac:dyDescent="0.25">
      <c r="A103" t="s">
        <v>53</v>
      </c>
      <c r="B103" t="s">
        <v>45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43</v>
      </c>
      <c r="E103" t="s">
        <v>38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0</v>
      </c>
    </row>
    <row r="104" spans="1:7" x14ac:dyDescent="0.25">
      <c r="A104" t="s">
        <v>53</v>
      </c>
      <c r="B104" t="s">
        <v>45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43</v>
      </c>
      <c r="E104" t="s">
        <v>232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4">
        <f>ScenarioStat0[[#This Row],[team-1-win]]+ScenarioStat0[[#This Row],[team-2-win]]</f>
        <v>0</v>
      </c>
    </row>
    <row r="105" spans="1:7" x14ac:dyDescent="0.25">
      <c r="A105" t="s">
        <v>53</v>
      </c>
      <c r="B105" t="s">
        <v>45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63</v>
      </c>
      <c r="E105" t="s">
        <v>38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0</v>
      </c>
    </row>
    <row r="106" spans="1:7" x14ac:dyDescent="0.25">
      <c r="A106" t="s">
        <v>53</v>
      </c>
      <c r="B106" t="s">
        <v>45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63</v>
      </c>
      <c r="E106" t="s">
        <v>232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0</v>
      </c>
    </row>
    <row r="107" spans="1:7" x14ac:dyDescent="0.25">
      <c r="A107" t="s">
        <v>53</v>
      </c>
      <c r="B107" t="s">
        <v>45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38</v>
      </c>
      <c r="E107" t="s">
        <v>232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0</v>
      </c>
    </row>
    <row r="108" spans="1:7" x14ac:dyDescent="0.25">
      <c r="A108" t="s">
        <v>53</v>
      </c>
      <c r="B108" t="s">
        <v>63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56</v>
      </c>
      <c r="E108" t="s">
        <v>48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8">
        <f>ScenarioStat0[[#This Row],[team-1-win]]+ScenarioStat0[[#This Row],[team-2-win]]</f>
        <v>0</v>
      </c>
    </row>
    <row r="109" spans="1:7" x14ac:dyDescent="0.25">
      <c r="A109" t="s">
        <v>53</v>
      </c>
      <c r="B109" t="s">
        <v>63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56</v>
      </c>
      <c r="E109" t="s">
        <v>33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9">
        <f>ScenarioStat0[[#This Row],[team-1-win]]+ScenarioStat0[[#This Row],[team-2-win]]</f>
        <v>0</v>
      </c>
    </row>
    <row r="110" spans="1:7" x14ac:dyDescent="0.25">
      <c r="A110" t="s">
        <v>53</v>
      </c>
      <c r="B110" t="s">
        <v>63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56</v>
      </c>
      <c r="E110" t="s">
        <v>43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0">
        <f>ScenarioStat0[[#This Row],[team-1-win]]+ScenarioStat0[[#This Row],[team-2-win]]</f>
        <v>0</v>
      </c>
    </row>
    <row r="111" spans="1:7" x14ac:dyDescent="0.25">
      <c r="A111" t="s">
        <v>53</v>
      </c>
      <c r="B111" t="s">
        <v>63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56</v>
      </c>
      <c r="E111" t="s">
        <v>45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0</v>
      </c>
    </row>
    <row r="112" spans="1:7" x14ac:dyDescent="0.25">
      <c r="A112" t="s">
        <v>53</v>
      </c>
      <c r="B112" t="s">
        <v>63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56</v>
      </c>
      <c r="E112" t="s">
        <v>38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0</v>
      </c>
    </row>
    <row r="113" spans="1:7" x14ac:dyDescent="0.25">
      <c r="A113" t="s">
        <v>53</v>
      </c>
      <c r="B113" t="s">
        <v>63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56</v>
      </c>
      <c r="E113" t="s">
        <v>232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0</v>
      </c>
    </row>
    <row r="114" spans="1:7" x14ac:dyDescent="0.25">
      <c r="A114" t="s">
        <v>53</v>
      </c>
      <c r="B114" t="s">
        <v>63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48</v>
      </c>
      <c r="E114" t="s">
        <v>33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4">
        <f>ScenarioStat0[[#This Row],[team-1-win]]+ScenarioStat0[[#This Row],[team-2-win]]</f>
        <v>0</v>
      </c>
    </row>
    <row r="115" spans="1:7" x14ac:dyDescent="0.25">
      <c r="A115" t="s">
        <v>53</v>
      </c>
      <c r="B115" t="s">
        <v>63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48</v>
      </c>
      <c r="E115" t="s">
        <v>43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0</v>
      </c>
    </row>
    <row r="116" spans="1:7" x14ac:dyDescent="0.25">
      <c r="A116" t="s">
        <v>53</v>
      </c>
      <c r="B116" t="s">
        <v>63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48</v>
      </c>
      <c r="E116" t="s">
        <v>45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0</v>
      </c>
    </row>
    <row r="117" spans="1:7" x14ac:dyDescent="0.25">
      <c r="A117" t="s">
        <v>53</v>
      </c>
      <c r="B117" t="s">
        <v>63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48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0</v>
      </c>
    </row>
    <row r="118" spans="1:7" x14ac:dyDescent="0.25">
      <c r="A118" t="s">
        <v>53</v>
      </c>
      <c r="B118" t="s">
        <v>63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232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0</v>
      </c>
    </row>
    <row r="119" spans="1:7" x14ac:dyDescent="0.25">
      <c r="A119" t="s">
        <v>53</v>
      </c>
      <c r="B119" t="s">
        <v>63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33</v>
      </c>
      <c r="E119" t="s">
        <v>43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0</v>
      </c>
    </row>
    <row r="120" spans="1:7" x14ac:dyDescent="0.25">
      <c r="A120" t="s">
        <v>53</v>
      </c>
      <c r="B120" t="s">
        <v>63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0" t="s">
        <v>33</v>
      </c>
      <c r="E120" t="s">
        <v>45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0</v>
      </c>
    </row>
    <row r="121" spans="1:7" x14ac:dyDescent="0.25">
      <c r="A121" t="s">
        <v>53</v>
      </c>
      <c r="B121" t="s">
        <v>63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33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0</v>
      </c>
    </row>
    <row r="122" spans="1:7" x14ac:dyDescent="0.25">
      <c r="A122" t="s">
        <v>53</v>
      </c>
      <c r="B122" t="s">
        <v>63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33</v>
      </c>
      <c r="E122" t="s">
        <v>232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0</v>
      </c>
    </row>
    <row r="123" spans="1:7" x14ac:dyDescent="0.25">
      <c r="A123" t="s">
        <v>53</v>
      </c>
      <c r="B123" t="s">
        <v>63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45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0</v>
      </c>
    </row>
    <row r="124" spans="1:7" x14ac:dyDescent="0.25">
      <c r="A124" t="s">
        <v>53</v>
      </c>
      <c r="B124" t="s">
        <v>63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0</v>
      </c>
    </row>
    <row r="125" spans="1:7" x14ac:dyDescent="0.25">
      <c r="A125" t="s">
        <v>53</v>
      </c>
      <c r="B125" t="s">
        <v>63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43</v>
      </c>
      <c r="E125" t="s">
        <v>232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0</v>
      </c>
    </row>
    <row r="126" spans="1:7" x14ac:dyDescent="0.25">
      <c r="A126" t="s">
        <v>53</v>
      </c>
      <c r="B126" t="s">
        <v>63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0</v>
      </c>
    </row>
    <row r="127" spans="1:7" x14ac:dyDescent="0.25">
      <c r="A127" t="s">
        <v>53</v>
      </c>
      <c r="B127" t="s">
        <v>63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45</v>
      </c>
      <c r="E127" t="s">
        <v>232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0</v>
      </c>
    </row>
    <row r="128" spans="1:7" x14ac:dyDescent="0.25">
      <c r="A128" t="s">
        <v>53</v>
      </c>
      <c r="B128" t="s">
        <v>63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38</v>
      </c>
      <c r="E128" t="s">
        <v>232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0</v>
      </c>
    </row>
    <row r="129" spans="1:7" x14ac:dyDescent="0.25">
      <c r="A129" t="s">
        <v>53</v>
      </c>
      <c r="B129" t="s">
        <v>38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56</v>
      </c>
      <c r="E129" t="s">
        <v>48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0</v>
      </c>
    </row>
    <row r="130" spans="1:7" x14ac:dyDescent="0.25">
      <c r="A130" t="s">
        <v>53</v>
      </c>
      <c r="B130" t="s">
        <v>38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56</v>
      </c>
      <c r="E130" t="s">
        <v>33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0</v>
      </c>
    </row>
    <row r="131" spans="1:7" x14ac:dyDescent="0.25">
      <c r="A131" t="s">
        <v>53</v>
      </c>
      <c r="B131" t="s">
        <v>38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56</v>
      </c>
      <c r="E131" t="s">
        <v>43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0</v>
      </c>
    </row>
    <row r="132" spans="1:7" x14ac:dyDescent="0.25">
      <c r="A132" t="s">
        <v>53</v>
      </c>
      <c r="B132" t="s">
        <v>38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56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0</v>
      </c>
    </row>
    <row r="133" spans="1:7" x14ac:dyDescent="0.25">
      <c r="A133" t="s">
        <v>53</v>
      </c>
      <c r="B133" t="s">
        <v>38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56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0</v>
      </c>
    </row>
    <row r="134" spans="1:7" x14ac:dyDescent="0.25">
      <c r="A134" t="s">
        <v>53</v>
      </c>
      <c r="B134" t="s">
        <v>38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56</v>
      </c>
      <c r="E134" t="s">
        <v>232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0</v>
      </c>
    </row>
    <row r="135" spans="1:7" x14ac:dyDescent="0.25">
      <c r="A135" t="s">
        <v>53</v>
      </c>
      <c r="B135" t="s">
        <v>38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48</v>
      </c>
      <c r="E135" t="s">
        <v>33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0</v>
      </c>
    </row>
    <row r="136" spans="1:7" x14ac:dyDescent="0.25">
      <c r="A136" t="s">
        <v>53</v>
      </c>
      <c r="B136" t="s">
        <v>38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48</v>
      </c>
      <c r="E136" t="s">
        <v>43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0</v>
      </c>
    </row>
    <row r="137" spans="1:7" x14ac:dyDescent="0.25">
      <c r="A137" t="s">
        <v>53</v>
      </c>
      <c r="B137" t="s">
        <v>38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7" t="s">
        <v>48</v>
      </c>
      <c r="E137" t="s">
        <v>45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0</v>
      </c>
    </row>
    <row r="138" spans="1:7" x14ac:dyDescent="0.25">
      <c r="A138" t="s">
        <v>53</v>
      </c>
      <c r="B138" t="s">
        <v>38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63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0</v>
      </c>
    </row>
    <row r="139" spans="1:7" x14ac:dyDescent="0.25">
      <c r="A139" t="s">
        <v>53</v>
      </c>
      <c r="B139" t="s">
        <v>38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232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0</v>
      </c>
    </row>
    <row r="140" spans="1:7" x14ac:dyDescent="0.25">
      <c r="A140" t="s">
        <v>53</v>
      </c>
      <c r="B140" t="s">
        <v>38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33</v>
      </c>
      <c r="E140" t="s">
        <v>43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0</v>
      </c>
    </row>
    <row r="141" spans="1:7" x14ac:dyDescent="0.25">
      <c r="A141" t="s">
        <v>53</v>
      </c>
      <c r="B141" t="s">
        <v>38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33</v>
      </c>
      <c r="E141" t="s">
        <v>45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0</v>
      </c>
    </row>
    <row r="142" spans="1:7" x14ac:dyDescent="0.25">
      <c r="A142" t="s">
        <v>53</v>
      </c>
      <c r="B142" t="s">
        <v>38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63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0</v>
      </c>
    </row>
    <row r="143" spans="1:7" x14ac:dyDescent="0.25">
      <c r="A143" t="s">
        <v>53</v>
      </c>
      <c r="B143" t="s">
        <v>38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232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0</v>
      </c>
    </row>
    <row r="144" spans="1:7" x14ac:dyDescent="0.25">
      <c r="A144" t="s">
        <v>53</v>
      </c>
      <c r="B144" t="s">
        <v>38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43</v>
      </c>
      <c r="E144" t="s">
        <v>45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0</v>
      </c>
    </row>
    <row r="145" spans="1:7" x14ac:dyDescent="0.25">
      <c r="A145" t="s">
        <v>53</v>
      </c>
      <c r="B145" t="s">
        <v>38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0</v>
      </c>
    </row>
    <row r="146" spans="1:7" x14ac:dyDescent="0.25">
      <c r="A146" t="s">
        <v>53</v>
      </c>
      <c r="B146" t="s">
        <v>38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232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0</v>
      </c>
    </row>
    <row r="147" spans="1:7" x14ac:dyDescent="0.25">
      <c r="A147" t="s">
        <v>53</v>
      </c>
      <c r="B147" t="s">
        <v>38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45</v>
      </c>
      <c r="E147" t="s">
        <v>63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0</v>
      </c>
    </row>
    <row r="148" spans="1:7" x14ac:dyDescent="0.25">
      <c r="A148" t="s">
        <v>53</v>
      </c>
      <c r="B148" t="s">
        <v>38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45</v>
      </c>
      <c r="E148" t="s">
        <v>232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0</v>
      </c>
    </row>
    <row r="149" spans="1:7" x14ac:dyDescent="0.25">
      <c r="A149" t="s">
        <v>53</v>
      </c>
      <c r="B149" t="s">
        <v>38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63</v>
      </c>
      <c r="E149" t="s">
        <v>232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0</v>
      </c>
    </row>
    <row r="150" spans="1:7" x14ac:dyDescent="0.25">
      <c r="A150" t="s">
        <v>53</v>
      </c>
      <c r="B150" t="s">
        <v>232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56</v>
      </c>
      <c r="E150" t="s">
        <v>48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0</v>
      </c>
    </row>
    <row r="151" spans="1:7" x14ac:dyDescent="0.25">
      <c r="A151" t="s">
        <v>53</v>
      </c>
      <c r="B151" t="s">
        <v>232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56</v>
      </c>
      <c r="E151" t="s">
        <v>33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0</v>
      </c>
    </row>
    <row r="152" spans="1:7" x14ac:dyDescent="0.25">
      <c r="A152" t="s">
        <v>53</v>
      </c>
      <c r="B152" t="s">
        <v>232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56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0</v>
      </c>
    </row>
    <row r="153" spans="1:7" x14ac:dyDescent="0.25">
      <c r="A153" t="s">
        <v>53</v>
      </c>
      <c r="B153" t="s">
        <v>232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56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0</v>
      </c>
    </row>
    <row r="154" spans="1:7" x14ac:dyDescent="0.25">
      <c r="A154" t="s">
        <v>53</v>
      </c>
      <c r="B154" t="s">
        <v>232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56</v>
      </c>
      <c r="E154" t="s">
        <v>63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0</v>
      </c>
    </row>
    <row r="155" spans="1:7" x14ac:dyDescent="0.25">
      <c r="A155" t="s">
        <v>53</v>
      </c>
      <c r="B155" t="s">
        <v>232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56</v>
      </c>
      <c r="E155" t="s">
        <v>38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0</v>
      </c>
    </row>
    <row r="156" spans="1:7" x14ac:dyDescent="0.25">
      <c r="A156" t="s">
        <v>53</v>
      </c>
      <c r="B156" t="s">
        <v>232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48</v>
      </c>
      <c r="E156" t="s">
        <v>33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6">
        <f>ScenarioStat0[[#This Row],[team-1-win]]+ScenarioStat0[[#This Row],[team-2-win]]</f>
        <v>0</v>
      </c>
    </row>
    <row r="157" spans="1:7" x14ac:dyDescent="0.25">
      <c r="A157" t="s">
        <v>53</v>
      </c>
      <c r="B157" t="s">
        <v>232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48</v>
      </c>
      <c r="E157" t="s">
        <v>43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7">
        <f>ScenarioStat0[[#This Row],[team-1-win]]+ScenarioStat0[[#This Row],[team-2-win]]</f>
        <v>0</v>
      </c>
    </row>
    <row r="158" spans="1:7" x14ac:dyDescent="0.25">
      <c r="A158" t="s">
        <v>53</v>
      </c>
      <c r="B158" t="s">
        <v>232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45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0</v>
      </c>
    </row>
    <row r="159" spans="1:7" x14ac:dyDescent="0.25">
      <c r="A159" t="s">
        <v>53</v>
      </c>
      <c r="B159" t="s">
        <v>232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63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0</v>
      </c>
    </row>
    <row r="160" spans="1:7" x14ac:dyDescent="0.25">
      <c r="A160" t="s">
        <v>53</v>
      </c>
      <c r="B160" t="s">
        <v>232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38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0</v>
      </c>
    </row>
    <row r="161" spans="1:7" x14ac:dyDescent="0.25">
      <c r="A161" t="s">
        <v>53</v>
      </c>
      <c r="B161" t="s">
        <v>232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33</v>
      </c>
      <c r="E161" t="s">
        <v>43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0</v>
      </c>
    </row>
    <row r="162" spans="1:7" x14ac:dyDescent="0.25">
      <c r="A162" t="s">
        <v>53</v>
      </c>
      <c r="B162" t="s">
        <v>232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45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0</v>
      </c>
    </row>
    <row r="163" spans="1:7" x14ac:dyDescent="0.25">
      <c r="A163" t="s">
        <v>53</v>
      </c>
      <c r="B163" t="s">
        <v>232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63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0</v>
      </c>
    </row>
    <row r="164" spans="1:7" x14ac:dyDescent="0.25">
      <c r="A164" t="s">
        <v>53</v>
      </c>
      <c r="B164" t="s">
        <v>232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38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0</v>
      </c>
    </row>
    <row r="165" spans="1:7" x14ac:dyDescent="0.25">
      <c r="A165" t="s">
        <v>53</v>
      </c>
      <c r="B165" t="s">
        <v>232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0</v>
      </c>
    </row>
    <row r="166" spans="1:7" x14ac:dyDescent="0.25">
      <c r="A166" t="s">
        <v>53</v>
      </c>
      <c r="B166" t="s">
        <v>232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0</v>
      </c>
    </row>
    <row r="167" spans="1:7" x14ac:dyDescent="0.25">
      <c r="A167" t="s">
        <v>53</v>
      </c>
      <c r="B167" t="s">
        <v>232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43</v>
      </c>
      <c r="E167" t="s">
        <v>38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0</v>
      </c>
    </row>
    <row r="168" spans="1:7" x14ac:dyDescent="0.25">
      <c r="A168" t="s">
        <v>53</v>
      </c>
      <c r="B168" t="s">
        <v>232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45</v>
      </c>
      <c r="E168" t="s">
        <v>63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0</v>
      </c>
    </row>
    <row r="169" spans="1:7" x14ac:dyDescent="0.25">
      <c r="A169" t="s">
        <v>53</v>
      </c>
      <c r="B169" t="s">
        <v>232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45</v>
      </c>
      <c r="E169" t="s">
        <v>38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0</v>
      </c>
    </row>
    <row r="170" spans="1:7" x14ac:dyDescent="0.25">
      <c r="A170" t="s">
        <v>53</v>
      </c>
      <c r="B170" t="s">
        <v>232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63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0">
        <f>ScenarioStat0[[#This Row],[team-1-win]]+ScenarioStat0[[#This Row],[team-2-win]]</f>
        <v>0</v>
      </c>
    </row>
    <row r="171" spans="1:7" x14ac:dyDescent="0.25">
      <c r="A171" t="s">
        <v>56</v>
      </c>
      <c r="B171" t="s">
        <v>48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33</v>
      </c>
      <c r="E171" t="s">
        <v>43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0</v>
      </c>
    </row>
    <row r="172" spans="1:7" x14ac:dyDescent="0.25">
      <c r="A172" t="s">
        <v>56</v>
      </c>
      <c r="B172" t="s">
        <v>48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33</v>
      </c>
      <c r="E172" t="s">
        <v>45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0</v>
      </c>
    </row>
    <row r="173" spans="1:7" x14ac:dyDescent="0.25">
      <c r="A173" t="s">
        <v>56</v>
      </c>
      <c r="B173" t="s">
        <v>48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33</v>
      </c>
      <c r="E173" t="s">
        <v>63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0</v>
      </c>
    </row>
    <row r="174" spans="1:7" x14ac:dyDescent="0.25">
      <c r="A174" t="s">
        <v>56</v>
      </c>
      <c r="B174" t="s">
        <v>48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38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0</v>
      </c>
    </row>
    <row r="175" spans="1:7" x14ac:dyDescent="0.25">
      <c r="A175" t="s">
        <v>56</v>
      </c>
      <c r="B175" t="s">
        <v>48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232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0</v>
      </c>
    </row>
    <row r="176" spans="1:7" x14ac:dyDescent="0.25">
      <c r="A176" t="s">
        <v>56</v>
      </c>
      <c r="B176" t="s">
        <v>48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43</v>
      </c>
      <c r="E176" t="s">
        <v>45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0</v>
      </c>
    </row>
    <row r="177" spans="1:7" x14ac:dyDescent="0.25">
      <c r="A177" t="s">
        <v>56</v>
      </c>
      <c r="B177" t="s">
        <v>48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43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0</v>
      </c>
    </row>
    <row r="178" spans="1:7" x14ac:dyDescent="0.25">
      <c r="A178" t="s">
        <v>56</v>
      </c>
      <c r="B178" t="s">
        <v>48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43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0</v>
      </c>
    </row>
    <row r="179" spans="1:7" x14ac:dyDescent="0.25">
      <c r="A179" t="s">
        <v>56</v>
      </c>
      <c r="B179" t="s">
        <v>48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43</v>
      </c>
      <c r="E179" t="s">
        <v>232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0</v>
      </c>
    </row>
    <row r="180" spans="1:7" x14ac:dyDescent="0.25">
      <c r="A180" t="s">
        <v>56</v>
      </c>
      <c r="B180" t="s">
        <v>48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45</v>
      </c>
      <c r="E180" t="s">
        <v>63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0</v>
      </c>
    </row>
    <row r="181" spans="1:7" x14ac:dyDescent="0.25">
      <c r="A181" t="s">
        <v>56</v>
      </c>
      <c r="B181" t="s">
        <v>48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45</v>
      </c>
      <c r="E181" t="s">
        <v>38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0</v>
      </c>
    </row>
    <row r="182" spans="1:7" x14ac:dyDescent="0.25">
      <c r="A182" t="s">
        <v>56</v>
      </c>
      <c r="B182" t="s">
        <v>48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45</v>
      </c>
      <c r="E182" t="s">
        <v>232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0</v>
      </c>
    </row>
    <row r="183" spans="1:7" x14ac:dyDescent="0.25">
      <c r="A183" t="s">
        <v>56</v>
      </c>
      <c r="B183" t="s">
        <v>48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63</v>
      </c>
      <c r="E183" t="s">
        <v>38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0</v>
      </c>
    </row>
    <row r="184" spans="1:7" x14ac:dyDescent="0.25">
      <c r="A184" t="s">
        <v>56</v>
      </c>
      <c r="B184" t="s">
        <v>48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63</v>
      </c>
      <c r="E184" t="s">
        <v>232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0</v>
      </c>
    </row>
    <row r="185" spans="1:7" x14ac:dyDescent="0.25">
      <c r="A185" t="s">
        <v>56</v>
      </c>
      <c r="B185" t="s">
        <v>48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38</v>
      </c>
      <c r="E185" t="s">
        <v>232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0</v>
      </c>
    </row>
    <row r="186" spans="1:7" x14ac:dyDescent="0.25">
      <c r="A186" t="s">
        <v>56</v>
      </c>
      <c r="B186" t="s">
        <v>33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48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0</v>
      </c>
    </row>
    <row r="187" spans="1:7" x14ac:dyDescent="0.25">
      <c r="A187" t="s">
        <v>56</v>
      </c>
      <c r="B187" t="s">
        <v>33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48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0</v>
      </c>
    </row>
    <row r="188" spans="1:7" x14ac:dyDescent="0.25">
      <c r="A188" t="s">
        <v>56</v>
      </c>
      <c r="B188" t="s">
        <v>33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48</v>
      </c>
      <c r="E188" t="s">
        <v>63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0</v>
      </c>
    </row>
    <row r="189" spans="1:7" x14ac:dyDescent="0.25">
      <c r="A189" t="s">
        <v>56</v>
      </c>
      <c r="B189" t="s">
        <v>33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48</v>
      </c>
      <c r="E189" t="s">
        <v>38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0</v>
      </c>
    </row>
    <row r="190" spans="1:7" x14ac:dyDescent="0.25">
      <c r="A190" t="s">
        <v>56</v>
      </c>
      <c r="B190" t="s">
        <v>33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48</v>
      </c>
      <c r="E190" t="s">
        <v>232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0</v>
      </c>
    </row>
    <row r="191" spans="1:7" x14ac:dyDescent="0.25">
      <c r="A191" t="s">
        <v>56</v>
      </c>
      <c r="B191" t="s">
        <v>33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43</v>
      </c>
      <c r="E191" t="s">
        <v>45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0</v>
      </c>
    </row>
    <row r="192" spans="1:7" x14ac:dyDescent="0.25">
      <c r="A192" t="s">
        <v>56</v>
      </c>
      <c r="B192" t="s">
        <v>33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43</v>
      </c>
      <c r="E192" t="s">
        <v>63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0</v>
      </c>
    </row>
    <row r="193" spans="1:7" x14ac:dyDescent="0.25">
      <c r="A193" t="s">
        <v>56</v>
      </c>
      <c r="B193" t="s">
        <v>33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43</v>
      </c>
      <c r="E193" t="s">
        <v>38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0</v>
      </c>
    </row>
    <row r="194" spans="1:7" x14ac:dyDescent="0.25">
      <c r="A194" t="s">
        <v>56</v>
      </c>
      <c r="B194" t="s">
        <v>33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43</v>
      </c>
      <c r="E194" t="s">
        <v>232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0</v>
      </c>
    </row>
    <row r="195" spans="1:7" x14ac:dyDescent="0.25">
      <c r="A195" t="s">
        <v>56</v>
      </c>
      <c r="B195" t="s">
        <v>33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45</v>
      </c>
      <c r="E195" t="s">
        <v>63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0</v>
      </c>
    </row>
    <row r="196" spans="1:7" x14ac:dyDescent="0.25">
      <c r="A196" t="s">
        <v>56</v>
      </c>
      <c r="B196" t="s">
        <v>33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45</v>
      </c>
      <c r="E196" t="s">
        <v>38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0</v>
      </c>
    </row>
    <row r="197" spans="1:7" x14ac:dyDescent="0.25">
      <c r="A197" t="s">
        <v>56</v>
      </c>
      <c r="B197" t="s">
        <v>33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232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0</v>
      </c>
    </row>
    <row r="198" spans="1:7" x14ac:dyDescent="0.25">
      <c r="A198" t="s">
        <v>56</v>
      </c>
      <c r="B198" t="s">
        <v>33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63</v>
      </c>
      <c r="E198" t="s">
        <v>38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0</v>
      </c>
    </row>
    <row r="199" spans="1:7" x14ac:dyDescent="0.25">
      <c r="A199" t="s">
        <v>56</v>
      </c>
      <c r="B199" t="s">
        <v>33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63</v>
      </c>
      <c r="E199" t="s">
        <v>232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0</v>
      </c>
    </row>
    <row r="200" spans="1:7" x14ac:dyDescent="0.25">
      <c r="A200" t="s">
        <v>56</v>
      </c>
      <c r="B200" t="s">
        <v>33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38</v>
      </c>
      <c r="E200" t="s">
        <v>232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0</v>
      </c>
    </row>
    <row r="201" spans="1:7" x14ac:dyDescent="0.25">
      <c r="A201" t="s">
        <v>56</v>
      </c>
      <c r="B201" t="s">
        <v>43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48</v>
      </c>
      <c r="E201" t="s">
        <v>33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0</v>
      </c>
    </row>
    <row r="202" spans="1:7" x14ac:dyDescent="0.25">
      <c r="A202" t="s">
        <v>56</v>
      </c>
      <c r="B202" t="s">
        <v>43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48</v>
      </c>
      <c r="E202" t="s">
        <v>45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0</v>
      </c>
    </row>
    <row r="203" spans="1:7" x14ac:dyDescent="0.25">
      <c r="A203" t="s">
        <v>56</v>
      </c>
      <c r="B203" t="s">
        <v>43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48</v>
      </c>
      <c r="E203" t="s">
        <v>63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0</v>
      </c>
    </row>
    <row r="204" spans="1:7" x14ac:dyDescent="0.25">
      <c r="A204" t="s">
        <v>56</v>
      </c>
      <c r="B204" t="s">
        <v>43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48</v>
      </c>
      <c r="E204" t="s">
        <v>38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0</v>
      </c>
    </row>
    <row r="205" spans="1:7" x14ac:dyDescent="0.25">
      <c r="A205" t="s">
        <v>56</v>
      </c>
      <c r="B205" t="s">
        <v>43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48</v>
      </c>
      <c r="E205" t="s">
        <v>232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0</v>
      </c>
    </row>
    <row r="206" spans="1:7" x14ac:dyDescent="0.25">
      <c r="A206" t="s">
        <v>56</v>
      </c>
      <c r="B206" t="s">
        <v>43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33</v>
      </c>
      <c r="E206" t="s">
        <v>45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0</v>
      </c>
    </row>
    <row r="207" spans="1:7" x14ac:dyDescent="0.25">
      <c r="A207" t="s">
        <v>56</v>
      </c>
      <c r="B207" t="s">
        <v>43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33</v>
      </c>
      <c r="E207" t="s">
        <v>63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0</v>
      </c>
    </row>
    <row r="208" spans="1:7" x14ac:dyDescent="0.25">
      <c r="A208" t="s">
        <v>56</v>
      </c>
      <c r="B208" t="s">
        <v>43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8" t="s">
        <v>33</v>
      </c>
      <c r="E208" t="s">
        <v>38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0</v>
      </c>
    </row>
    <row r="209" spans="1:7" x14ac:dyDescent="0.25">
      <c r="A209" t="s">
        <v>56</v>
      </c>
      <c r="B209" t="s">
        <v>43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33</v>
      </c>
      <c r="E209" t="s">
        <v>232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0</v>
      </c>
    </row>
    <row r="210" spans="1:7" x14ac:dyDescent="0.25">
      <c r="A210" t="s">
        <v>56</v>
      </c>
      <c r="B210" t="s">
        <v>43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45</v>
      </c>
      <c r="E210" t="s">
        <v>63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0</v>
      </c>
    </row>
    <row r="211" spans="1:7" x14ac:dyDescent="0.25">
      <c r="A211" t="s">
        <v>56</v>
      </c>
      <c r="B211" t="s">
        <v>43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1">
        <f>ScenarioStat0[[#This Row],[team-1-win]]+ScenarioStat0[[#This Row],[team-2-win]]</f>
        <v>0</v>
      </c>
    </row>
    <row r="212" spans="1:7" x14ac:dyDescent="0.25">
      <c r="A212" t="s">
        <v>56</v>
      </c>
      <c r="B212" t="s">
        <v>43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232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0</v>
      </c>
    </row>
    <row r="213" spans="1:7" x14ac:dyDescent="0.25">
      <c r="A213" t="s">
        <v>56</v>
      </c>
      <c r="B213" t="s">
        <v>43</v>
      </c>
      <c r="C2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3" t="s">
        <v>63</v>
      </c>
      <c r="E213" t="s">
        <v>38</v>
      </c>
      <c r="F2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3">
        <f>ScenarioStat0[[#This Row],[team-1-win]]+ScenarioStat0[[#This Row],[team-2-win]]</f>
        <v>0</v>
      </c>
    </row>
    <row r="214" spans="1:7" x14ac:dyDescent="0.25">
      <c r="A214" t="s">
        <v>56</v>
      </c>
      <c r="B214" t="s">
        <v>43</v>
      </c>
      <c r="C2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4" t="s">
        <v>63</v>
      </c>
      <c r="E214" t="s">
        <v>232</v>
      </c>
      <c r="F2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4">
        <f>ScenarioStat0[[#This Row],[team-1-win]]+ScenarioStat0[[#This Row],[team-2-win]]</f>
        <v>0</v>
      </c>
    </row>
    <row r="215" spans="1:7" x14ac:dyDescent="0.25">
      <c r="A215" t="s">
        <v>56</v>
      </c>
      <c r="B215" t="s">
        <v>43</v>
      </c>
      <c r="C2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5" t="s">
        <v>38</v>
      </c>
      <c r="E215" t="s">
        <v>232</v>
      </c>
      <c r="F2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5">
        <f>ScenarioStat0[[#This Row],[team-1-win]]+ScenarioStat0[[#This Row],[team-2-win]]</f>
        <v>0</v>
      </c>
    </row>
    <row r="216" spans="1:7" x14ac:dyDescent="0.25">
      <c r="A216" t="s">
        <v>56</v>
      </c>
      <c r="B216" t="s">
        <v>45</v>
      </c>
      <c r="C2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6" t="s">
        <v>48</v>
      </c>
      <c r="E216" t="s">
        <v>33</v>
      </c>
      <c r="F2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6">
        <f>ScenarioStat0[[#This Row],[team-1-win]]+ScenarioStat0[[#This Row],[team-2-win]]</f>
        <v>0</v>
      </c>
    </row>
    <row r="217" spans="1:7" x14ac:dyDescent="0.25">
      <c r="A217" t="s">
        <v>56</v>
      </c>
      <c r="B217" t="s">
        <v>45</v>
      </c>
      <c r="C2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7" t="s">
        <v>48</v>
      </c>
      <c r="E217" t="s">
        <v>43</v>
      </c>
      <c r="F2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7">
        <f>ScenarioStat0[[#This Row],[team-1-win]]+ScenarioStat0[[#This Row],[team-2-win]]</f>
        <v>0</v>
      </c>
    </row>
    <row r="218" spans="1:7" x14ac:dyDescent="0.25">
      <c r="A218" t="s">
        <v>56</v>
      </c>
      <c r="B218" t="s">
        <v>45</v>
      </c>
      <c r="C2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8" t="s">
        <v>48</v>
      </c>
      <c r="E218" t="s">
        <v>63</v>
      </c>
      <c r="F2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8">
        <f>ScenarioStat0[[#This Row],[team-1-win]]+ScenarioStat0[[#This Row],[team-2-win]]</f>
        <v>0</v>
      </c>
    </row>
    <row r="219" spans="1:7" x14ac:dyDescent="0.25">
      <c r="A219" t="s">
        <v>56</v>
      </c>
      <c r="B219" t="s">
        <v>45</v>
      </c>
      <c r="C2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9" t="s">
        <v>48</v>
      </c>
      <c r="E219" t="s">
        <v>38</v>
      </c>
      <c r="F2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9">
        <f>ScenarioStat0[[#This Row],[team-1-win]]+ScenarioStat0[[#This Row],[team-2-win]]</f>
        <v>0</v>
      </c>
    </row>
    <row r="220" spans="1:7" x14ac:dyDescent="0.25">
      <c r="A220" t="s">
        <v>56</v>
      </c>
      <c r="B220" t="s">
        <v>45</v>
      </c>
      <c r="C2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0" t="s">
        <v>48</v>
      </c>
      <c r="E220" t="s">
        <v>232</v>
      </c>
      <c r="F2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0">
        <f>ScenarioStat0[[#This Row],[team-1-win]]+ScenarioStat0[[#This Row],[team-2-win]]</f>
        <v>0</v>
      </c>
    </row>
    <row r="221" spans="1:7" x14ac:dyDescent="0.25">
      <c r="A221" t="s">
        <v>56</v>
      </c>
      <c r="B221" t="s">
        <v>45</v>
      </c>
      <c r="C2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1" t="s">
        <v>33</v>
      </c>
      <c r="E221" t="s">
        <v>43</v>
      </c>
      <c r="F2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1">
        <f>ScenarioStat0[[#This Row],[team-1-win]]+ScenarioStat0[[#This Row],[team-2-win]]</f>
        <v>0</v>
      </c>
    </row>
    <row r="222" spans="1:7" x14ac:dyDescent="0.25">
      <c r="A222" t="s">
        <v>56</v>
      </c>
      <c r="B222" t="s">
        <v>45</v>
      </c>
      <c r="C2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2" t="s">
        <v>33</v>
      </c>
      <c r="E222" t="s">
        <v>63</v>
      </c>
      <c r="F2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2">
        <f>ScenarioStat0[[#This Row],[team-1-win]]+ScenarioStat0[[#This Row],[team-2-win]]</f>
        <v>0</v>
      </c>
    </row>
    <row r="223" spans="1:7" x14ac:dyDescent="0.25">
      <c r="A223" t="s">
        <v>56</v>
      </c>
      <c r="B223" t="s">
        <v>45</v>
      </c>
      <c r="C2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3" t="s">
        <v>33</v>
      </c>
      <c r="E223" t="s">
        <v>38</v>
      </c>
      <c r="F2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3">
        <f>ScenarioStat0[[#This Row],[team-1-win]]+ScenarioStat0[[#This Row],[team-2-win]]</f>
        <v>0</v>
      </c>
    </row>
    <row r="224" spans="1:7" x14ac:dyDescent="0.25">
      <c r="A224" t="s">
        <v>56</v>
      </c>
      <c r="B224" t="s">
        <v>45</v>
      </c>
      <c r="C2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4" t="s">
        <v>33</v>
      </c>
      <c r="E224" t="s">
        <v>232</v>
      </c>
      <c r="F2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4">
        <f>ScenarioStat0[[#This Row],[team-1-win]]+ScenarioStat0[[#This Row],[team-2-win]]</f>
        <v>0</v>
      </c>
    </row>
    <row r="225" spans="1:7" x14ac:dyDescent="0.25">
      <c r="A225" t="s">
        <v>56</v>
      </c>
      <c r="B225" t="s">
        <v>45</v>
      </c>
      <c r="C2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5" t="s">
        <v>43</v>
      </c>
      <c r="E225" t="s">
        <v>63</v>
      </c>
      <c r="F2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5">
        <f>ScenarioStat0[[#This Row],[team-1-win]]+ScenarioStat0[[#This Row],[team-2-win]]</f>
        <v>0</v>
      </c>
    </row>
    <row r="226" spans="1:7" x14ac:dyDescent="0.25">
      <c r="A226" t="s">
        <v>56</v>
      </c>
      <c r="B226" t="s">
        <v>45</v>
      </c>
      <c r="C2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6" t="s">
        <v>43</v>
      </c>
      <c r="E226" t="s">
        <v>38</v>
      </c>
      <c r="F2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6">
        <f>ScenarioStat0[[#This Row],[team-1-win]]+ScenarioStat0[[#This Row],[team-2-win]]</f>
        <v>0</v>
      </c>
    </row>
    <row r="227" spans="1:7" x14ac:dyDescent="0.25">
      <c r="A227" t="s">
        <v>56</v>
      </c>
      <c r="B227" t="s">
        <v>45</v>
      </c>
      <c r="C2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7" t="s">
        <v>43</v>
      </c>
      <c r="E227" t="s">
        <v>232</v>
      </c>
      <c r="F2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7">
        <f>ScenarioStat0[[#This Row],[team-1-win]]+ScenarioStat0[[#This Row],[team-2-win]]</f>
        <v>0</v>
      </c>
    </row>
    <row r="228" spans="1:7" x14ac:dyDescent="0.25">
      <c r="A228" t="s">
        <v>56</v>
      </c>
      <c r="B228" t="s">
        <v>45</v>
      </c>
      <c r="C2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8" t="s">
        <v>63</v>
      </c>
      <c r="E228" t="s">
        <v>38</v>
      </c>
      <c r="F2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8">
        <f>ScenarioStat0[[#This Row],[team-1-win]]+ScenarioStat0[[#This Row],[team-2-win]]</f>
        <v>0</v>
      </c>
    </row>
    <row r="229" spans="1:7" x14ac:dyDescent="0.25">
      <c r="A229" t="s">
        <v>56</v>
      </c>
      <c r="B229" t="s">
        <v>45</v>
      </c>
      <c r="C2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9" t="s">
        <v>63</v>
      </c>
      <c r="E229" t="s">
        <v>232</v>
      </c>
      <c r="F2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9">
        <f>ScenarioStat0[[#This Row],[team-1-win]]+ScenarioStat0[[#This Row],[team-2-win]]</f>
        <v>0</v>
      </c>
    </row>
    <row r="230" spans="1:7" x14ac:dyDescent="0.25">
      <c r="A230" t="s">
        <v>56</v>
      </c>
      <c r="B230" t="s">
        <v>45</v>
      </c>
      <c r="C2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0" t="s">
        <v>38</v>
      </c>
      <c r="E230" t="s">
        <v>232</v>
      </c>
      <c r="F2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0">
        <f>ScenarioStat0[[#This Row],[team-1-win]]+ScenarioStat0[[#This Row],[team-2-win]]</f>
        <v>0</v>
      </c>
    </row>
    <row r="231" spans="1:7" x14ac:dyDescent="0.25">
      <c r="A231" t="s">
        <v>56</v>
      </c>
      <c r="B231" t="s">
        <v>63</v>
      </c>
      <c r="C2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1" t="s">
        <v>48</v>
      </c>
      <c r="E231" t="s">
        <v>33</v>
      </c>
      <c r="F2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1">
        <f>ScenarioStat0[[#This Row],[team-1-win]]+ScenarioStat0[[#This Row],[team-2-win]]</f>
        <v>0</v>
      </c>
    </row>
    <row r="232" spans="1:7" x14ac:dyDescent="0.25">
      <c r="A232" t="s">
        <v>56</v>
      </c>
      <c r="B232" t="s">
        <v>63</v>
      </c>
      <c r="C2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2" t="s">
        <v>48</v>
      </c>
      <c r="E232" t="s">
        <v>43</v>
      </c>
      <c r="F2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2">
        <f>ScenarioStat0[[#This Row],[team-1-win]]+ScenarioStat0[[#This Row],[team-2-win]]</f>
        <v>0</v>
      </c>
    </row>
    <row r="233" spans="1:7" x14ac:dyDescent="0.25">
      <c r="A233" t="s">
        <v>56</v>
      </c>
      <c r="B233" t="s">
        <v>63</v>
      </c>
      <c r="C2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3" t="s">
        <v>48</v>
      </c>
      <c r="E233" t="s">
        <v>45</v>
      </c>
      <c r="F2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3">
        <f>ScenarioStat0[[#This Row],[team-1-win]]+ScenarioStat0[[#This Row],[team-2-win]]</f>
        <v>0</v>
      </c>
    </row>
    <row r="234" spans="1:7" x14ac:dyDescent="0.25">
      <c r="A234" t="s">
        <v>56</v>
      </c>
      <c r="B234" t="s">
        <v>63</v>
      </c>
      <c r="C2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4" t="s">
        <v>48</v>
      </c>
      <c r="E234" t="s">
        <v>38</v>
      </c>
      <c r="F2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4">
        <f>ScenarioStat0[[#This Row],[team-1-win]]+ScenarioStat0[[#This Row],[team-2-win]]</f>
        <v>0</v>
      </c>
    </row>
    <row r="235" spans="1:7" x14ac:dyDescent="0.25">
      <c r="A235" t="s">
        <v>56</v>
      </c>
      <c r="B235" t="s">
        <v>63</v>
      </c>
      <c r="C2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5" t="s">
        <v>48</v>
      </c>
      <c r="E235" t="s">
        <v>232</v>
      </c>
      <c r="F2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5">
        <f>ScenarioStat0[[#This Row],[team-1-win]]+ScenarioStat0[[#This Row],[team-2-win]]</f>
        <v>0</v>
      </c>
    </row>
    <row r="236" spans="1:7" x14ac:dyDescent="0.25">
      <c r="A236" t="s">
        <v>56</v>
      </c>
      <c r="B236" t="s">
        <v>63</v>
      </c>
      <c r="C2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6" t="s">
        <v>33</v>
      </c>
      <c r="E236" t="s">
        <v>43</v>
      </c>
      <c r="F2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6">
        <f>ScenarioStat0[[#This Row],[team-1-win]]+ScenarioStat0[[#This Row],[team-2-win]]</f>
        <v>0</v>
      </c>
    </row>
    <row r="237" spans="1:7" x14ac:dyDescent="0.25">
      <c r="A237" t="s">
        <v>56</v>
      </c>
      <c r="B237" t="s">
        <v>63</v>
      </c>
      <c r="C2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7" t="s">
        <v>33</v>
      </c>
      <c r="E237" t="s">
        <v>45</v>
      </c>
      <c r="F2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7">
        <f>ScenarioStat0[[#This Row],[team-1-win]]+ScenarioStat0[[#This Row],[team-2-win]]</f>
        <v>0</v>
      </c>
    </row>
    <row r="238" spans="1:7" x14ac:dyDescent="0.25">
      <c r="A238" t="s">
        <v>56</v>
      </c>
      <c r="B238" t="s">
        <v>63</v>
      </c>
      <c r="C2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8" t="s">
        <v>33</v>
      </c>
      <c r="E238" t="s">
        <v>38</v>
      </c>
      <c r="F2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8">
        <f>ScenarioStat0[[#This Row],[team-1-win]]+ScenarioStat0[[#This Row],[team-2-win]]</f>
        <v>0</v>
      </c>
    </row>
    <row r="239" spans="1:7" x14ac:dyDescent="0.25">
      <c r="A239" t="s">
        <v>56</v>
      </c>
      <c r="B239" t="s">
        <v>63</v>
      </c>
      <c r="C2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9" t="s">
        <v>33</v>
      </c>
      <c r="E239" t="s">
        <v>232</v>
      </c>
      <c r="F2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9">
        <f>ScenarioStat0[[#This Row],[team-1-win]]+ScenarioStat0[[#This Row],[team-2-win]]</f>
        <v>0</v>
      </c>
    </row>
    <row r="240" spans="1:7" x14ac:dyDescent="0.25">
      <c r="A240" t="s">
        <v>56</v>
      </c>
      <c r="B240" t="s">
        <v>63</v>
      </c>
      <c r="C2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0" t="s">
        <v>43</v>
      </c>
      <c r="E240" t="s">
        <v>45</v>
      </c>
      <c r="F2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0">
        <f>ScenarioStat0[[#This Row],[team-1-win]]+ScenarioStat0[[#This Row],[team-2-win]]</f>
        <v>0</v>
      </c>
    </row>
    <row r="241" spans="1:7" x14ac:dyDescent="0.25">
      <c r="A241" t="s">
        <v>56</v>
      </c>
      <c r="B241" t="s">
        <v>63</v>
      </c>
      <c r="C2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1" t="s">
        <v>43</v>
      </c>
      <c r="E241" t="s">
        <v>38</v>
      </c>
      <c r="F2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1">
        <f>ScenarioStat0[[#This Row],[team-1-win]]+ScenarioStat0[[#This Row],[team-2-win]]</f>
        <v>0</v>
      </c>
    </row>
    <row r="242" spans="1:7" x14ac:dyDescent="0.25">
      <c r="A242" t="s">
        <v>56</v>
      </c>
      <c r="B242" t="s">
        <v>63</v>
      </c>
      <c r="C2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2" t="s">
        <v>43</v>
      </c>
      <c r="E242" t="s">
        <v>232</v>
      </c>
      <c r="F2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2">
        <f>ScenarioStat0[[#This Row],[team-1-win]]+ScenarioStat0[[#This Row],[team-2-win]]</f>
        <v>0</v>
      </c>
    </row>
    <row r="243" spans="1:7" x14ac:dyDescent="0.25">
      <c r="A243" t="s">
        <v>56</v>
      </c>
      <c r="B243" t="s">
        <v>63</v>
      </c>
      <c r="C2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3" t="s">
        <v>45</v>
      </c>
      <c r="E243" t="s">
        <v>38</v>
      </c>
      <c r="F2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3">
        <f>ScenarioStat0[[#This Row],[team-1-win]]+ScenarioStat0[[#This Row],[team-2-win]]</f>
        <v>0</v>
      </c>
    </row>
    <row r="244" spans="1:7" x14ac:dyDescent="0.25">
      <c r="A244" t="s">
        <v>56</v>
      </c>
      <c r="B244" t="s">
        <v>63</v>
      </c>
      <c r="C2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4" t="s">
        <v>45</v>
      </c>
      <c r="E244" t="s">
        <v>232</v>
      </c>
      <c r="F2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4">
        <f>ScenarioStat0[[#This Row],[team-1-win]]+ScenarioStat0[[#This Row],[team-2-win]]</f>
        <v>0</v>
      </c>
    </row>
    <row r="245" spans="1:7" x14ac:dyDescent="0.25">
      <c r="A245" t="s">
        <v>56</v>
      </c>
      <c r="B245" t="s">
        <v>63</v>
      </c>
      <c r="C2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5" t="s">
        <v>38</v>
      </c>
      <c r="E245" t="s">
        <v>232</v>
      </c>
      <c r="F2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5">
        <f>ScenarioStat0[[#This Row],[team-1-win]]+ScenarioStat0[[#This Row],[team-2-win]]</f>
        <v>0</v>
      </c>
    </row>
    <row r="246" spans="1:7" x14ac:dyDescent="0.25">
      <c r="A246" t="s">
        <v>56</v>
      </c>
      <c r="B246" t="s">
        <v>38</v>
      </c>
      <c r="C2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6" t="s">
        <v>48</v>
      </c>
      <c r="E246" t="s">
        <v>33</v>
      </c>
      <c r="F2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6">
        <f>ScenarioStat0[[#This Row],[team-1-win]]+ScenarioStat0[[#This Row],[team-2-win]]</f>
        <v>0</v>
      </c>
    </row>
    <row r="247" spans="1:7" x14ac:dyDescent="0.25">
      <c r="A247" t="s">
        <v>56</v>
      </c>
      <c r="B247" t="s">
        <v>38</v>
      </c>
      <c r="C2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7" t="s">
        <v>48</v>
      </c>
      <c r="E247" t="s">
        <v>43</v>
      </c>
      <c r="F2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7">
        <f>ScenarioStat0[[#This Row],[team-1-win]]+ScenarioStat0[[#This Row],[team-2-win]]</f>
        <v>0</v>
      </c>
    </row>
    <row r="248" spans="1:7" x14ac:dyDescent="0.25">
      <c r="A248" t="s">
        <v>56</v>
      </c>
      <c r="B248" t="s">
        <v>38</v>
      </c>
      <c r="C2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8" t="s">
        <v>48</v>
      </c>
      <c r="E248" t="s">
        <v>45</v>
      </c>
      <c r="F2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8">
        <f>ScenarioStat0[[#This Row],[team-1-win]]+ScenarioStat0[[#This Row],[team-2-win]]</f>
        <v>0</v>
      </c>
    </row>
    <row r="249" spans="1:7" x14ac:dyDescent="0.25">
      <c r="A249" t="s">
        <v>56</v>
      </c>
      <c r="B249" t="s">
        <v>38</v>
      </c>
      <c r="C2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9" t="s">
        <v>48</v>
      </c>
      <c r="E249" t="s">
        <v>63</v>
      </c>
      <c r="F2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9">
        <f>ScenarioStat0[[#This Row],[team-1-win]]+ScenarioStat0[[#This Row],[team-2-win]]</f>
        <v>0</v>
      </c>
    </row>
    <row r="250" spans="1:7" x14ac:dyDescent="0.25">
      <c r="A250" t="s">
        <v>56</v>
      </c>
      <c r="B250" t="s">
        <v>38</v>
      </c>
      <c r="C2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0" t="s">
        <v>48</v>
      </c>
      <c r="E250" t="s">
        <v>232</v>
      </c>
      <c r="F2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0">
        <f>ScenarioStat0[[#This Row],[team-1-win]]+ScenarioStat0[[#This Row],[team-2-win]]</f>
        <v>0</v>
      </c>
    </row>
    <row r="251" spans="1:7" x14ac:dyDescent="0.25">
      <c r="A251" t="s">
        <v>56</v>
      </c>
      <c r="B251" t="s">
        <v>38</v>
      </c>
      <c r="C2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1" t="s">
        <v>33</v>
      </c>
      <c r="E251" t="s">
        <v>43</v>
      </c>
      <c r="F2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1">
        <f>ScenarioStat0[[#This Row],[team-1-win]]+ScenarioStat0[[#This Row],[team-2-win]]</f>
        <v>0</v>
      </c>
    </row>
    <row r="252" spans="1:7" x14ac:dyDescent="0.25">
      <c r="A252" t="s">
        <v>56</v>
      </c>
      <c r="B252" t="s">
        <v>38</v>
      </c>
      <c r="C2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2" t="s">
        <v>33</v>
      </c>
      <c r="E252" t="s">
        <v>45</v>
      </c>
      <c r="F2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2">
        <f>ScenarioStat0[[#This Row],[team-1-win]]+ScenarioStat0[[#This Row],[team-2-win]]</f>
        <v>0</v>
      </c>
    </row>
    <row r="253" spans="1:7" x14ac:dyDescent="0.25">
      <c r="A253" t="s">
        <v>56</v>
      </c>
      <c r="B253" t="s">
        <v>38</v>
      </c>
      <c r="C2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3" t="s">
        <v>33</v>
      </c>
      <c r="E253" t="s">
        <v>63</v>
      </c>
      <c r="F2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3">
        <f>ScenarioStat0[[#This Row],[team-1-win]]+ScenarioStat0[[#This Row],[team-2-win]]</f>
        <v>0</v>
      </c>
    </row>
    <row r="254" spans="1:7" x14ac:dyDescent="0.25">
      <c r="A254" t="s">
        <v>56</v>
      </c>
      <c r="B254" t="s">
        <v>38</v>
      </c>
      <c r="C2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4" t="s">
        <v>33</v>
      </c>
      <c r="E254" t="s">
        <v>232</v>
      </c>
      <c r="F2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4">
        <f>ScenarioStat0[[#This Row],[team-1-win]]+ScenarioStat0[[#This Row],[team-2-win]]</f>
        <v>0</v>
      </c>
    </row>
    <row r="255" spans="1:7" x14ac:dyDescent="0.25">
      <c r="A255" t="s">
        <v>56</v>
      </c>
      <c r="B255" t="s">
        <v>38</v>
      </c>
      <c r="C2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5" t="s">
        <v>43</v>
      </c>
      <c r="E255" t="s">
        <v>45</v>
      </c>
      <c r="F2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5">
        <f>ScenarioStat0[[#This Row],[team-1-win]]+ScenarioStat0[[#This Row],[team-2-win]]</f>
        <v>0</v>
      </c>
    </row>
    <row r="256" spans="1:7" x14ac:dyDescent="0.25">
      <c r="A256" t="s">
        <v>56</v>
      </c>
      <c r="B256" t="s">
        <v>38</v>
      </c>
      <c r="C2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6" t="s">
        <v>43</v>
      </c>
      <c r="E256" t="s">
        <v>63</v>
      </c>
      <c r="F2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6">
        <f>ScenarioStat0[[#This Row],[team-1-win]]+ScenarioStat0[[#This Row],[team-2-win]]</f>
        <v>0</v>
      </c>
    </row>
    <row r="257" spans="1:7" x14ac:dyDescent="0.25">
      <c r="A257" t="s">
        <v>56</v>
      </c>
      <c r="B257" t="s">
        <v>38</v>
      </c>
      <c r="C2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7" t="s">
        <v>43</v>
      </c>
      <c r="E257" t="s">
        <v>232</v>
      </c>
      <c r="F2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7">
        <f>ScenarioStat0[[#This Row],[team-1-win]]+ScenarioStat0[[#This Row],[team-2-win]]</f>
        <v>0</v>
      </c>
    </row>
    <row r="258" spans="1:7" x14ac:dyDescent="0.25">
      <c r="A258" t="s">
        <v>56</v>
      </c>
      <c r="B258" t="s">
        <v>38</v>
      </c>
      <c r="C2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8" t="s">
        <v>45</v>
      </c>
      <c r="E258" t="s">
        <v>63</v>
      </c>
      <c r="F2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8">
        <f>ScenarioStat0[[#This Row],[team-1-win]]+ScenarioStat0[[#This Row],[team-2-win]]</f>
        <v>0</v>
      </c>
    </row>
    <row r="259" spans="1:7" x14ac:dyDescent="0.25">
      <c r="A259" t="s">
        <v>56</v>
      </c>
      <c r="B259" t="s">
        <v>38</v>
      </c>
      <c r="C2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9" t="s">
        <v>45</v>
      </c>
      <c r="E259" t="s">
        <v>232</v>
      </c>
      <c r="F2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9">
        <f>ScenarioStat0[[#This Row],[team-1-win]]+ScenarioStat0[[#This Row],[team-2-win]]</f>
        <v>0</v>
      </c>
    </row>
    <row r="260" spans="1:7" x14ac:dyDescent="0.25">
      <c r="A260" t="s">
        <v>56</v>
      </c>
      <c r="B260" t="s">
        <v>38</v>
      </c>
      <c r="C2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0" t="s">
        <v>63</v>
      </c>
      <c r="E260" t="s">
        <v>232</v>
      </c>
      <c r="F2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0">
        <f>ScenarioStat0[[#This Row],[team-1-win]]+ScenarioStat0[[#This Row],[team-2-win]]</f>
        <v>0</v>
      </c>
    </row>
    <row r="261" spans="1:7" x14ac:dyDescent="0.25">
      <c r="A261" t="s">
        <v>56</v>
      </c>
      <c r="B261" t="s">
        <v>232</v>
      </c>
      <c r="C2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1" t="s">
        <v>48</v>
      </c>
      <c r="E261" t="s">
        <v>33</v>
      </c>
      <c r="F2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1">
        <f>ScenarioStat0[[#This Row],[team-1-win]]+ScenarioStat0[[#This Row],[team-2-win]]</f>
        <v>0</v>
      </c>
    </row>
    <row r="262" spans="1:7" x14ac:dyDescent="0.25">
      <c r="A262" t="s">
        <v>56</v>
      </c>
      <c r="B262" t="s">
        <v>232</v>
      </c>
      <c r="C2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2" t="s">
        <v>48</v>
      </c>
      <c r="E262" t="s">
        <v>43</v>
      </c>
      <c r="F2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2">
        <f>ScenarioStat0[[#This Row],[team-1-win]]+ScenarioStat0[[#This Row],[team-2-win]]</f>
        <v>0</v>
      </c>
    </row>
    <row r="263" spans="1:7" x14ac:dyDescent="0.25">
      <c r="A263" t="s">
        <v>56</v>
      </c>
      <c r="B263" t="s">
        <v>232</v>
      </c>
      <c r="C2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3" t="s">
        <v>48</v>
      </c>
      <c r="E263" t="s">
        <v>45</v>
      </c>
      <c r="F2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3">
        <f>ScenarioStat0[[#This Row],[team-1-win]]+ScenarioStat0[[#This Row],[team-2-win]]</f>
        <v>0</v>
      </c>
    </row>
    <row r="264" spans="1:7" x14ac:dyDescent="0.25">
      <c r="A264" t="s">
        <v>56</v>
      </c>
      <c r="B264" t="s">
        <v>232</v>
      </c>
      <c r="C2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4" t="s">
        <v>48</v>
      </c>
      <c r="E264" t="s">
        <v>63</v>
      </c>
      <c r="F2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4">
        <f>ScenarioStat0[[#This Row],[team-1-win]]+ScenarioStat0[[#This Row],[team-2-win]]</f>
        <v>0</v>
      </c>
    </row>
    <row r="265" spans="1:7" x14ac:dyDescent="0.25">
      <c r="A265" t="s">
        <v>56</v>
      </c>
      <c r="B265" t="s">
        <v>232</v>
      </c>
      <c r="C2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5" t="s">
        <v>48</v>
      </c>
      <c r="E265" t="s">
        <v>38</v>
      </c>
      <c r="F2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5">
        <f>ScenarioStat0[[#This Row],[team-1-win]]+ScenarioStat0[[#This Row],[team-2-win]]</f>
        <v>0</v>
      </c>
    </row>
    <row r="266" spans="1:7" x14ac:dyDescent="0.25">
      <c r="A266" t="s">
        <v>56</v>
      </c>
      <c r="B266" t="s">
        <v>232</v>
      </c>
      <c r="C2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6" t="s">
        <v>33</v>
      </c>
      <c r="E266" t="s">
        <v>43</v>
      </c>
      <c r="F2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6">
        <f>ScenarioStat0[[#This Row],[team-1-win]]+ScenarioStat0[[#This Row],[team-2-win]]</f>
        <v>0</v>
      </c>
    </row>
    <row r="267" spans="1:7" x14ac:dyDescent="0.25">
      <c r="A267" t="s">
        <v>56</v>
      </c>
      <c r="B267" t="s">
        <v>232</v>
      </c>
      <c r="C2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7" t="s">
        <v>33</v>
      </c>
      <c r="E267" t="s">
        <v>45</v>
      </c>
      <c r="F2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7">
        <f>ScenarioStat0[[#This Row],[team-1-win]]+ScenarioStat0[[#This Row],[team-2-win]]</f>
        <v>0</v>
      </c>
    </row>
    <row r="268" spans="1:7" x14ac:dyDescent="0.25">
      <c r="A268" t="s">
        <v>56</v>
      </c>
      <c r="B268" t="s">
        <v>232</v>
      </c>
      <c r="C2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8" t="s">
        <v>33</v>
      </c>
      <c r="E268" t="s">
        <v>63</v>
      </c>
      <c r="F2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8">
        <f>ScenarioStat0[[#This Row],[team-1-win]]+ScenarioStat0[[#This Row],[team-2-win]]</f>
        <v>0</v>
      </c>
    </row>
    <row r="269" spans="1:7" x14ac:dyDescent="0.25">
      <c r="A269" t="s">
        <v>56</v>
      </c>
      <c r="B269" t="s">
        <v>232</v>
      </c>
      <c r="C2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9" t="s">
        <v>33</v>
      </c>
      <c r="E269" t="s">
        <v>38</v>
      </c>
      <c r="F2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9">
        <f>ScenarioStat0[[#This Row],[team-1-win]]+ScenarioStat0[[#This Row],[team-2-win]]</f>
        <v>0</v>
      </c>
    </row>
    <row r="270" spans="1:7" x14ac:dyDescent="0.25">
      <c r="A270" t="s">
        <v>56</v>
      </c>
      <c r="B270" t="s">
        <v>232</v>
      </c>
      <c r="C2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0" t="s">
        <v>43</v>
      </c>
      <c r="E270" t="s">
        <v>45</v>
      </c>
      <c r="F2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0">
        <f>ScenarioStat0[[#This Row],[team-1-win]]+ScenarioStat0[[#This Row],[team-2-win]]</f>
        <v>0</v>
      </c>
    </row>
    <row r="271" spans="1:7" x14ac:dyDescent="0.25">
      <c r="A271" t="s">
        <v>56</v>
      </c>
      <c r="B271" t="s">
        <v>232</v>
      </c>
      <c r="C2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1" t="s">
        <v>43</v>
      </c>
      <c r="E271" t="s">
        <v>63</v>
      </c>
      <c r="F2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1">
        <f>ScenarioStat0[[#This Row],[team-1-win]]+ScenarioStat0[[#This Row],[team-2-win]]</f>
        <v>0</v>
      </c>
    </row>
    <row r="272" spans="1:7" x14ac:dyDescent="0.25">
      <c r="A272" t="s">
        <v>56</v>
      </c>
      <c r="B272" t="s">
        <v>232</v>
      </c>
      <c r="C2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2" t="s">
        <v>43</v>
      </c>
      <c r="E272" t="s">
        <v>38</v>
      </c>
      <c r="F2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2">
        <f>ScenarioStat0[[#This Row],[team-1-win]]+ScenarioStat0[[#This Row],[team-2-win]]</f>
        <v>0</v>
      </c>
    </row>
    <row r="273" spans="1:7" x14ac:dyDescent="0.25">
      <c r="A273" t="s">
        <v>56</v>
      </c>
      <c r="B273" t="s">
        <v>232</v>
      </c>
      <c r="C2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3" t="s">
        <v>45</v>
      </c>
      <c r="E273" t="s">
        <v>63</v>
      </c>
      <c r="F2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3">
        <f>ScenarioStat0[[#This Row],[team-1-win]]+ScenarioStat0[[#This Row],[team-2-win]]</f>
        <v>0</v>
      </c>
    </row>
    <row r="274" spans="1:7" x14ac:dyDescent="0.25">
      <c r="A274" t="s">
        <v>56</v>
      </c>
      <c r="B274" t="s">
        <v>232</v>
      </c>
      <c r="C2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4" t="s">
        <v>45</v>
      </c>
      <c r="E274" t="s">
        <v>38</v>
      </c>
      <c r="F2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4">
        <f>ScenarioStat0[[#This Row],[team-1-win]]+ScenarioStat0[[#This Row],[team-2-win]]</f>
        <v>0</v>
      </c>
    </row>
    <row r="275" spans="1:7" x14ac:dyDescent="0.25">
      <c r="A275" t="s">
        <v>56</v>
      </c>
      <c r="B275" t="s">
        <v>232</v>
      </c>
      <c r="C2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5" t="s">
        <v>63</v>
      </c>
      <c r="E275" t="s">
        <v>38</v>
      </c>
      <c r="F2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5">
        <f>ScenarioStat0[[#This Row],[team-1-win]]+ScenarioStat0[[#This Row],[team-2-win]]</f>
        <v>0</v>
      </c>
    </row>
    <row r="276" spans="1:7" x14ac:dyDescent="0.25">
      <c r="A276" t="s">
        <v>48</v>
      </c>
      <c r="B276" t="s">
        <v>33</v>
      </c>
      <c r="C2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6" t="s">
        <v>43</v>
      </c>
      <c r="E276" t="s">
        <v>45</v>
      </c>
      <c r="F2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6">
        <f>ScenarioStat0[[#This Row],[team-1-win]]+ScenarioStat0[[#This Row],[team-2-win]]</f>
        <v>0</v>
      </c>
    </row>
    <row r="277" spans="1:7" x14ac:dyDescent="0.25">
      <c r="A277" t="s">
        <v>48</v>
      </c>
      <c r="B277" t="s">
        <v>33</v>
      </c>
      <c r="C2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7" t="s">
        <v>43</v>
      </c>
      <c r="E277" t="s">
        <v>63</v>
      </c>
      <c r="F2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7">
        <f>ScenarioStat0[[#This Row],[team-1-win]]+ScenarioStat0[[#This Row],[team-2-win]]</f>
        <v>0</v>
      </c>
    </row>
    <row r="278" spans="1:7" x14ac:dyDescent="0.25">
      <c r="A278" t="s">
        <v>48</v>
      </c>
      <c r="B278" t="s">
        <v>33</v>
      </c>
      <c r="C2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8" t="s">
        <v>43</v>
      </c>
      <c r="E278" t="s">
        <v>38</v>
      </c>
      <c r="F2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8">
        <f>ScenarioStat0[[#This Row],[team-1-win]]+ScenarioStat0[[#This Row],[team-2-win]]</f>
        <v>0</v>
      </c>
    </row>
    <row r="279" spans="1:7" x14ac:dyDescent="0.25">
      <c r="A279" t="s">
        <v>48</v>
      </c>
      <c r="B279" t="s">
        <v>33</v>
      </c>
      <c r="C2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9" t="s">
        <v>43</v>
      </c>
      <c r="E279" t="s">
        <v>232</v>
      </c>
      <c r="F2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9">
        <f>ScenarioStat0[[#This Row],[team-1-win]]+ScenarioStat0[[#This Row],[team-2-win]]</f>
        <v>0</v>
      </c>
    </row>
    <row r="280" spans="1:7" x14ac:dyDescent="0.25">
      <c r="A280" t="s">
        <v>48</v>
      </c>
      <c r="B280" t="s">
        <v>33</v>
      </c>
      <c r="C2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0" t="s">
        <v>45</v>
      </c>
      <c r="E280" t="s">
        <v>63</v>
      </c>
      <c r="F2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0">
        <f>ScenarioStat0[[#This Row],[team-1-win]]+ScenarioStat0[[#This Row],[team-2-win]]</f>
        <v>0</v>
      </c>
    </row>
    <row r="281" spans="1:7" x14ac:dyDescent="0.25">
      <c r="A281" t="s">
        <v>48</v>
      </c>
      <c r="B281" t="s">
        <v>33</v>
      </c>
      <c r="C2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1" t="s">
        <v>45</v>
      </c>
      <c r="E281" t="s">
        <v>38</v>
      </c>
      <c r="F2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1">
        <f>ScenarioStat0[[#This Row],[team-1-win]]+ScenarioStat0[[#This Row],[team-2-win]]</f>
        <v>0</v>
      </c>
    </row>
    <row r="282" spans="1:7" x14ac:dyDescent="0.25">
      <c r="A282" t="s">
        <v>48</v>
      </c>
      <c r="B282" t="s">
        <v>33</v>
      </c>
      <c r="C2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2" t="s">
        <v>45</v>
      </c>
      <c r="E282" t="s">
        <v>232</v>
      </c>
      <c r="F2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2">
        <f>ScenarioStat0[[#This Row],[team-1-win]]+ScenarioStat0[[#This Row],[team-2-win]]</f>
        <v>0</v>
      </c>
    </row>
    <row r="283" spans="1:7" x14ac:dyDescent="0.25">
      <c r="A283" t="s">
        <v>48</v>
      </c>
      <c r="B283" t="s">
        <v>33</v>
      </c>
      <c r="C2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3" t="s">
        <v>63</v>
      </c>
      <c r="E283" t="s">
        <v>38</v>
      </c>
      <c r="F2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3">
        <f>ScenarioStat0[[#This Row],[team-1-win]]+ScenarioStat0[[#This Row],[team-2-win]]</f>
        <v>0</v>
      </c>
    </row>
    <row r="284" spans="1:7" x14ac:dyDescent="0.25">
      <c r="A284" t="s">
        <v>48</v>
      </c>
      <c r="B284" t="s">
        <v>33</v>
      </c>
      <c r="C2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4" t="s">
        <v>63</v>
      </c>
      <c r="E284" t="s">
        <v>232</v>
      </c>
      <c r="F2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4">
        <f>ScenarioStat0[[#This Row],[team-1-win]]+ScenarioStat0[[#This Row],[team-2-win]]</f>
        <v>0</v>
      </c>
    </row>
    <row r="285" spans="1:7" x14ac:dyDescent="0.25">
      <c r="A285" t="s">
        <v>48</v>
      </c>
      <c r="B285" t="s">
        <v>33</v>
      </c>
      <c r="C2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5" t="s">
        <v>38</v>
      </c>
      <c r="E285" t="s">
        <v>232</v>
      </c>
      <c r="F2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5">
        <f>ScenarioStat0[[#This Row],[team-1-win]]+ScenarioStat0[[#This Row],[team-2-win]]</f>
        <v>0</v>
      </c>
    </row>
    <row r="286" spans="1:7" x14ac:dyDescent="0.25">
      <c r="A286" t="s">
        <v>48</v>
      </c>
      <c r="B286" t="s">
        <v>43</v>
      </c>
      <c r="C2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6" t="s">
        <v>33</v>
      </c>
      <c r="E286" t="s">
        <v>45</v>
      </c>
      <c r="F2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6">
        <f>ScenarioStat0[[#This Row],[team-1-win]]+ScenarioStat0[[#This Row],[team-2-win]]</f>
        <v>0</v>
      </c>
    </row>
    <row r="287" spans="1:7" x14ac:dyDescent="0.25">
      <c r="A287" t="s">
        <v>48</v>
      </c>
      <c r="B287" t="s">
        <v>43</v>
      </c>
      <c r="C2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7" t="s">
        <v>33</v>
      </c>
      <c r="E287" t="s">
        <v>63</v>
      </c>
      <c r="F2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7">
        <f>ScenarioStat0[[#This Row],[team-1-win]]+ScenarioStat0[[#This Row],[team-2-win]]</f>
        <v>0</v>
      </c>
    </row>
    <row r="288" spans="1:7" x14ac:dyDescent="0.25">
      <c r="A288" t="s">
        <v>48</v>
      </c>
      <c r="B288" t="s">
        <v>43</v>
      </c>
      <c r="C2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8" t="s">
        <v>33</v>
      </c>
      <c r="E288" t="s">
        <v>38</v>
      </c>
      <c r="F2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8">
        <f>ScenarioStat0[[#This Row],[team-1-win]]+ScenarioStat0[[#This Row],[team-2-win]]</f>
        <v>0</v>
      </c>
    </row>
    <row r="289" spans="1:7" x14ac:dyDescent="0.25">
      <c r="A289" t="s">
        <v>48</v>
      </c>
      <c r="B289" t="s">
        <v>43</v>
      </c>
      <c r="C2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9" t="s">
        <v>33</v>
      </c>
      <c r="E289" t="s">
        <v>232</v>
      </c>
      <c r="F2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9">
        <f>ScenarioStat0[[#This Row],[team-1-win]]+ScenarioStat0[[#This Row],[team-2-win]]</f>
        <v>0</v>
      </c>
    </row>
    <row r="290" spans="1:7" x14ac:dyDescent="0.25">
      <c r="A290" t="s">
        <v>48</v>
      </c>
      <c r="B290" t="s">
        <v>43</v>
      </c>
      <c r="C2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0" t="s">
        <v>45</v>
      </c>
      <c r="E290" t="s">
        <v>63</v>
      </c>
      <c r="F2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0">
        <f>ScenarioStat0[[#This Row],[team-1-win]]+ScenarioStat0[[#This Row],[team-2-win]]</f>
        <v>0</v>
      </c>
    </row>
    <row r="291" spans="1:7" x14ac:dyDescent="0.25">
      <c r="A291" t="s">
        <v>48</v>
      </c>
      <c r="B291" t="s">
        <v>43</v>
      </c>
      <c r="C2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1" t="s">
        <v>45</v>
      </c>
      <c r="E291" t="s">
        <v>38</v>
      </c>
      <c r="F2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1">
        <f>ScenarioStat0[[#This Row],[team-1-win]]+ScenarioStat0[[#This Row],[team-2-win]]</f>
        <v>0</v>
      </c>
    </row>
    <row r="292" spans="1:7" x14ac:dyDescent="0.25">
      <c r="A292" t="s">
        <v>48</v>
      </c>
      <c r="B292" t="s">
        <v>43</v>
      </c>
      <c r="C2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2" t="s">
        <v>45</v>
      </c>
      <c r="E292" t="s">
        <v>232</v>
      </c>
      <c r="F2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2">
        <f>ScenarioStat0[[#This Row],[team-1-win]]+ScenarioStat0[[#This Row],[team-2-win]]</f>
        <v>0</v>
      </c>
    </row>
    <row r="293" spans="1:7" x14ac:dyDescent="0.25">
      <c r="A293" t="s">
        <v>48</v>
      </c>
      <c r="B293" t="s">
        <v>43</v>
      </c>
      <c r="C2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3" t="s">
        <v>63</v>
      </c>
      <c r="E293" t="s">
        <v>38</v>
      </c>
      <c r="F2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3">
        <f>ScenarioStat0[[#This Row],[team-1-win]]+ScenarioStat0[[#This Row],[team-2-win]]</f>
        <v>0</v>
      </c>
    </row>
    <row r="294" spans="1:7" x14ac:dyDescent="0.25">
      <c r="A294" t="s">
        <v>48</v>
      </c>
      <c r="B294" t="s">
        <v>43</v>
      </c>
      <c r="C2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4" t="s">
        <v>63</v>
      </c>
      <c r="E294" t="s">
        <v>232</v>
      </c>
      <c r="F2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4">
        <f>ScenarioStat0[[#This Row],[team-1-win]]+ScenarioStat0[[#This Row],[team-2-win]]</f>
        <v>0</v>
      </c>
    </row>
    <row r="295" spans="1:7" x14ac:dyDescent="0.25">
      <c r="A295" t="s">
        <v>48</v>
      </c>
      <c r="B295" t="s">
        <v>43</v>
      </c>
      <c r="C2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5" t="s">
        <v>38</v>
      </c>
      <c r="E295" t="s">
        <v>232</v>
      </c>
      <c r="F2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5">
        <f>ScenarioStat0[[#This Row],[team-1-win]]+ScenarioStat0[[#This Row],[team-2-win]]</f>
        <v>0</v>
      </c>
    </row>
    <row r="296" spans="1:7" x14ac:dyDescent="0.25">
      <c r="A296" t="s">
        <v>48</v>
      </c>
      <c r="B296" t="s">
        <v>45</v>
      </c>
      <c r="C2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6" t="s">
        <v>33</v>
      </c>
      <c r="E296" t="s">
        <v>43</v>
      </c>
      <c r="F2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6">
        <f>ScenarioStat0[[#This Row],[team-1-win]]+ScenarioStat0[[#This Row],[team-2-win]]</f>
        <v>0</v>
      </c>
    </row>
    <row r="297" spans="1:7" x14ac:dyDescent="0.25">
      <c r="A297" t="s">
        <v>48</v>
      </c>
      <c r="B297" t="s">
        <v>45</v>
      </c>
      <c r="C2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7" t="s">
        <v>33</v>
      </c>
      <c r="E297" t="s">
        <v>63</v>
      </c>
      <c r="F2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7">
        <f>ScenarioStat0[[#This Row],[team-1-win]]+ScenarioStat0[[#This Row],[team-2-win]]</f>
        <v>0</v>
      </c>
    </row>
    <row r="298" spans="1:7" x14ac:dyDescent="0.25">
      <c r="A298" t="s">
        <v>48</v>
      </c>
      <c r="B298" t="s">
        <v>45</v>
      </c>
      <c r="C2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8" t="s">
        <v>33</v>
      </c>
      <c r="E298" t="s">
        <v>38</v>
      </c>
      <c r="F2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8">
        <f>ScenarioStat0[[#This Row],[team-1-win]]+ScenarioStat0[[#This Row],[team-2-win]]</f>
        <v>0</v>
      </c>
    </row>
    <row r="299" spans="1:7" x14ac:dyDescent="0.25">
      <c r="A299" t="s">
        <v>48</v>
      </c>
      <c r="B299" t="s">
        <v>45</v>
      </c>
      <c r="C2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9" t="s">
        <v>33</v>
      </c>
      <c r="E299" t="s">
        <v>232</v>
      </c>
      <c r="F2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9">
        <f>ScenarioStat0[[#This Row],[team-1-win]]+ScenarioStat0[[#This Row],[team-2-win]]</f>
        <v>0</v>
      </c>
    </row>
    <row r="300" spans="1:7" x14ac:dyDescent="0.25">
      <c r="A300" t="s">
        <v>48</v>
      </c>
      <c r="B300" t="s">
        <v>45</v>
      </c>
      <c r="C3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0" t="s">
        <v>43</v>
      </c>
      <c r="E300" t="s">
        <v>63</v>
      </c>
      <c r="F3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0">
        <f>ScenarioStat0[[#This Row],[team-1-win]]+ScenarioStat0[[#This Row],[team-2-win]]</f>
        <v>0</v>
      </c>
    </row>
    <row r="301" spans="1:7" x14ac:dyDescent="0.25">
      <c r="A301" t="s">
        <v>48</v>
      </c>
      <c r="B301" t="s">
        <v>45</v>
      </c>
      <c r="C3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1" t="s">
        <v>43</v>
      </c>
      <c r="E301" t="s">
        <v>38</v>
      </c>
      <c r="F3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1">
        <f>ScenarioStat0[[#This Row],[team-1-win]]+ScenarioStat0[[#This Row],[team-2-win]]</f>
        <v>0</v>
      </c>
    </row>
    <row r="302" spans="1:7" x14ac:dyDescent="0.25">
      <c r="A302" t="s">
        <v>48</v>
      </c>
      <c r="B302" t="s">
        <v>45</v>
      </c>
      <c r="C3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2" t="s">
        <v>43</v>
      </c>
      <c r="E302" t="s">
        <v>232</v>
      </c>
      <c r="F3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2">
        <f>ScenarioStat0[[#This Row],[team-1-win]]+ScenarioStat0[[#This Row],[team-2-win]]</f>
        <v>0</v>
      </c>
    </row>
    <row r="303" spans="1:7" x14ac:dyDescent="0.25">
      <c r="A303" t="s">
        <v>48</v>
      </c>
      <c r="B303" t="s">
        <v>45</v>
      </c>
      <c r="C3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3" t="s">
        <v>63</v>
      </c>
      <c r="E303" t="s">
        <v>38</v>
      </c>
      <c r="F3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3">
        <f>ScenarioStat0[[#This Row],[team-1-win]]+ScenarioStat0[[#This Row],[team-2-win]]</f>
        <v>0</v>
      </c>
    </row>
    <row r="304" spans="1:7" x14ac:dyDescent="0.25">
      <c r="A304" t="s">
        <v>48</v>
      </c>
      <c r="B304" t="s">
        <v>45</v>
      </c>
      <c r="C3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4" t="s">
        <v>63</v>
      </c>
      <c r="E304" t="s">
        <v>232</v>
      </c>
      <c r="F3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4">
        <f>ScenarioStat0[[#This Row],[team-1-win]]+ScenarioStat0[[#This Row],[team-2-win]]</f>
        <v>0</v>
      </c>
    </row>
    <row r="305" spans="1:7" x14ac:dyDescent="0.25">
      <c r="A305" t="s">
        <v>48</v>
      </c>
      <c r="B305" t="s">
        <v>45</v>
      </c>
      <c r="C3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5" t="s">
        <v>38</v>
      </c>
      <c r="E305" t="s">
        <v>232</v>
      </c>
      <c r="F3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5">
        <f>ScenarioStat0[[#This Row],[team-1-win]]+ScenarioStat0[[#This Row],[team-2-win]]</f>
        <v>0</v>
      </c>
    </row>
    <row r="306" spans="1:7" x14ac:dyDescent="0.25">
      <c r="A306" t="s">
        <v>48</v>
      </c>
      <c r="B306" t="s">
        <v>63</v>
      </c>
      <c r="C3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6" t="s">
        <v>33</v>
      </c>
      <c r="E306" t="s">
        <v>43</v>
      </c>
      <c r="F3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6">
        <f>ScenarioStat0[[#This Row],[team-1-win]]+ScenarioStat0[[#This Row],[team-2-win]]</f>
        <v>0</v>
      </c>
    </row>
    <row r="307" spans="1:7" x14ac:dyDescent="0.25">
      <c r="A307" t="s">
        <v>48</v>
      </c>
      <c r="B307" t="s">
        <v>63</v>
      </c>
      <c r="C3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7" t="s">
        <v>33</v>
      </c>
      <c r="E307" t="s">
        <v>45</v>
      </c>
      <c r="F3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7">
        <f>ScenarioStat0[[#This Row],[team-1-win]]+ScenarioStat0[[#This Row],[team-2-win]]</f>
        <v>0</v>
      </c>
    </row>
    <row r="308" spans="1:7" x14ac:dyDescent="0.25">
      <c r="A308" t="s">
        <v>48</v>
      </c>
      <c r="B308" t="s">
        <v>63</v>
      </c>
      <c r="C3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8" t="s">
        <v>33</v>
      </c>
      <c r="E308" t="s">
        <v>38</v>
      </c>
      <c r="F3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8">
        <f>ScenarioStat0[[#This Row],[team-1-win]]+ScenarioStat0[[#This Row],[team-2-win]]</f>
        <v>0</v>
      </c>
    </row>
    <row r="309" spans="1:7" x14ac:dyDescent="0.25">
      <c r="A309" t="s">
        <v>48</v>
      </c>
      <c r="B309" t="s">
        <v>63</v>
      </c>
      <c r="C3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9" t="s">
        <v>33</v>
      </c>
      <c r="E309" t="s">
        <v>232</v>
      </c>
      <c r="F3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9">
        <f>ScenarioStat0[[#This Row],[team-1-win]]+ScenarioStat0[[#This Row],[team-2-win]]</f>
        <v>0</v>
      </c>
    </row>
    <row r="310" spans="1:7" x14ac:dyDescent="0.25">
      <c r="A310" t="s">
        <v>48</v>
      </c>
      <c r="B310" t="s">
        <v>63</v>
      </c>
      <c r="C3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0" t="s">
        <v>43</v>
      </c>
      <c r="E310" t="s">
        <v>45</v>
      </c>
      <c r="F3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0">
        <f>ScenarioStat0[[#This Row],[team-1-win]]+ScenarioStat0[[#This Row],[team-2-win]]</f>
        <v>0</v>
      </c>
    </row>
    <row r="311" spans="1:7" x14ac:dyDescent="0.25">
      <c r="A311" t="s">
        <v>48</v>
      </c>
      <c r="B311" t="s">
        <v>63</v>
      </c>
      <c r="C3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1" t="s">
        <v>43</v>
      </c>
      <c r="E311" t="s">
        <v>38</v>
      </c>
      <c r="F3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1">
        <f>ScenarioStat0[[#This Row],[team-1-win]]+ScenarioStat0[[#This Row],[team-2-win]]</f>
        <v>0</v>
      </c>
    </row>
    <row r="312" spans="1:7" x14ac:dyDescent="0.25">
      <c r="A312" t="s">
        <v>48</v>
      </c>
      <c r="B312" t="s">
        <v>63</v>
      </c>
      <c r="C3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2" t="s">
        <v>43</v>
      </c>
      <c r="E312" t="s">
        <v>232</v>
      </c>
      <c r="F3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2">
        <f>ScenarioStat0[[#This Row],[team-1-win]]+ScenarioStat0[[#This Row],[team-2-win]]</f>
        <v>0</v>
      </c>
    </row>
    <row r="313" spans="1:7" x14ac:dyDescent="0.25">
      <c r="A313" t="s">
        <v>48</v>
      </c>
      <c r="B313" t="s">
        <v>63</v>
      </c>
      <c r="C3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3" t="s">
        <v>45</v>
      </c>
      <c r="E313" t="s">
        <v>38</v>
      </c>
      <c r="F3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3">
        <f>ScenarioStat0[[#This Row],[team-1-win]]+ScenarioStat0[[#This Row],[team-2-win]]</f>
        <v>0</v>
      </c>
    </row>
    <row r="314" spans="1:7" x14ac:dyDescent="0.25">
      <c r="A314" t="s">
        <v>48</v>
      </c>
      <c r="B314" t="s">
        <v>63</v>
      </c>
      <c r="C3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4" t="s">
        <v>45</v>
      </c>
      <c r="E314" t="s">
        <v>232</v>
      </c>
      <c r="F3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4">
        <f>ScenarioStat0[[#This Row],[team-1-win]]+ScenarioStat0[[#This Row],[team-2-win]]</f>
        <v>0</v>
      </c>
    </row>
    <row r="315" spans="1:7" x14ac:dyDescent="0.25">
      <c r="A315" t="s">
        <v>48</v>
      </c>
      <c r="B315" t="s">
        <v>63</v>
      </c>
      <c r="C3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5" t="s">
        <v>38</v>
      </c>
      <c r="E315" t="s">
        <v>232</v>
      </c>
      <c r="F3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5">
        <f>ScenarioStat0[[#This Row],[team-1-win]]+ScenarioStat0[[#This Row],[team-2-win]]</f>
        <v>0</v>
      </c>
    </row>
    <row r="316" spans="1:7" x14ac:dyDescent="0.25">
      <c r="A316" t="s">
        <v>48</v>
      </c>
      <c r="B316" t="s">
        <v>38</v>
      </c>
      <c r="C3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6" t="s">
        <v>33</v>
      </c>
      <c r="E316" t="s">
        <v>43</v>
      </c>
      <c r="F3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6">
        <f>ScenarioStat0[[#This Row],[team-1-win]]+ScenarioStat0[[#This Row],[team-2-win]]</f>
        <v>0</v>
      </c>
    </row>
    <row r="317" spans="1:7" x14ac:dyDescent="0.25">
      <c r="A317" t="s">
        <v>48</v>
      </c>
      <c r="B317" t="s">
        <v>38</v>
      </c>
      <c r="C3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7" t="s">
        <v>33</v>
      </c>
      <c r="E317" t="s">
        <v>45</v>
      </c>
      <c r="F3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7">
        <f>ScenarioStat0[[#This Row],[team-1-win]]+ScenarioStat0[[#This Row],[team-2-win]]</f>
        <v>0</v>
      </c>
    </row>
    <row r="318" spans="1:7" x14ac:dyDescent="0.25">
      <c r="A318" t="s">
        <v>48</v>
      </c>
      <c r="B318" t="s">
        <v>38</v>
      </c>
      <c r="C3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8" t="s">
        <v>33</v>
      </c>
      <c r="E318" t="s">
        <v>63</v>
      </c>
      <c r="F3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8">
        <f>ScenarioStat0[[#This Row],[team-1-win]]+ScenarioStat0[[#This Row],[team-2-win]]</f>
        <v>0</v>
      </c>
    </row>
    <row r="319" spans="1:7" x14ac:dyDescent="0.25">
      <c r="A319" t="s">
        <v>48</v>
      </c>
      <c r="B319" t="s">
        <v>38</v>
      </c>
      <c r="C3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9" t="s">
        <v>33</v>
      </c>
      <c r="E319" t="s">
        <v>232</v>
      </c>
      <c r="F3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9">
        <f>ScenarioStat0[[#This Row],[team-1-win]]+ScenarioStat0[[#This Row],[team-2-win]]</f>
        <v>0</v>
      </c>
    </row>
    <row r="320" spans="1:7" x14ac:dyDescent="0.25">
      <c r="A320" t="s">
        <v>48</v>
      </c>
      <c r="B320" t="s">
        <v>38</v>
      </c>
      <c r="C3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0" t="s">
        <v>43</v>
      </c>
      <c r="E320" t="s">
        <v>45</v>
      </c>
      <c r="F3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0">
        <f>ScenarioStat0[[#This Row],[team-1-win]]+ScenarioStat0[[#This Row],[team-2-win]]</f>
        <v>0</v>
      </c>
    </row>
    <row r="321" spans="1:7" x14ac:dyDescent="0.25">
      <c r="A321" t="s">
        <v>48</v>
      </c>
      <c r="B321" t="s">
        <v>38</v>
      </c>
      <c r="C3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1" t="s">
        <v>43</v>
      </c>
      <c r="E321" t="s">
        <v>63</v>
      </c>
      <c r="F3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1">
        <f>ScenarioStat0[[#This Row],[team-1-win]]+ScenarioStat0[[#This Row],[team-2-win]]</f>
        <v>0</v>
      </c>
    </row>
    <row r="322" spans="1:7" x14ac:dyDescent="0.25">
      <c r="A322" t="s">
        <v>48</v>
      </c>
      <c r="B322" t="s">
        <v>38</v>
      </c>
      <c r="C3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2" t="s">
        <v>43</v>
      </c>
      <c r="E322" t="s">
        <v>232</v>
      </c>
      <c r="F3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2">
        <f>ScenarioStat0[[#This Row],[team-1-win]]+ScenarioStat0[[#This Row],[team-2-win]]</f>
        <v>0</v>
      </c>
    </row>
    <row r="323" spans="1:7" x14ac:dyDescent="0.25">
      <c r="A323" t="s">
        <v>48</v>
      </c>
      <c r="B323" t="s">
        <v>38</v>
      </c>
      <c r="C3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3" t="s">
        <v>45</v>
      </c>
      <c r="E323" t="s">
        <v>63</v>
      </c>
      <c r="F3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3">
        <f>ScenarioStat0[[#This Row],[team-1-win]]+ScenarioStat0[[#This Row],[team-2-win]]</f>
        <v>0</v>
      </c>
    </row>
    <row r="324" spans="1:7" x14ac:dyDescent="0.25">
      <c r="A324" t="s">
        <v>48</v>
      </c>
      <c r="B324" t="s">
        <v>38</v>
      </c>
      <c r="C3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4" t="s">
        <v>45</v>
      </c>
      <c r="E324" t="s">
        <v>232</v>
      </c>
      <c r="F3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4">
        <f>ScenarioStat0[[#This Row],[team-1-win]]+ScenarioStat0[[#This Row],[team-2-win]]</f>
        <v>0</v>
      </c>
    </row>
    <row r="325" spans="1:7" x14ac:dyDescent="0.25">
      <c r="A325" t="s">
        <v>48</v>
      </c>
      <c r="B325" t="s">
        <v>38</v>
      </c>
      <c r="C3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5" t="s">
        <v>63</v>
      </c>
      <c r="E325" t="s">
        <v>232</v>
      </c>
      <c r="F3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5">
        <f>ScenarioStat0[[#This Row],[team-1-win]]+ScenarioStat0[[#This Row],[team-2-win]]</f>
        <v>0</v>
      </c>
    </row>
    <row r="326" spans="1:7" x14ac:dyDescent="0.25">
      <c r="A326" t="s">
        <v>48</v>
      </c>
      <c r="B326" t="s">
        <v>232</v>
      </c>
      <c r="C3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6" t="s">
        <v>33</v>
      </c>
      <c r="E326" t="s">
        <v>43</v>
      </c>
      <c r="F3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6">
        <f>ScenarioStat0[[#This Row],[team-1-win]]+ScenarioStat0[[#This Row],[team-2-win]]</f>
        <v>0</v>
      </c>
    </row>
    <row r="327" spans="1:7" x14ac:dyDescent="0.25">
      <c r="A327" t="s">
        <v>48</v>
      </c>
      <c r="B327" t="s">
        <v>232</v>
      </c>
      <c r="C3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7" t="s">
        <v>33</v>
      </c>
      <c r="E327" t="s">
        <v>45</v>
      </c>
      <c r="F3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7">
        <f>ScenarioStat0[[#This Row],[team-1-win]]+ScenarioStat0[[#This Row],[team-2-win]]</f>
        <v>0</v>
      </c>
    </row>
    <row r="328" spans="1:7" x14ac:dyDescent="0.25">
      <c r="A328" t="s">
        <v>48</v>
      </c>
      <c r="B328" t="s">
        <v>232</v>
      </c>
      <c r="C3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8" t="s">
        <v>33</v>
      </c>
      <c r="E328" t="s">
        <v>63</v>
      </c>
      <c r="F3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8">
        <f>ScenarioStat0[[#This Row],[team-1-win]]+ScenarioStat0[[#This Row],[team-2-win]]</f>
        <v>0</v>
      </c>
    </row>
    <row r="329" spans="1:7" x14ac:dyDescent="0.25">
      <c r="A329" t="s">
        <v>48</v>
      </c>
      <c r="B329" t="s">
        <v>232</v>
      </c>
      <c r="C3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9" t="s">
        <v>33</v>
      </c>
      <c r="E329" t="s">
        <v>38</v>
      </c>
      <c r="F3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9">
        <f>ScenarioStat0[[#This Row],[team-1-win]]+ScenarioStat0[[#This Row],[team-2-win]]</f>
        <v>0</v>
      </c>
    </row>
    <row r="330" spans="1:7" x14ac:dyDescent="0.25">
      <c r="A330" t="s">
        <v>48</v>
      </c>
      <c r="B330" t="s">
        <v>232</v>
      </c>
      <c r="C3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0" t="s">
        <v>43</v>
      </c>
      <c r="E330" t="s">
        <v>45</v>
      </c>
      <c r="F3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0">
        <f>ScenarioStat0[[#This Row],[team-1-win]]+ScenarioStat0[[#This Row],[team-2-win]]</f>
        <v>0</v>
      </c>
    </row>
    <row r="331" spans="1:7" x14ac:dyDescent="0.25">
      <c r="A331" t="s">
        <v>48</v>
      </c>
      <c r="B331" t="s">
        <v>232</v>
      </c>
      <c r="C3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1" t="s">
        <v>43</v>
      </c>
      <c r="E331" t="s">
        <v>63</v>
      </c>
      <c r="F3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1">
        <f>ScenarioStat0[[#This Row],[team-1-win]]+ScenarioStat0[[#This Row],[team-2-win]]</f>
        <v>0</v>
      </c>
    </row>
    <row r="332" spans="1:7" x14ac:dyDescent="0.25">
      <c r="A332" t="s">
        <v>48</v>
      </c>
      <c r="B332" t="s">
        <v>232</v>
      </c>
      <c r="C3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2" t="s">
        <v>43</v>
      </c>
      <c r="E332" t="s">
        <v>38</v>
      </c>
      <c r="F3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2">
        <f>ScenarioStat0[[#This Row],[team-1-win]]+ScenarioStat0[[#This Row],[team-2-win]]</f>
        <v>0</v>
      </c>
    </row>
    <row r="333" spans="1:7" x14ac:dyDescent="0.25">
      <c r="A333" t="s">
        <v>48</v>
      </c>
      <c r="B333" t="s">
        <v>232</v>
      </c>
      <c r="C3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3" t="s">
        <v>45</v>
      </c>
      <c r="E333" t="s">
        <v>63</v>
      </c>
      <c r="F3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3">
        <f>ScenarioStat0[[#This Row],[team-1-win]]+ScenarioStat0[[#This Row],[team-2-win]]</f>
        <v>0</v>
      </c>
    </row>
    <row r="334" spans="1:7" x14ac:dyDescent="0.25">
      <c r="A334" t="s">
        <v>48</v>
      </c>
      <c r="B334" t="s">
        <v>232</v>
      </c>
      <c r="C3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4" t="s">
        <v>45</v>
      </c>
      <c r="E334" t="s">
        <v>38</v>
      </c>
      <c r="F3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4">
        <f>ScenarioStat0[[#This Row],[team-1-win]]+ScenarioStat0[[#This Row],[team-2-win]]</f>
        <v>0</v>
      </c>
    </row>
    <row r="335" spans="1:7" x14ac:dyDescent="0.25">
      <c r="A335" t="s">
        <v>48</v>
      </c>
      <c r="B335" t="s">
        <v>232</v>
      </c>
      <c r="C3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5" t="s">
        <v>63</v>
      </c>
      <c r="E335" t="s">
        <v>38</v>
      </c>
      <c r="F3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5">
        <f>ScenarioStat0[[#This Row],[team-1-win]]+ScenarioStat0[[#This Row],[team-2-win]]</f>
        <v>0</v>
      </c>
    </row>
    <row r="336" spans="1:7" x14ac:dyDescent="0.25">
      <c r="A336" t="s">
        <v>33</v>
      </c>
      <c r="B336" t="s">
        <v>43</v>
      </c>
      <c r="C3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6" t="s">
        <v>45</v>
      </c>
      <c r="E336" t="s">
        <v>63</v>
      </c>
      <c r="F3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6">
        <f>ScenarioStat0[[#This Row],[team-1-win]]+ScenarioStat0[[#This Row],[team-2-win]]</f>
        <v>0</v>
      </c>
    </row>
    <row r="337" spans="1:7" x14ac:dyDescent="0.25">
      <c r="A337" t="s">
        <v>33</v>
      </c>
      <c r="B337" t="s">
        <v>43</v>
      </c>
      <c r="C3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7" t="s">
        <v>45</v>
      </c>
      <c r="E337" t="s">
        <v>38</v>
      </c>
      <c r="F3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7">
        <f>ScenarioStat0[[#This Row],[team-1-win]]+ScenarioStat0[[#This Row],[team-2-win]]</f>
        <v>0</v>
      </c>
    </row>
    <row r="338" spans="1:7" x14ac:dyDescent="0.25">
      <c r="A338" t="s">
        <v>33</v>
      </c>
      <c r="B338" t="s">
        <v>43</v>
      </c>
      <c r="C3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8" t="s">
        <v>45</v>
      </c>
      <c r="E338" t="s">
        <v>232</v>
      </c>
      <c r="F3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8">
        <f>ScenarioStat0[[#This Row],[team-1-win]]+ScenarioStat0[[#This Row],[team-2-win]]</f>
        <v>0</v>
      </c>
    </row>
    <row r="339" spans="1:7" x14ac:dyDescent="0.25">
      <c r="A339" t="s">
        <v>33</v>
      </c>
      <c r="B339" t="s">
        <v>43</v>
      </c>
      <c r="C3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9" t="s">
        <v>63</v>
      </c>
      <c r="E339" t="s">
        <v>38</v>
      </c>
      <c r="F3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9">
        <f>ScenarioStat0[[#This Row],[team-1-win]]+ScenarioStat0[[#This Row],[team-2-win]]</f>
        <v>0</v>
      </c>
    </row>
    <row r="340" spans="1:7" x14ac:dyDescent="0.25">
      <c r="A340" t="s">
        <v>33</v>
      </c>
      <c r="B340" t="s">
        <v>43</v>
      </c>
      <c r="C3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0" t="s">
        <v>63</v>
      </c>
      <c r="E340" t="s">
        <v>232</v>
      </c>
      <c r="F3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0">
        <f>ScenarioStat0[[#This Row],[team-1-win]]+ScenarioStat0[[#This Row],[team-2-win]]</f>
        <v>0</v>
      </c>
    </row>
    <row r="341" spans="1:7" x14ac:dyDescent="0.25">
      <c r="A341" t="s">
        <v>33</v>
      </c>
      <c r="B341" t="s">
        <v>43</v>
      </c>
      <c r="C3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1" t="s">
        <v>38</v>
      </c>
      <c r="E341" t="s">
        <v>232</v>
      </c>
      <c r="F3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1">
        <f>ScenarioStat0[[#This Row],[team-1-win]]+ScenarioStat0[[#This Row],[team-2-win]]</f>
        <v>0</v>
      </c>
    </row>
    <row r="342" spans="1:7" x14ac:dyDescent="0.25">
      <c r="A342" t="s">
        <v>33</v>
      </c>
      <c r="B342" t="s">
        <v>45</v>
      </c>
      <c r="C3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2" t="s">
        <v>43</v>
      </c>
      <c r="E342" t="s">
        <v>63</v>
      </c>
      <c r="F3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2">
        <f>ScenarioStat0[[#This Row],[team-1-win]]+ScenarioStat0[[#This Row],[team-2-win]]</f>
        <v>0</v>
      </c>
    </row>
    <row r="343" spans="1:7" x14ac:dyDescent="0.25">
      <c r="A343" t="s">
        <v>33</v>
      </c>
      <c r="B343" t="s">
        <v>45</v>
      </c>
      <c r="C3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3" t="s">
        <v>43</v>
      </c>
      <c r="E343" t="s">
        <v>38</v>
      </c>
      <c r="F3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3">
        <f>ScenarioStat0[[#This Row],[team-1-win]]+ScenarioStat0[[#This Row],[team-2-win]]</f>
        <v>0</v>
      </c>
    </row>
    <row r="344" spans="1:7" x14ac:dyDescent="0.25">
      <c r="A344" t="s">
        <v>33</v>
      </c>
      <c r="B344" t="s">
        <v>45</v>
      </c>
      <c r="C3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4" t="s">
        <v>43</v>
      </c>
      <c r="E344" t="s">
        <v>232</v>
      </c>
      <c r="F3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4">
        <f>ScenarioStat0[[#This Row],[team-1-win]]+ScenarioStat0[[#This Row],[team-2-win]]</f>
        <v>0</v>
      </c>
    </row>
    <row r="345" spans="1:7" x14ac:dyDescent="0.25">
      <c r="A345" t="s">
        <v>33</v>
      </c>
      <c r="B345" t="s">
        <v>45</v>
      </c>
      <c r="C3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5" t="s">
        <v>63</v>
      </c>
      <c r="E345" t="s">
        <v>38</v>
      </c>
      <c r="F3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5">
        <f>ScenarioStat0[[#This Row],[team-1-win]]+ScenarioStat0[[#This Row],[team-2-win]]</f>
        <v>0</v>
      </c>
    </row>
    <row r="346" spans="1:7" x14ac:dyDescent="0.25">
      <c r="A346" t="s">
        <v>33</v>
      </c>
      <c r="B346" t="s">
        <v>45</v>
      </c>
      <c r="C3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6" t="s">
        <v>63</v>
      </c>
      <c r="E346" t="s">
        <v>232</v>
      </c>
      <c r="F3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6">
        <f>ScenarioStat0[[#This Row],[team-1-win]]+ScenarioStat0[[#This Row],[team-2-win]]</f>
        <v>0</v>
      </c>
    </row>
    <row r="347" spans="1:7" x14ac:dyDescent="0.25">
      <c r="A347" t="s">
        <v>33</v>
      </c>
      <c r="B347" t="s">
        <v>45</v>
      </c>
      <c r="C3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7" t="s">
        <v>38</v>
      </c>
      <c r="E347" t="s">
        <v>232</v>
      </c>
      <c r="F3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7">
        <f>ScenarioStat0[[#This Row],[team-1-win]]+ScenarioStat0[[#This Row],[team-2-win]]</f>
        <v>0</v>
      </c>
    </row>
    <row r="348" spans="1:7" x14ac:dyDescent="0.25">
      <c r="A348" t="s">
        <v>33</v>
      </c>
      <c r="B348" t="s">
        <v>63</v>
      </c>
      <c r="C3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8" t="s">
        <v>43</v>
      </c>
      <c r="E348" t="s">
        <v>45</v>
      </c>
      <c r="F3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8">
        <f>ScenarioStat0[[#This Row],[team-1-win]]+ScenarioStat0[[#This Row],[team-2-win]]</f>
        <v>0</v>
      </c>
    </row>
    <row r="349" spans="1:7" x14ac:dyDescent="0.25">
      <c r="A349" t="s">
        <v>33</v>
      </c>
      <c r="B349" t="s">
        <v>63</v>
      </c>
      <c r="C3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9" t="s">
        <v>43</v>
      </c>
      <c r="E349" t="s">
        <v>38</v>
      </c>
      <c r="F3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9">
        <f>ScenarioStat0[[#This Row],[team-1-win]]+ScenarioStat0[[#This Row],[team-2-win]]</f>
        <v>0</v>
      </c>
    </row>
    <row r="350" spans="1:7" x14ac:dyDescent="0.25">
      <c r="A350" t="s">
        <v>33</v>
      </c>
      <c r="B350" t="s">
        <v>63</v>
      </c>
      <c r="C3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0" t="s">
        <v>43</v>
      </c>
      <c r="E350" t="s">
        <v>232</v>
      </c>
      <c r="F3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0">
        <f>ScenarioStat0[[#This Row],[team-1-win]]+ScenarioStat0[[#This Row],[team-2-win]]</f>
        <v>0</v>
      </c>
    </row>
    <row r="351" spans="1:7" x14ac:dyDescent="0.25">
      <c r="A351" t="s">
        <v>33</v>
      </c>
      <c r="B351" t="s">
        <v>63</v>
      </c>
      <c r="C3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1" t="s">
        <v>45</v>
      </c>
      <c r="E351" t="s">
        <v>38</v>
      </c>
      <c r="F3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1">
        <f>ScenarioStat0[[#This Row],[team-1-win]]+ScenarioStat0[[#This Row],[team-2-win]]</f>
        <v>0</v>
      </c>
    </row>
    <row r="352" spans="1:7" x14ac:dyDescent="0.25">
      <c r="A352" t="s">
        <v>33</v>
      </c>
      <c r="B352" t="s">
        <v>63</v>
      </c>
      <c r="C3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2" t="s">
        <v>45</v>
      </c>
      <c r="E352" t="s">
        <v>232</v>
      </c>
      <c r="F3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2">
        <f>ScenarioStat0[[#This Row],[team-1-win]]+ScenarioStat0[[#This Row],[team-2-win]]</f>
        <v>0</v>
      </c>
    </row>
    <row r="353" spans="1:7" x14ac:dyDescent="0.25">
      <c r="A353" t="s">
        <v>33</v>
      </c>
      <c r="B353" t="s">
        <v>63</v>
      </c>
      <c r="C3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3" t="s">
        <v>38</v>
      </c>
      <c r="E353" t="s">
        <v>232</v>
      </c>
      <c r="F3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3">
        <f>ScenarioStat0[[#This Row],[team-1-win]]+ScenarioStat0[[#This Row],[team-2-win]]</f>
        <v>0</v>
      </c>
    </row>
    <row r="354" spans="1:7" x14ac:dyDescent="0.25">
      <c r="A354" t="s">
        <v>33</v>
      </c>
      <c r="B354" t="s">
        <v>38</v>
      </c>
      <c r="C3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4" t="s">
        <v>43</v>
      </c>
      <c r="E354" t="s">
        <v>45</v>
      </c>
      <c r="F3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4">
        <f>ScenarioStat0[[#This Row],[team-1-win]]+ScenarioStat0[[#This Row],[team-2-win]]</f>
        <v>0</v>
      </c>
    </row>
    <row r="355" spans="1:7" x14ac:dyDescent="0.25">
      <c r="A355" t="s">
        <v>33</v>
      </c>
      <c r="B355" t="s">
        <v>38</v>
      </c>
      <c r="C3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5" t="s">
        <v>43</v>
      </c>
      <c r="E355" t="s">
        <v>63</v>
      </c>
      <c r="F3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5">
        <f>ScenarioStat0[[#This Row],[team-1-win]]+ScenarioStat0[[#This Row],[team-2-win]]</f>
        <v>0</v>
      </c>
    </row>
    <row r="356" spans="1:7" x14ac:dyDescent="0.25">
      <c r="A356" t="s">
        <v>33</v>
      </c>
      <c r="B356" t="s">
        <v>38</v>
      </c>
      <c r="C3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6" t="s">
        <v>43</v>
      </c>
      <c r="E356" t="s">
        <v>232</v>
      </c>
      <c r="F3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6">
        <f>ScenarioStat0[[#This Row],[team-1-win]]+ScenarioStat0[[#This Row],[team-2-win]]</f>
        <v>0</v>
      </c>
    </row>
    <row r="357" spans="1:7" x14ac:dyDescent="0.25">
      <c r="A357" t="s">
        <v>33</v>
      </c>
      <c r="B357" t="s">
        <v>38</v>
      </c>
      <c r="C3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7" t="s">
        <v>45</v>
      </c>
      <c r="E357" t="s">
        <v>63</v>
      </c>
      <c r="F3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7">
        <f>ScenarioStat0[[#This Row],[team-1-win]]+ScenarioStat0[[#This Row],[team-2-win]]</f>
        <v>0</v>
      </c>
    </row>
    <row r="358" spans="1:7" x14ac:dyDescent="0.25">
      <c r="A358" t="s">
        <v>33</v>
      </c>
      <c r="B358" t="s">
        <v>38</v>
      </c>
      <c r="C3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8" t="s">
        <v>45</v>
      </c>
      <c r="E358" t="s">
        <v>232</v>
      </c>
      <c r="F3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8">
        <f>ScenarioStat0[[#This Row],[team-1-win]]+ScenarioStat0[[#This Row],[team-2-win]]</f>
        <v>0</v>
      </c>
    </row>
    <row r="359" spans="1:7" x14ac:dyDescent="0.25">
      <c r="A359" t="s">
        <v>33</v>
      </c>
      <c r="B359" t="s">
        <v>38</v>
      </c>
      <c r="C3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9" t="s">
        <v>63</v>
      </c>
      <c r="E359" t="s">
        <v>232</v>
      </c>
      <c r="F3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9">
        <f>ScenarioStat0[[#This Row],[team-1-win]]+ScenarioStat0[[#This Row],[team-2-win]]</f>
        <v>0</v>
      </c>
    </row>
    <row r="360" spans="1:7" x14ac:dyDescent="0.25">
      <c r="A360" t="s">
        <v>33</v>
      </c>
      <c r="B360" t="s">
        <v>232</v>
      </c>
      <c r="C3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0" t="s">
        <v>43</v>
      </c>
      <c r="E360" t="s">
        <v>45</v>
      </c>
      <c r="F3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0">
        <f>ScenarioStat0[[#This Row],[team-1-win]]+ScenarioStat0[[#This Row],[team-2-win]]</f>
        <v>0</v>
      </c>
    </row>
    <row r="361" spans="1:7" x14ac:dyDescent="0.25">
      <c r="A361" t="s">
        <v>33</v>
      </c>
      <c r="B361" t="s">
        <v>232</v>
      </c>
      <c r="C3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1" t="s">
        <v>43</v>
      </c>
      <c r="E361" t="s">
        <v>63</v>
      </c>
      <c r="F3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1">
        <f>ScenarioStat0[[#This Row],[team-1-win]]+ScenarioStat0[[#This Row],[team-2-win]]</f>
        <v>0</v>
      </c>
    </row>
    <row r="362" spans="1:7" x14ac:dyDescent="0.25">
      <c r="A362" t="s">
        <v>33</v>
      </c>
      <c r="B362" t="s">
        <v>232</v>
      </c>
      <c r="C3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2" t="s">
        <v>43</v>
      </c>
      <c r="E362" t="s">
        <v>38</v>
      </c>
      <c r="F3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2">
        <f>ScenarioStat0[[#This Row],[team-1-win]]+ScenarioStat0[[#This Row],[team-2-win]]</f>
        <v>0</v>
      </c>
    </row>
    <row r="363" spans="1:7" x14ac:dyDescent="0.25">
      <c r="A363" t="s">
        <v>33</v>
      </c>
      <c r="B363" t="s">
        <v>232</v>
      </c>
      <c r="C3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3" t="s">
        <v>45</v>
      </c>
      <c r="E363" t="s">
        <v>63</v>
      </c>
      <c r="F3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3">
        <f>ScenarioStat0[[#This Row],[team-1-win]]+ScenarioStat0[[#This Row],[team-2-win]]</f>
        <v>0</v>
      </c>
    </row>
    <row r="364" spans="1:7" x14ac:dyDescent="0.25">
      <c r="A364" t="s">
        <v>33</v>
      </c>
      <c r="B364" t="s">
        <v>232</v>
      </c>
      <c r="C3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4" t="s">
        <v>45</v>
      </c>
      <c r="E364" t="s">
        <v>38</v>
      </c>
      <c r="F3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4">
        <f>ScenarioStat0[[#This Row],[team-1-win]]+ScenarioStat0[[#This Row],[team-2-win]]</f>
        <v>0</v>
      </c>
    </row>
    <row r="365" spans="1:7" x14ac:dyDescent="0.25">
      <c r="A365" t="s">
        <v>33</v>
      </c>
      <c r="B365" t="s">
        <v>232</v>
      </c>
      <c r="C3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5" t="s">
        <v>63</v>
      </c>
      <c r="E365" t="s">
        <v>38</v>
      </c>
      <c r="F3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5">
        <f>ScenarioStat0[[#This Row],[team-1-win]]+ScenarioStat0[[#This Row],[team-2-win]]</f>
        <v>0</v>
      </c>
    </row>
    <row r="366" spans="1:7" x14ac:dyDescent="0.25">
      <c r="A366" t="s">
        <v>43</v>
      </c>
      <c r="B366" t="s">
        <v>45</v>
      </c>
      <c r="C3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6" t="s">
        <v>63</v>
      </c>
      <c r="E366" t="s">
        <v>38</v>
      </c>
      <c r="F3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6">
        <f>ScenarioStat0[[#This Row],[team-1-win]]+ScenarioStat0[[#This Row],[team-2-win]]</f>
        <v>0</v>
      </c>
    </row>
    <row r="367" spans="1:7" x14ac:dyDescent="0.25">
      <c r="A367" t="s">
        <v>43</v>
      </c>
      <c r="B367" t="s">
        <v>45</v>
      </c>
      <c r="C3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7" t="s">
        <v>63</v>
      </c>
      <c r="E367" t="s">
        <v>232</v>
      </c>
      <c r="F3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7">
        <f>ScenarioStat0[[#This Row],[team-1-win]]+ScenarioStat0[[#This Row],[team-2-win]]</f>
        <v>0</v>
      </c>
    </row>
    <row r="368" spans="1:7" x14ac:dyDescent="0.25">
      <c r="A368" t="s">
        <v>43</v>
      </c>
      <c r="B368" t="s">
        <v>45</v>
      </c>
      <c r="C3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8" t="s">
        <v>38</v>
      </c>
      <c r="E368" t="s">
        <v>232</v>
      </c>
      <c r="F3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8">
        <f>ScenarioStat0[[#This Row],[team-1-win]]+ScenarioStat0[[#This Row],[team-2-win]]</f>
        <v>0</v>
      </c>
    </row>
    <row r="369" spans="1:7" x14ac:dyDescent="0.25">
      <c r="A369" t="s">
        <v>43</v>
      </c>
      <c r="B369" t="s">
        <v>63</v>
      </c>
      <c r="C3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9" t="s">
        <v>45</v>
      </c>
      <c r="E369" t="s">
        <v>38</v>
      </c>
      <c r="F3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9">
        <f>ScenarioStat0[[#This Row],[team-1-win]]+ScenarioStat0[[#This Row],[team-2-win]]</f>
        <v>0</v>
      </c>
    </row>
    <row r="370" spans="1:7" x14ac:dyDescent="0.25">
      <c r="A370" t="s">
        <v>43</v>
      </c>
      <c r="B370" t="s">
        <v>63</v>
      </c>
      <c r="C3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0" t="s">
        <v>45</v>
      </c>
      <c r="E370" t="s">
        <v>232</v>
      </c>
      <c r="F3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0">
        <f>ScenarioStat0[[#This Row],[team-1-win]]+ScenarioStat0[[#This Row],[team-2-win]]</f>
        <v>0</v>
      </c>
    </row>
    <row r="371" spans="1:7" x14ac:dyDescent="0.25">
      <c r="A371" t="s">
        <v>43</v>
      </c>
      <c r="B371" t="s">
        <v>63</v>
      </c>
      <c r="C3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1" t="s">
        <v>38</v>
      </c>
      <c r="E371" t="s">
        <v>232</v>
      </c>
      <c r="F3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1">
        <f>ScenarioStat0[[#This Row],[team-1-win]]+ScenarioStat0[[#This Row],[team-2-win]]</f>
        <v>0</v>
      </c>
    </row>
    <row r="372" spans="1:7" x14ac:dyDescent="0.25">
      <c r="A372" t="s">
        <v>43</v>
      </c>
      <c r="B372" t="s">
        <v>38</v>
      </c>
      <c r="C3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2" t="s">
        <v>45</v>
      </c>
      <c r="E372" t="s">
        <v>63</v>
      </c>
      <c r="F3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2">
        <f>ScenarioStat0[[#This Row],[team-1-win]]+ScenarioStat0[[#This Row],[team-2-win]]</f>
        <v>0</v>
      </c>
    </row>
    <row r="373" spans="1:7" x14ac:dyDescent="0.25">
      <c r="A373" t="s">
        <v>43</v>
      </c>
      <c r="B373" t="s">
        <v>38</v>
      </c>
      <c r="C3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3" t="s">
        <v>45</v>
      </c>
      <c r="E373" t="s">
        <v>232</v>
      </c>
      <c r="F3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3">
        <f>ScenarioStat0[[#This Row],[team-1-win]]+ScenarioStat0[[#This Row],[team-2-win]]</f>
        <v>0</v>
      </c>
    </row>
    <row r="374" spans="1:7" x14ac:dyDescent="0.25">
      <c r="A374" t="s">
        <v>43</v>
      </c>
      <c r="B374" t="s">
        <v>38</v>
      </c>
      <c r="C3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4" t="s">
        <v>63</v>
      </c>
      <c r="E374" t="s">
        <v>232</v>
      </c>
      <c r="F3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4">
        <f>ScenarioStat0[[#This Row],[team-1-win]]+ScenarioStat0[[#This Row],[team-2-win]]</f>
        <v>0</v>
      </c>
    </row>
    <row r="375" spans="1:7" x14ac:dyDescent="0.25">
      <c r="A375" t="s">
        <v>43</v>
      </c>
      <c r="B375" t="s">
        <v>232</v>
      </c>
      <c r="C3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5" t="s">
        <v>45</v>
      </c>
      <c r="E375" t="s">
        <v>63</v>
      </c>
      <c r="F3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5">
        <f>ScenarioStat0[[#This Row],[team-1-win]]+ScenarioStat0[[#This Row],[team-2-win]]</f>
        <v>0</v>
      </c>
    </row>
    <row r="376" spans="1:7" x14ac:dyDescent="0.25">
      <c r="A376" t="s">
        <v>43</v>
      </c>
      <c r="B376" t="s">
        <v>232</v>
      </c>
      <c r="C3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6" t="s">
        <v>45</v>
      </c>
      <c r="E376" t="s">
        <v>38</v>
      </c>
      <c r="F3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6">
        <f>ScenarioStat0[[#This Row],[team-1-win]]+ScenarioStat0[[#This Row],[team-2-win]]</f>
        <v>0</v>
      </c>
    </row>
    <row r="377" spans="1:7" x14ac:dyDescent="0.25">
      <c r="A377" t="s">
        <v>43</v>
      </c>
      <c r="B377" t="s">
        <v>232</v>
      </c>
      <c r="C3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7" t="s">
        <v>63</v>
      </c>
      <c r="E377" t="s">
        <v>38</v>
      </c>
      <c r="F3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7">
        <f>ScenarioStat0[[#This Row],[team-1-win]]+ScenarioStat0[[#This Row],[team-2-win]]</f>
        <v>0</v>
      </c>
    </row>
    <row r="378" spans="1:7" x14ac:dyDescent="0.25">
      <c r="A378" t="s">
        <v>45</v>
      </c>
      <c r="B378" t="s">
        <v>63</v>
      </c>
      <c r="C3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8" t="s">
        <v>38</v>
      </c>
      <c r="E378" t="s">
        <v>232</v>
      </c>
      <c r="F3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8">
        <f>ScenarioStat0[[#This Row],[team-1-win]]+ScenarioStat0[[#This Row],[team-2-win]]</f>
        <v>0</v>
      </c>
    </row>
    <row r="379" spans="1:7" x14ac:dyDescent="0.25">
      <c r="A379" t="s">
        <v>45</v>
      </c>
      <c r="B379" t="s">
        <v>38</v>
      </c>
      <c r="C3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9" t="s">
        <v>63</v>
      </c>
      <c r="E379" t="s">
        <v>232</v>
      </c>
      <c r="F3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9">
        <f>ScenarioStat0[[#This Row],[team-1-win]]+ScenarioStat0[[#This Row],[team-2-win]]</f>
        <v>0</v>
      </c>
    </row>
    <row r="380" spans="1:7" x14ac:dyDescent="0.25">
      <c r="A380" t="s">
        <v>45</v>
      </c>
      <c r="B380" t="s">
        <v>232</v>
      </c>
      <c r="C3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0" t="s">
        <v>63</v>
      </c>
      <c r="E380" t="s">
        <v>38</v>
      </c>
      <c r="F3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0">
        <f>ScenarioStat0[[#This Row],[team-1-win]]+ScenarioStat0[[#This Row],[team-2-win]]</f>
        <v>0</v>
      </c>
    </row>
  </sheetData>
  <mergeCells count="2">
    <mergeCell ref="A1:G1"/>
    <mergeCell ref="I1:M1"/>
  </mergeCells>
  <phoneticPr fontId="3" type="noConversion"/>
  <conditionalFormatting sqref="M3:M37">
    <cfRule type="colorScale" priority="286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3" sqref="H1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0.25</v>
      </c>
    </row>
    <row r="3" spans="1:22" x14ac:dyDescent="0.25">
      <c r="A3" t="s">
        <v>72</v>
      </c>
      <c r="B3">
        <f>L3+L24+L45+L66+L87+L108</f>
        <v>0</v>
      </c>
      <c r="C3">
        <f>M3+M24+M45+M66+M87+M108</f>
        <v>0</v>
      </c>
      <c r="D3" s="3">
        <f>IF(SUM(LightbringerAbilities1[[#This Row],[takes]]) &gt; 0,LightbringerAbilities1[[#This Row],[takes]]/SUM(LightbringerAbilities1[takes]),0)</f>
        <v>0</v>
      </c>
      <c r="E3" s="3">
        <f>IF(LightbringerAbilities1[[#This Row],[takes]]&gt;0,LightbringerAbilities1[[#This Row],[wins]]/LightbringerAbilities1[[#This Row],[takes]],0)</f>
        <v>0</v>
      </c>
      <c r="G3">
        <v>1</v>
      </c>
      <c r="H3">
        <f>R3+R24+R45+R66+R87+R108</f>
        <v>7</v>
      </c>
      <c r="I3" s="18">
        <f>S3+S24+S45+S66+S87+S108</f>
        <v>7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3">
        <f>COUNTIF(Scenario0[winner1-ability1],LightbringerAbilities1Scenario0[[#This Row],[ability]])+COUNTIF(Scenario0[winner2-ability1],LightbringerAbilities1Scenario0[[#This Row],[ability]])</f>
        <v>0</v>
      </c>
      <c r="N3" s="3">
        <f>IF(SUM(LightbringerAbilities1Scenario0[[#This Row],[takes]]) &gt; 0,LightbringerAbilities1Scenario0[[#This Row],[takes]]/SUM(LightbringerAbilities1Scenario0[takes]),0)</f>
        <v>0</v>
      </c>
      <c r="O3" s="3">
        <f>IF(LightbringerAbilities1Scenario0[[#This Row],[takes]]&gt;0,LightbringerAbilities1Scenario0[[#This Row],[wins]]/LightbringerAbilities1Scenario0[[#This Row],[takes]],0)</f>
        <v>0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3" t="s">
        <v>204</v>
      </c>
      <c r="V3" s="16">
        <f>H5/SUM(LightbringerEquip[hammer])</f>
        <v>0.3125</v>
      </c>
    </row>
    <row r="4" spans="1:22" x14ac:dyDescent="0.25">
      <c r="A4" t="s">
        <v>145</v>
      </c>
      <c r="B4">
        <f t="shared" ref="B4:B5" si="0">L4+L25+L46+L67+L88+L109</f>
        <v>6</v>
      </c>
      <c r="C4">
        <f t="shared" ref="C4:C5" si="1">M4+M25+M46+M67+M88+M109</f>
        <v>3</v>
      </c>
      <c r="D4" s="3">
        <f>IF(SUM(LightbringerAbilities1[[#This Row],[takes]]) &gt; 0,LightbringerAbilities1[[#This Row],[takes]]/SUM(LightbringerAbilities1[takes]),0)</f>
        <v>0.375</v>
      </c>
      <c r="E4" s="3">
        <f>IF(LightbringerAbilities1[[#This Row],[takes]]&gt;0,LightbringerAbilities1[[#This Row],[wins]]/LightbringerAbilities1[[#This Row],[takes]],0)</f>
        <v>0.5</v>
      </c>
      <c r="G4">
        <v>2</v>
      </c>
      <c r="H4">
        <f t="shared" ref="H4:H5" si="2">R4+R25+R46+R67+R88+R109</f>
        <v>4</v>
      </c>
      <c r="I4" s="18">
        <f t="shared" ref="I4:I5" si="3">S4+S25+S46+S67+S88+S109</f>
        <v>2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>
        <f>COUNTIF(Scenario0[winner1-ability1],LightbringerAbilities1Scenario0[[#This Row],[ability]])+COUNTIF(Scenario0[winner2-ability1],LightbringerAbilities1Scenario0[[#This Row],[ability]])</f>
        <v>0</v>
      </c>
      <c r="N4" s="3">
        <f>IF(SUM(LightbringerAbilities1Scenario0[[#This Row],[takes]]) &gt; 0,LightbringerAbilities1Scenario0[[#This Row],[takes]]/SUM(LightbringerAbilities1Scenario0[takes]),0)</f>
        <v>0</v>
      </c>
      <c r="O4" s="3">
        <f>IF(LightbringerAbilities1Scenario0[[#This Row],[takes]]&gt;0,LightbringerAbilities1Scenario0[[#This Row],[wins]]/LightbringerAbilities1Scenario0[[#This Row],[takes]],0)</f>
        <v>0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4" t="s">
        <v>179</v>
      </c>
      <c r="V4" s="3">
        <f>LightbringerEquip[[#This Row],[chestpiece]]/SUM(LightbringerEquip[chestpiece])</f>
        <v>0.125</v>
      </c>
    </row>
    <row r="5" spans="1:22" x14ac:dyDescent="0.25">
      <c r="A5" t="s">
        <v>103</v>
      </c>
      <c r="B5">
        <f t="shared" si="0"/>
        <v>10</v>
      </c>
      <c r="C5">
        <f t="shared" si="1"/>
        <v>4</v>
      </c>
      <c r="D5" s="3">
        <f>IF(SUM(LightbringerAbilities1[[#This Row],[takes]]) &gt; 0,LightbringerAbilities1[[#This Row],[takes]]/SUM(LightbringerAbilities1[takes]),0)</f>
        <v>0.625</v>
      </c>
      <c r="E5" s="3">
        <f>IF(LightbringerAbilities1[[#This Row],[takes]]&gt;0,LightbringerAbilities1[[#This Row],[wins]]/LightbringerAbilities1[[#This Row],[takes]],0)</f>
        <v>0.4</v>
      </c>
      <c r="G5">
        <v>3</v>
      </c>
      <c r="H5">
        <f t="shared" si="2"/>
        <v>5</v>
      </c>
      <c r="I5" s="18">
        <f t="shared" si="3"/>
        <v>7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5">
        <f>COUNTIF(Scenario0[winner1-ability1],LightbringerAbilities1Scenario0[[#This Row],[ability]])+COUNTIF(Scenario0[winner2-ability1],LightbringerAbilities1Scenario0[[#This Row],[ability]])</f>
        <v>0</v>
      </c>
      <c r="N5" s="3">
        <f>IF(SUM(LightbringerAbilities1Scenario0[[#This Row],[takes]]) &gt; 0,LightbringerAbilities1Scenario0[[#This Row],[takes]]/SUM(LightbringerAbilities1Scenario0[takes]),0)</f>
        <v>0</v>
      </c>
      <c r="O5" s="3">
        <f>IF(LightbringerAbilities1Scenario0[[#This Row],[takes]]&gt;0,LightbringerAbilities1Scenario0[[#This Row],[wins]]/LightbringerAbilities1Scenario0[[#This Row],[takes]],0)</f>
        <v>0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0.4375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0.9375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0.9375</v>
      </c>
    </row>
    <row r="8" spans="1:22" x14ac:dyDescent="0.25">
      <c r="A8" s="2" t="s">
        <v>95</v>
      </c>
      <c r="B8" s="2">
        <f>L8+L29+L50+L71+L92+L113</f>
        <v>0</v>
      </c>
      <c r="C8" s="2">
        <f>M8+M29+M50+M71+M92+M113</f>
        <v>0</v>
      </c>
      <c r="D8" s="12">
        <f>IF(SUM(LightbringerAbilities2[[#This Row],[takes]]) &gt; 0,LightbringerAbilities2[[#This Row],[takes]]/SUM(LightbringerAbilities2[takes]),0)</f>
        <v>0</v>
      </c>
      <c r="E8" s="12">
        <f>IF(LightbringerAbilities2[[#This Row],[takes]]&gt;0,LightbringerAbilities2[[#This Row],[wins]]/LightbringerAbilities2[[#This Row],[takes]],0)</f>
        <v>0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8" s="2">
        <f>COUNTIF(Scenario0[winner1-ability2],LightbringerAbilities2Scenario0[[#This Row],[ability]])+COUNTIF(Scenario0[winner2-ability2],LightbringerAbilities2Scenario0[[#This Row],[ability]])</f>
        <v>0</v>
      </c>
      <c r="N8" s="12">
        <f>IF(SUM(LightbringerAbilities2Scenario0[[#This Row],[takes]]) &gt; 0,LightbringerAbilities2Scenario0[[#This Row],[takes]]/SUM(LightbringerAbilities2Scenario0[takes]),0)</f>
        <v>0</v>
      </c>
      <c r="O8" s="12">
        <f>IF(LightbringerAbilities2Scenario0[[#This Row],[takes]]&gt;0,LightbringerAbilities2Scenario0[[#This Row],[wins]]/LightbringerAbilities2Scenario0[[#This Row],[takes]],0)</f>
        <v>0</v>
      </c>
      <c r="S8" s="18"/>
      <c r="U8" t="s">
        <v>178</v>
      </c>
      <c r="V8" s="16">
        <f>SUM(LightbringerAbilities4[takes])/SUM(LightbringerAbilities1[takes])</f>
        <v>0.5625</v>
      </c>
    </row>
    <row r="9" spans="1:22" x14ac:dyDescent="0.25">
      <c r="A9" t="s">
        <v>146</v>
      </c>
      <c r="B9" s="2">
        <f t="shared" ref="B9:B10" si="4">L9+L30+L51+L72+L93+L114</f>
        <v>6</v>
      </c>
      <c r="C9" s="2">
        <f t="shared" ref="C9:C10" si="5">M9+M30+M51+M72+M93+M114</f>
        <v>2</v>
      </c>
      <c r="D9" s="3">
        <f>IF(SUM(LightbringerAbilities2[[#This Row],[takes]]) &gt; 0,LightbringerAbilities2[[#This Row],[takes]]/SUM(LightbringerAbilities2[takes]),0)</f>
        <v>0.4</v>
      </c>
      <c r="E9" s="3">
        <f>IF(LightbringerAbilities2[[#This Row],[takes]]&gt;0,LightbringerAbilities2[[#This Row],[wins]]/LightbringerAbilities2[[#This Row],[takes]],0)</f>
        <v>0.33333333333333331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0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3.5625</v>
      </c>
    </row>
    <row r="10" spans="1:22" x14ac:dyDescent="0.25">
      <c r="A10" s="10" t="s">
        <v>91</v>
      </c>
      <c r="B10" s="2">
        <f t="shared" si="4"/>
        <v>9</v>
      </c>
      <c r="C10" s="2">
        <f t="shared" si="5"/>
        <v>4</v>
      </c>
      <c r="D10" s="13">
        <f>IF(SUM(LightbringerAbilities2[[#This Row],[takes]]) &gt; 0,LightbringerAbilities2[[#This Row],[takes]]/SUM(LightbringerAbilities2[takes]),0)</f>
        <v>0.6</v>
      </c>
      <c r="E10" s="13">
        <f>IF(LightbringerAbilities2[[#This Row],[takes]]&gt;0,LightbringerAbilities2[[#This Row],[wins]]/LightbringerAbilities2[[#This Row],[takes]],0)</f>
        <v>0.44444444444444442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10" s="2">
        <f>COUNTIF(Scenario0[winner1-ability2],LightbringerAbilities2Scenario0[[#This Row],[ability]])+COUNTIF(Scenario0[winner2-ability2],LightbringerAbilities2Scenario0[[#This Row],[ability]])</f>
        <v>0</v>
      </c>
      <c r="N10" s="13">
        <f>IF(SUM(LightbringerAbilities2Scenario0[[#This Row],[takes]]) &gt; 0,LightbringerAbilities2Scenario0[[#This Row],[takes]]/SUM(LightbringerAbilities2Scenario0[takes]),0)</f>
        <v>0</v>
      </c>
      <c r="O10" s="13">
        <f>IF(LightbringerAbilities2Scenario0[[#This Row],[takes]]&gt;0,LightbringerAbilities2Scenario0[[#This Row],[wins]]/LightbringerAbilities2Scenario0[[#This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5</v>
      </c>
      <c r="C13" s="1">
        <f>M13+M34+M55+M76+M97+M118</f>
        <v>2</v>
      </c>
      <c r="D13" s="14">
        <f>IF(SUM(LightbringerAbilities3[[#This Row],[takes]]) &gt; 0,LightbringerAbilities3[[#This Row],[takes]]/SUM(LightbringerAbilities3[takes]),0)</f>
        <v>0.33333333333333331</v>
      </c>
      <c r="E13" s="14">
        <f>IF(LightbringerAbilities3[[#This Row],[takes]]&gt;0,LightbringerAbilities3[[#This Row],[wins]]/LightbringerAbilities3[[#This Row],[takes]],0)</f>
        <v>0.4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3</v>
      </c>
      <c r="C14" s="2">
        <f t="shared" ref="C14:C15" si="7">M14+M35+M56+M77+M98+M119</f>
        <v>2</v>
      </c>
      <c r="D14" s="12">
        <f>IF(SUM(LightbringerAbilities3[[#This Row],[takes]]) &gt; 0,LightbringerAbilities3[[#This Row],[takes]]/SUM(LightbringerAbilities3[takes]),0)</f>
        <v>0.2</v>
      </c>
      <c r="E14" s="12">
        <f>IF(LightbringerAbilities3[[#This Row],[takes]]&gt;0,LightbringerAbilities3[[#This Row],[wins]]/LightbringerAbilities3[[#This Row],[takes]],0)</f>
        <v>0.66666666666666663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4" s="2">
        <f>COUNTIF(Scenario0[winner1-ability3],LightbringerAbilities3Scenario0[[#This Row],[ability]])+COUNTIF(Scenario0[winner2-ability3],LightbringerAbilities3Scenario0[[#This Row],[ability]])</f>
        <v>0</v>
      </c>
      <c r="N14" s="12">
        <f>IF(SUM(LightbringerAbilities3Scenario0[[#This Row],[takes]]) &gt; 0,LightbringerAbilities3Scenario0[[#This Row],[takes]]/SUM(LightbringerAbilities3Scenario0[takes]),0)</f>
        <v>0</v>
      </c>
      <c r="O14" s="12">
        <f>IF(LightbringerAbilities3Scenario0[[#This Row],[takes]]&gt;0,LightbringerAbilities3Scenario0[[#This Row],[wins]]/LightbringerAbilities3Scenario0[[#This Row],[takes]],0)</f>
        <v>0</v>
      </c>
      <c r="S14" s="18"/>
    </row>
    <row r="15" spans="1:22" x14ac:dyDescent="0.25">
      <c r="A15" s="11" t="s">
        <v>148</v>
      </c>
      <c r="B15" s="1">
        <f t="shared" si="6"/>
        <v>7</v>
      </c>
      <c r="C15" s="1">
        <f t="shared" si="7"/>
        <v>2</v>
      </c>
      <c r="D15" s="15">
        <f>IF(SUM(LightbringerAbilities3[[#This Row],[takes]]) &gt; 0,LightbringerAbilities3[[#This Row],[takes]]/SUM(LightbringerAbilities3[takes]),0)</f>
        <v>0.46666666666666667</v>
      </c>
      <c r="E15" s="15">
        <f>IF(LightbringerAbilities3[[#This Row],[takes]]&gt;0,LightbringerAbilities3[[#This Row],[wins]]/LightbringerAbilities3[[#This Row],[takes]],0)</f>
        <v>0.2857142857142857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0</v>
      </c>
      <c r="C18" s="2">
        <f>M18+M39+M60+M81+M102+M123</f>
        <v>0</v>
      </c>
      <c r="D18" s="12">
        <f>IF(SUM(LightbringerAbilities4[[#This Row],[takes]]) &gt; 0,LightbringerAbilities4[[#This Row],[takes]]/SUM(LightbringerAbilities4[takes]),0)</f>
        <v>0</v>
      </c>
      <c r="E18" s="12">
        <f>IF(LightbringerAbilities4[[#This Row],[takes]]&gt;0,LightbringerAbilities4[[#This Row],[wins]]/LightbringerAbilities4[[#This Row],[takes]],0)</f>
        <v>0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2</v>
      </c>
      <c r="C19" s="2">
        <f t="shared" ref="C19:C20" si="9">M19+M40+M61+M82+M103+M124</f>
        <v>0</v>
      </c>
      <c r="D19" s="12">
        <f>IF(SUM(LightbringerAbilities4[[#This Row],[takes]]) &gt; 0,LightbringerAbilities4[[#This Row],[takes]]/SUM(LightbringerAbilities4[takes]),0)</f>
        <v>0.22222222222222221</v>
      </c>
      <c r="E19" s="12">
        <f>IF(LightbringerAbilities4[[#This Row],[takes]]&gt;0,LightbringerAbilities4[[#This Row],[wins]]/LightbringerAbilities4[[#This Row],[takes]],0)</f>
        <v>0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7</v>
      </c>
      <c r="C20" s="2">
        <f t="shared" si="9"/>
        <v>3</v>
      </c>
      <c r="D20" s="26">
        <f>IF(SUM(LightbringerAbilities4[[#This Row],[takes]]) &gt; 0,LightbringerAbilities4[[#This Row],[takes]]/SUM(LightbringerAbilities4[takes]),0)</f>
        <v>0.77777777777777779</v>
      </c>
      <c r="E20" s="26">
        <f>IF(LightbringerAbilities4[[#This Row],[takes]]&gt;0,LightbringerAbilities4[[#This Row],[wins]]/LightbringerAbilities4[[#This Row],[takes]],0)</f>
        <v>0.42857142857142855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4">
        <f>COUNTIF(Scenario1[winner1-ability1],LightbringerAbilities1Scenario1[[#This Row],[ability]])+COUNTIF(Scenario1[winner2-ability1],LightbringerAbilities1Scenario1[[#This Row],[ability]])</f>
        <v>0</v>
      </c>
      <c r="N24" s="3">
        <f>IF(SUM(LightbringerAbilities1Scenario1[[#This Row],[takes]]) &gt; 0,LightbringerAbilities1Scenario1[[#This Row],[takes]]/SUM(LightbringerAbilities1Scenario1[takes]),0)</f>
        <v>0</v>
      </c>
      <c r="O24" s="3">
        <f>IF(LightbringerAbilities1Scenario1[[#This Row],[takes]]&gt;0,LightbringerAbilities1Scenario1[[#This Row],[wins]]/LightbringerAbilities1Scenario1[[#This Row],[takes]],0)</f>
        <v>0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>
        <f>COUNTIF(Scenario1[winner1-ability1],LightbringerAbilities1Scenario1[[#This Row],[ability]])+COUNTIF(Scenario1[winner2-ability1],LightbringerAbilities1Scenario1[[#This Row],[ability]])</f>
        <v>0</v>
      </c>
      <c r="N25" s="3">
        <f>IF(SUM(LightbringerAbilities1Scenario1[[#This Row],[takes]]) &gt; 0,LightbringerAbilities1Scenario1[[#This Row],[takes]]/SUM(LightbringerAbilities1Scenario1[takes]),0)</f>
        <v>0</v>
      </c>
      <c r="O25" s="3">
        <f>IF(LightbringerAbilities1Scenario1[[#This Row],[takes]]&gt;0,LightbringerAbilities1Scenario1[[#This Row],[wins]]/LightbringerAbilities1Scenario1[[#This Row],[takes]],0)</f>
        <v>0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6">
        <f>COUNTIF(Scenario1[winner1-ability1],LightbringerAbilities1Scenario1[[#This Row],[ability]])+COUNTIF(Scenario1[winner2-ability1],LightbringerAbilities1Scenario1[[#This Row],[ability]])</f>
        <v>0</v>
      </c>
      <c r="N26" s="3">
        <f>IF(SUM(LightbringerAbilities1Scenario1[[#This Row],[takes]]) &gt; 0,LightbringerAbilities1Scenario1[[#This Row],[takes]]/SUM(LightbringerAbilities1Scenario1[takes]),0)</f>
        <v>0</v>
      </c>
      <c r="O26" s="3">
        <f>IF(LightbringerAbilities1Scenario1[[#This Row],[takes]]&gt;0,LightbringerAbilities1Scenario1[[#This Row],[wins]]/LightbringerAbilities1Scenario1[[#This Row],[takes]],0)</f>
        <v>0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29" s="2">
        <f>COUNTIF(Scenario1[winner1-ability2],LightbringerAbilities2Scenario1[[#This Row],[ability]])+COUNTIF(Scenario1[winner2-ability2],LightbringerAbilities2Scenario1[[#This Row],[ability]])</f>
        <v>0</v>
      </c>
      <c r="N29" s="12">
        <f>IF(SUM(LightbringerAbilities2Scenario1[[#This Row],[takes]]) &gt; 0,LightbringerAbilities2Scenario1[[#This Row],[takes]]/SUM(LightbringerAbilities2Scenario1[takes]),0)</f>
        <v>0</v>
      </c>
      <c r="O29" s="12">
        <f>IF(LightbringerAbilities2Scenario1[[#This Row],[takes]]&gt;0,LightbringerAbilities2Scenario1[[#This Row],[wins]]/LightbringerAbilities2Scenario1[[#This Row],[takes]],0)</f>
        <v>0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0" s="2">
        <f>COUNTIF(Scenario1[winner1-ability2],LightbringerAbilities2Scenario1[[#This Row],[ability]])+COUNTIF(Scenario1[winner2-ability2],LightbringerAbilities2Scenario1[[#This Row],[ability]])</f>
        <v>0</v>
      </c>
      <c r="N30" s="3">
        <f>IF(SUM(LightbringerAbilities2Scenario1[[#This Row],[takes]]) &gt; 0,LightbringerAbilities2Scenario1[[#This Row],[takes]]/SUM(LightbringerAbilities2Scenario1[takes]),0)</f>
        <v>0</v>
      </c>
      <c r="O30" s="3">
        <f>IF(LightbringerAbilities2Scenario1[[#This Row],[takes]]&gt;0,LightbringerAbilities2Scenario1[[#This Row],[wins]]/LightbringerAbilities2Scenario1[[#This Row],[takes]],0)</f>
        <v>0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3">
        <f>IF(SUM(LightbringerAbilities2Scenario1[[#This Row],[takes]]) &gt; 0,LightbringerAbilities2Scenario1[[#This Row],[takes]]/SUM(LightbringerAbilities2Scenario1[takes]),0)</f>
        <v>0</v>
      </c>
      <c r="O31" s="13">
        <f>IF(LightbringerAbilities2Scenario1[[#This Row],[takes]]&gt;0,LightbringerAbilities2Scenario1[[#This Row],[wins]]/LightbringerAbilities2Scenario1[[#This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4" s="1">
        <f>COUNTIF(Scenario1[winner1-ability3],LightbringerAbilities3Scenario1[[#This Row],[ability]])+COUNTIF(Scenario1[winner2-ability3],LightbringerAbilities3Scenario1[[#This Row],[ability]])</f>
        <v>0</v>
      </c>
      <c r="N34" s="14">
        <f>IF(SUM(LightbringerAbilities3Scenario1[[#This Row],[takes]]) &gt; 0,LightbringerAbilities3Scenario1[[#This Row],[takes]]/SUM(LightbringerAbilities3Scenario1[takes]),0)</f>
        <v>0</v>
      </c>
      <c r="O34" s="14">
        <f>IF(LightbringerAbilities3Scenario1[[#This Row],[takes]]&gt;0,LightbringerAbilities3Scenario1[[#This Row],[wins]]/LightbringerAbilities3Scenario1[[#This Row],[takes]],0)</f>
        <v>0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2">
        <f>IF(SUM(LightbringerAbilities3Scenario1[[#This Row],[takes]]) &gt; 0,LightbringerAbilities3Scenario1[[#This Row],[takes]]/SUM(LightbringerAbilities3Scenario1[takes]),0)</f>
        <v>0</v>
      </c>
      <c r="O35" s="12">
        <f>IF(LightbringerAbilities3Scenario1[[#This Row],[takes]]&gt;0,LightbringerAbilities3Scenario1[[#This Row],[wins]]/LightbringerAbilities3Scenario1[[#This Row],[takes]],0)</f>
        <v>0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0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5">
        <f>COUNTIF(Scenario1[winner1-ability4],LightbringerAbilities4Scenario1[[#This Row],[ability]])+COUNTIF(Scenario1[winner2-ability4],LightbringerAbilities4Scenario1[[#This Row],[ability]])</f>
        <v>0</v>
      </c>
      <c r="N41" s="26">
        <f>IF(SUM(LightbringerAbilities4Scenario1[[#This Row],[takes]]) &gt; 0,LightbringerAbilities4Scenario1[[#This Row],[takes]]/SUM(LightbringerAbilities4Scenario1[takes]),0)</f>
        <v>0</v>
      </c>
      <c r="O41" s="26">
        <f>IF(LightbringerAbilities4Scenario1[[#This Row],[takes]]&gt;0,LightbringerAbilities4Scenario1[[#This Row],[wins]]/LightbringerAbilities4Scenario1[[#This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0</v>
      </c>
      <c r="M45">
        <f>COUNTIF(Scenario2[winner1-ability1],LightbringerAbilities1Scenario2[[#This Row],[ability]])</f>
        <v>0</v>
      </c>
      <c r="N45" s="3">
        <f>IF(SUM(LightbringerAbilities1Scenario2[[#This Row],[takes]]) &gt; 0,LightbringerAbilities1Scenario2[[#This Row],[takes]]/SUM(LightbringerAbilities1Scenario2[takes]),0)</f>
        <v>0</v>
      </c>
      <c r="O45" s="3">
        <f>IF(LightbringerAbilities1Scenario2[[#This Row],[takes]]&gt;0,LightbringerAbilities1Scenario2[[#This Row],[wins]]/LightbringerAbilities1Scenario2[[#This Row],[takes]],0)</f>
        <v>0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7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6</v>
      </c>
      <c r="M46">
        <f>COUNTIF(Scenario2[winner1-ability1],LightbringerAbilities1Scenario2[[#This Row],[ability]])</f>
        <v>3</v>
      </c>
      <c r="N46" s="3">
        <f>IF(SUM(LightbringerAbilities1Scenario2[[#This Row],[takes]]) &gt; 0,LightbringerAbilities1Scenario2[[#This Row],[takes]]/SUM(LightbringerAbilities1Scenario2[takes]),0)</f>
        <v>0.375</v>
      </c>
      <c r="O46" s="3">
        <f>IF(LightbringerAbilities1Scenario2[[#This Row],[takes]]&gt;0,LightbringerAbilities1Scenario2[[#This Row],[wins]]/LightbringerAbilities1Scenario2[[#This Row],[takes]],0)</f>
        <v>0.5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10</v>
      </c>
      <c r="M47">
        <f>COUNTIF(Scenario2[winner1-ability1],LightbringerAbilities1Scenario2[[#This Row],[ability]])</f>
        <v>4</v>
      </c>
      <c r="N47" s="3">
        <f>IF(SUM(LightbringerAbilities1Scenario2[[#This Row],[takes]]) &gt; 0,LightbringerAbilities1Scenario2[[#This Row],[takes]]/SUM(LightbringerAbilities1Scenario2[takes]),0)</f>
        <v>0.625</v>
      </c>
      <c r="O47" s="3">
        <f>IF(LightbringerAbilities1Scenario2[[#This Row],[takes]]&gt;0,LightbringerAbilities1Scenario2[[#This Row],[wins]]/LightbringerAbilities1Scenario2[[#This Row],[takes]],0)</f>
        <v>0.4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5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7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0</v>
      </c>
      <c r="M50" s="2">
        <f>COUNTIF(Scenario2[winner1-ability2],LightbringerAbilities2Scenario2[[#This Row],[ability]])</f>
        <v>0</v>
      </c>
      <c r="N50" s="12">
        <f>IF(SUM(LightbringerAbilities2Scenario2[[#This Row],[takes]]) &gt; 0,LightbringerAbilities2Scenario2[[#This Row],[takes]]/SUM(LightbringerAbilities2Scenario2[takes]),0)</f>
        <v>0</v>
      </c>
      <c r="O50" s="12">
        <f>IF(LightbringerAbilities2Scenario2[[#This Row],[takes]]&gt;0,LightbringerAbilities2Scenario2[[#This Row],[wins]]/LightbringerAbilities2Scenario2[[#This Row],[takes]],0)</f>
        <v>0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6</v>
      </c>
      <c r="M51" s="2">
        <f>COUNTIF(Scenario2[winner1-ability2],LightbringerAbilities2Scenario2[[#This Row],[ability]])</f>
        <v>2</v>
      </c>
      <c r="N51" s="3">
        <f>IF(SUM(LightbringerAbilities2Scenario2[[#This Row],[takes]]) &gt; 0,LightbringerAbilities2Scenario2[[#This Row],[takes]]/SUM(LightbringerAbilities2Scenario2[takes]),0)</f>
        <v>0.4</v>
      </c>
      <c r="O51" s="3">
        <f>IF(LightbringerAbilities2Scenario2[[#This Row],[takes]]&gt;0,LightbringerAbilities2Scenario2[[#This Row],[wins]]/LightbringerAbilities2Scenario2[[#This Row],[takes]],0)</f>
        <v>0.33333333333333331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9</v>
      </c>
      <c r="M52" s="2">
        <f>COUNTIF(Scenario2[winner1-ability2],LightbringerAbilities2Scenario2[[#This Row],[ability]])</f>
        <v>4</v>
      </c>
      <c r="N52" s="13">
        <f>IF(SUM(LightbringerAbilities2Scenario2[[#This Row],[takes]]) &gt; 0,LightbringerAbilities2Scenario2[[#This Row],[takes]]/SUM(LightbringerAbilities2Scenario2[takes]),0)</f>
        <v>0.6</v>
      </c>
      <c r="O52" s="13">
        <f>IF(LightbringerAbilities2Scenario2[[#This Row],[takes]]&gt;0,LightbringerAbilities2Scenario2[[#This Row],[wins]]/LightbringerAbilities2Scenario2[[#This Row],[takes]],0)</f>
        <v>0.44444444444444442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5</v>
      </c>
      <c r="M55" s="1">
        <f>COUNTIF(Scenario2[winner1-ability3],LightbringerAbilities3Scenario2[[#This Row],[ability]])</f>
        <v>2</v>
      </c>
      <c r="N55" s="14">
        <f>IF(SUM(LightbringerAbilities3Scenario2[[#This Row],[takes]]) &gt; 0,LightbringerAbilities3Scenario2[[#This Row],[takes]]/SUM(LightbringerAbilities3Scenario2[takes]),0)</f>
        <v>0.33333333333333331</v>
      </c>
      <c r="O55" s="14">
        <f>IF(LightbringerAbilities3Scenario2[[#This Row],[takes]]&gt;0,LightbringerAbilities3Scenario2[[#This Row],[wins]]/LightbringerAbilities3Scenario2[[#This Row],[takes]],0)</f>
        <v>0.4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3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0.2</v>
      </c>
      <c r="O56" s="12">
        <f>IF(LightbringerAbilities3Scenario2[[#This Row],[takes]]&gt;0,LightbringerAbilities3Scenario2[[#This Row],[wins]]/LightbringerAbilities3Scenario2[[#This Row],[takes]],0)</f>
        <v>0.66666666666666663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7</v>
      </c>
      <c r="M57" s="1">
        <f>COUNTIF(Scenario2[winner1-ability3],LightbringerAbilities3Scenario2[[#This Row],[ability]])</f>
        <v>2</v>
      </c>
      <c r="N57" s="15">
        <f>IF(SUM(LightbringerAbilities3Scenario2[[#This Row],[takes]]) &gt; 0,LightbringerAbilities3Scenario2[[#This Row],[takes]]/SUM(LightbringerAbilities3Scenario2[takes]),0)</f>
        <v>0.46666666666666667</v>
      </c>
      <c r="O57" s="15">
        <f>IF(LightbringerAbilities3Scenario2[[#This Row],[takes]]&gt;0,LightbringerAbilities3Scenario2[[#This Row],[wins]]/LightbringerAbilities3Scenario2[[#This Row],[takes]],0)</f>
        <v>0.2857142857142857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0</v>
      </c>
      <c r="M60" s="2">
        <f>COUNTIF(Scenario2[winner1-ability4],LightbringerAbilities4Scenario2[[#This Row],[ability]])</f>
        <v>0</v>
      </c>
      <c r="N60" s="12">
        <f>IF(SUM(LightbringerAbilities4Scenario2[[#This Row],[takes]]) &gt; 0,LightbringerAbilities4Scenario2[[#This Row],[takes]]/SUM(LightbringerAbilities4Scenario2[takes]),0)</f>
        <v>0</v>
      </c>
      <c r="O60" s="12">
        <f>IF(LightbringerAbilities4Scenario2[[#This Row],[takes]]&gt;0,LightbringerAbilities4Scenario2[[#This Row],[wins]]/LightbringerAbilities4Scenario2[[#This Row],[takes]],0)</f>
        <v>0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0.22222222222222221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7</v>
      </c>
      <c r="M62" s="25">
        <f>COUNTIF(Scenario2[winner1-ability4],LightbringerAbilities4Scenario2[[#This Row],[ability]])</f>
        <v>3</v>
      </c>
      <c r="N62" s="26">
        <f>IF(SUM(LightbringerAbilities4Scenario2[[#This Row],[takes]]) &gt; 0,LightbringerAbilities4Scenario2[[#This Row],[takes]]/SUM(LightbringerAbilities4Scenario2[takes]),0)</f>
        <v>0.77777777777777779</v>
      </c>
      <c r="O62" s="26">
        <f>IF(LightbringerAbilities4Scenario2[[#This Row],[takes]]&gt;0,LightbringerAbilities4Scenario2[[#This Row],[wins]]/LightbringerAbilities4Scenario2[[#This Row],[takes]],0)</f>
        <v>0.42857142857142855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0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7">
        <f>COUNTIF(Scenario3[winner1-ability1],LightbringerAbilities1Scenario3[[#This Row],[ability]])</f>
        <v>0</v>
      </c>
      <c r="N67" s="3">
        <f>IF(SUM(LightbringerAbilities1Scenario3[[#This Row],[takes]]) &gt; 0,LightbringerAbilities1Scenario3[[#This Row],[takes]]/SUM(LightbringerAbilities1Scenario3[takes]),0)</f>
        <v>0</v>
      </c>
      <c r="O67" s="3">
        <f>IF(LightbringerAbilities1Scenario3[[#This Row],[takes]]&gt;0,LightbringerAbilities1Scenario3[[#This Row],[wins]]/LightbringerAbilities1Scenario3[[#This Row],[takes]],0)</f>
        <v>0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8">
        <f>COUNTIF(Scenario3[winner1-ability1],LightbringerAbilities1Scenario3[[#This Row],[ability]])</f>
        <v>0</v>
      </c>
      <c r="N68" s="3">
        <f>IF(SUM(LightbringerAbilities1Scenario3[[#This Row],[takes]]) &gt; 0,LightbringerAbilities1Scenario3[[#This Row],[takes]]/SUM(LightbringerAbilities1Scenario3[takes]),0)</f>
        <v>0</v>
      </c>
      <c r="O68" s="3">
        <f>IF(LightbringerAbilities1Scenario3[[#This Row],[takes]]&gt;0,LightbringerAbilities1Scenario3[[#This Row],[wins]]/LightbringerAbilities1Scenario3[[#This Row],[takes]],0)</f>
        <v>0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2" s="2">
        <f>COUNTIF(Scenario3[winner1-ability2],LightbringerAbilities2Scenario3[[#This Row],[ability]])</f>
        <v>0</v>
      </c>
      <c r="N72" s="3">
        <f>IF(SUM(LightbringerAbilities2Scenario3[[#This Row],[takes]]) &gt; 0,LightbringerAbilities2Scenario3[[#This Row],[takes]]/SUM(LightbringerAbilities2Scenario3[takes]),0)</f>
        <v>0</v>
      </c>
      <c r="O72" s="3">
        <f>IF(LightbringerAbilities2Scenario3[[#This Row],[takes]]&gt;0,LightbringerAbilities2Scenario3[[#This Row],[wins]]/LightbringerAbilities2Scenario3[[#This Row],[takes]],0)</f>
        <v>0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6" s="1">
        <f>COUNTIF(Scenario3[winner1-ability3],LightbringerAbilities3Scenario3[[#This Row],[ability]])</f>
        <v>0</v>
      </c>
      <c r="N76" s="14">
        <f>IF(SUM(LightbringerAbilities3Scenario3[[#This Row],[takes]]) &gt; 0,LightbringerAbilities3Scenario3[[#This Row],[takes]]/SUM(LightbringerAbilities3Scenario3[takes]),0)</f>
        <v>0</v>
      </c>
      <c r="O76" s="14">
        <f>IF(LightbringerAbilities3Scenario3[[#This Row],[takes]]&gt;0,LightbringerAbilities3Scenario3[[#This Row],[wins]]/LightbringerAbilities3Scenario3[[#This Row],[takes]],0)</f>
        <v>0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8" s="1">
        <f>COUNTIF(Scenario3[winner1-ability3],LightbringerAbilities3Scenario3[[#This Row],[ability]])</f>
        <v>0</v>
      </c>
      <c r="N78" s="15">
        <f>IF(SUM(LightbringerAbilities3Scenario3[[#This Row],[takes]]) &gt; 0,LightbringerAbilities3Scenario3[[#This Row],[takes]]/SUM(LightbringerAbilities3Scenario3[takes]),0)</f>
        <v>0</v>
      </c>
      <c r="O78" s="15">
        <f>IF(LightbringerAbilities3Scenario3[[#This Row],[takes]]&gt;0,LightbringerAbilities3Scenario3[[#This Row],[wins]]/LightbringerAbilities3Scenario3[[#This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1" s="2">
        <f>COUNTIF(Scenario3[winner1-ability4],LightbringerAbilities4Scenario3[[#This Row],[ability]])</f>
        <v>0</v>
      </c>
      <c r="N81" s="12">
        <f>IF(SUM(LightbringerAbilities4Scenario3[[#This Row],[takes]]) &gt; 0,LightbringerAbilities4Scenario3[[#This Row],[takes]]/SUM(LightbringerAbilities4Scenario3[takes]),0)</f>
        <v>0</v>
      </c>
      <c r="O81" s="12">
        <f>IF(LightbringerAbilities4Scenario3[[#This Row],[takes]]&gt;0,LightbringerAbilities4Scenario3[[#This Row],[wins]]/LightbringerAbilities4Scenario3[[#This Row],[takes]],0)</f>
        <v>0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3" s="2">
        <f>COUNTIF(Scenario3[winner1-ability4],LightbringerAbilities4Scenario3[[#This Row],[ability]])</f>
        <v>0</v>
      </c>
      <c r="N83" s="26">
        <f>IF(SUM(LightbringerAbilities4Scenario3[[#This Row],[takes]]) &gt; 0,LightbringerAbilities4Scenario3[[#This Row],[takes]]/SUM(LightbringerAbilities4Scenario3[takes]),0)</f>
        <v>0</v>
      </c>
      <c r="O83" s="26">
        <f>IF(LightbringerAbilities4Scenario3[[#This Row],[takes]]&gt;0,LightbringerAbilities4Scenario3[[#This Row],[wins]]/LightbringerAbilities4Scenario3[[#This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8">
        <f>COUNTIF(Scenario4[winner1-ability1],LightbringerAbilities1Scenario4[[#This Row],[ability]])</f>
        <v>0</v>
      </c>
      <c r="N88" s="3">
        <f>IF(SUM(LightbringerAbilities1Scenario4[[#This Row],[takes]]) &gt; 0,LightbringerAbilities1Scenario4[[#This Row],[takes]]/SUM(LightbringerAbilities1Scenario4[takes]),0)</f>
        <v>0</v>
      </c>
      <c r="O88" s="3">
        <f>IF(LightbringerAbilities1Scenario4[[#This Row],[takes]]&gt;0,LightbringerAbilities1Scenario4[[#This Row],[wins]]/LightbringerAbilities1Scenario4[[#This Row],[takes]],0)</f>
        <v>0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3" s="2">
        <f>COUNTIF(Scenario4[winner1-ability2],LightbringerAbilities2Scenario4[[#This Row],[ability]])</f>
        <v>0</v>
      </c>
      <c r="N93" s="3">
        <f>IF(SUM(LightbringerAbilities2Scenario4[[#This Row],[takes]]) &gt; 0,LightbringerAbilities2Scenario4[[#This Row],[takes]]/SUM(LightbringerAbilities2Scenario4[takes]),0)</f>
        <v>0</v>
      </c>
      <c r="O93" s="3">
        <f>IF(LightbringerAbilities2Scenario4[[#This Row],[takes]]&gt;0,LightbringerAbilities2Scenario4[[#This Row],[wins]]/LightbringerAbilities2Scenario4[[#This Row],[takes]],0)</f>
        <v>0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7" s="1">
        <f>COUNTIF(Scenario4[winner1-ability3],LightbringerAbilities3Scenario4[[#This Row],[ability]])</f>
        <v>0</v>
      </c>
      <c r="N97" s="14">
        <f>IF(SUM(LightbringerAbilities3Scenario4[[#This Row],[takes]]) &gt; 0,LightbringerAbilities3Scenario4[[#This Row],[takes]]/SUM(LightbringerAbilities3Scenario4[takes]),0)</f>
        <v>0</v>
      </c>
      <c r="O97" s="14">
        <f>IF(LightbringerAbilities3Scenario4[[#This Row],[takes]]&gt;0,LightbringerAbilities3Scenario4[[#This Row],[wins]]/LightbringerAbilities3Scenario4[[#This Row],[takes]],0)</f>
        <v>0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9" s="1">
        <f>COUNTIF(Scenario4[winner1-ability3],LightbringerAbilities3Scenario4[[#This Row],[ability]])</f>
        <v>0</v>
      </c>
      <c r="N99" s="15">
        <f>IF(SUM(LightbringerAbilities3Scenario4[[#This Row],[takes]]) &gt; 0,LightbringerAbilities3Scenario4[[#This Row],[takes]]/SUM(LightbringerAbilities3Scenario4[takes]),0)</f>
        <v>0</v>
      </c>
      <c r="O99" s="15">
        <f>IF(LightbringerAbilities3Scenario4[[#This Row],[takes]]&gt;0,LightbringerAbilities3Scenario4[[#This Row],[wins]]/LightbringerAbilities3Scenario4[[#This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2" s="2">
        <f>COUNTIF(Scenario4[winner1-ability4],LightbringerAbilities4Scenario4[[#This Row],[ability]])</f>
        <v>0</v>
      </c>
      <c r="N102" s="12">
        <f>IF(SUM(LightbringerAbilities4Scenario4[[#This Row],[takes]]) &gt; 0,LightbringerAbilities4Scenario4[[#This Row],[takes]]/SUM(LightbringerAbilities4Scenario4[takes]),0)</f>
        <v>0</v>
      </c>
      <c r="O102" s="12">
        <f>IF(LightbringerAbilities4Scenario4[[#This Row],[takes]]&gt;0,LightbringerAbilities4Scenario4[[#This Row],[wins]]/LightbringerAbilities4Scenario4[[#This Row],[takes]],0)</f>
        <v>0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3" s="2">
        <f>COUNTIF(Scenario4[winner1-ability4],LightbringerAbilities4Scenario4[[#This Row],[ability]])</f>
        <v>0</v>
      </c>
      <c r="N103" s="12">
        <f>IF(SUM(LightbringerAbilities4Scenario4[[#This Row],[takes]]) &gt; 0,LightbringerAbilities4Scenario4[[#This Row],[takes]]/SUM(LightbringerAbilities4Scenario4[takes]),0)</f>
        <v>0</v>
      </c>
      <c r="O103" s="12">
        <f>IF(LightbringerAbilities4Scenario4[[#This Row],[takes]]&gt;0,LightbringerAbilities4Scenario4[[#This Row],[wins]]/LightbringerAbilities4Scenario4[[#This Row],[takes]],0)</f>
        <v>0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08">
        <f>COUNTIF(Scenario5[winner1-ability1],LightbringerAbilities1Scenario5[[#This Row],[ability]])+COUNTIF(Scenario5[winner2-ability1],LightbringerAbilities1Scenario5[[#This Row],[ability]])</f>
        <v>0</v>
      </c>
      <c r="N108" s="3">
        <f>IF(SUM(LightbringerAbilities1Scenario5[[#This Row],[takes]]) &gt; 0,LightbringerAbilities1Scenario5[[#This Row],[takes]]/SUM(LightbringerAbilities1Scenario5[takes]),0)</f>
        <v>0</v>
      </c>
      <c r="O108" s="3">
        <f>IF(LightbringerAbilities1Scenario5[[#This Row],[takes]]&gt;0,LightbringerAbilities1Scenario5[[#This Row],[wins]]/LightbringerAbilities1Scenario5[[#This Row],[takes]],0)</f>
        <v>0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0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09">
        <f>COUNTIF(Scenario5[winner1-ability1],LightbringerAbilities1Scenario5[[#This Row],[ability]])+COUNTIF(Scenario5[winner2-ability1],LightbringerAbilities1Scenario5[[#This Row],[ability]])</f>
        <v>0</v>
      </c>
      <c r="N109" s="3">
        <f>IF(SUM(LightbringerAbilities1Scenario5[[#This Row],[takes]]) &gt; 0,LightbringerAbilities1Scenario5[[#This Row],[takes]]/SUM(LightbringerAbilities1Scenario5[takes]),0)</f>
        <v>0</v>
      </c>
      <c r="O109" s="3">
        <f>IF(LightbringerAbilities1Scenario5[[#This Row],[takes]]&gt;0,LightbringerAbilities1Scenario5[[#This Row],[wins]]/LightbringerAbilities1Scenario5[[#This Row],[takes]],0)</f>
        <v>0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0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10">
        <f>COUNTIF(Scenario5[winner1-ability1],LightbringerAbilities1Scenario5[[#This Row],[ability]])+COUNTIF(Scenario5[winner2-ability1],LightbringerAbilities1Scenario5[[#This Row],[ability]])</f>
        <v>0</v>
      </c>
      <c r="N110" s="3">
        <f>IF(SUM(LightbringerAbilities1Scenario5[[#This Row],[takes]]) &gt; 0,LightbringerAbilities1Scenario5[[#This Row],[takes]]/SUM(LightbringerAbilities1Scenario5[takes]),0)</f>
        <v>0</v>
      </c>
      <c r="O110" s="3">
        <f>IF(LightbringerAbilities1Scenario5[[#This Row],[takes]]&gt;0,LightbringerAbilities1Scenario5[[#This Row],[wins]]/LightbringerAbilities1Scenario5[[#This Row],[takes]],0)</f>
        <v>0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0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3" s="2">
        <f>COUNTIF(Scenario5[winner1-ability2],LightbringerAbilities2Scenario5[[#This Row],[ability]])+COUNTIF(Scenario5[winner2-ability2],LightbringerAbilities2Scenario5[[#This Row],[ability]])</f>
        <v>0</v>
      </c>
      <c r="N113" s="12">
        <f>IF(SUM(LightbringerAbilities2Scenario5[[#This Row],[takes]]) &gt; 0,LightbringerAbilities2Scenario5[[#This Row],[takes]]/SUM(LightbringerAbilities2Scenario5[takes]),0)</f>
        <v>0</v>
      </c>
      <c r="O113" s="12">
        <f>IF(LightbringerAbilities2Scenario5[[#This Row],[takes]]&gt;0,LightbringerAbilities2Scenario5[[#This Row],[wins]]/LightbringerAbilities2Scenario5[[#This Row],[takes]],0)</f>
        <v>0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4" s="2">
        <f>COUNTIF(Scenario5[winner1-ability2],LightbringerAbilities2Scenario5[[#This Row],[ability]])+COUNTIF(Scenario5[winner2-ability2],LightbringerAbilities2Scenario5[[#This Row],[ability]])</f>
        <v>0</v>
      </c>
      <c r="N114" s="3">
        <f>IF(SUM(LightbringerAbilities2Scenario5[[#This Row],[takes]]) &gt; 0,LightbringerAbilities2Scenario5[[#This Row],[takes]]/SUM(LightbringerAbilities2Scenario5[takes]),0)</f>
        <v>0</v>
      </c>
      <c r="O114" s="3">
        <f>IF(LightbringerAbilities2Scenario5[[#This Row],[takes]]&gt;0,LightbringerAbilities2Scenario5[[#This Row],[wins]]/LightbringerAbilities2Scenario5[[#This Row],[takes]],0)</f>
        <v>0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3">
        <f>IF(SUM(LightbringerAbilities2Scenario5[[#This Row],[takes]]) &gt; 0,LightbringerAbilities2Scenario5[[#This Row],[takes]]/SUM(LightbringerAbilities2Scenario5[takes]),0)</f>
        <v>0</v>
      </c>
      <c r="O115" s="13">
        <f>IF(LightbringerAbilities2Scenario5[[#This Row],[takes]]&gt;0,LightbringerAbilities2Scenario5[[#This Row],[wins]]/LightbringerAbilities2Scenario5[[#This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0</v>
      </c>
      <c r="M118" s="1">
        <f>COUNTIF(Scenario5[winner1-ability3],LightbringerAbilities3Scenario5[[#This Row],[ability]])+COUNTIF(Scenario5[winner2-ability3],LightbringerAbilities3Scenario5[[#This Row],[ability]])</f>
        <v>0</v>
      </c>
      <c r="N118" s="14">
        <f>IF(SUM(LightbringerAbilities3Scenario5[[#This Row],[takes]]) &gt; 0,LightbringerAbilities3Scenario5[[#This Row],[takes]]/SUM(LightbringerAbilities3Scenario5[takes]),0)</f>
        <v>0</v>
      </c>
      <c r="O118" s="14">
        <f>IF(LightbringerAbilities3Scenario5[[#This Row],[takes]]&gt;0,LightbringerAbilities3Scenario5[[#This Row],[wins]]/LightbringerAbilities3Scenario5[[#This Row],[takes]],0)</f>
        <v>0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0</v>
      </c>
      <c r="M119" s="2">
        <f>COUNTIF(Scenario5[winner1-ability3],LightbringerAbilities3Scenario5[[#This Row],[ability]])+COUNTIF(Scenario5[winner2-ability3],LightbringerAbilities3Scenario5[[#This Row],[ability]])</f>
        <v>0</v>
      </c>
      <c r="N119" s="12">
        <f>IF(SUM(LightbringerAbilities3Scenario5[[#This Row],[takes]]) &gt; 0,LightbringerAbilities3Scenario5[[#This Row],[takes]]/SUM(LightbringerAbilities3Scenario5[takes]),0)</f>
        <v>0</v>
      </c>
      <c r="O119" s="12">
        <f>IF(LightbringerAbilities3Scenario5[[#This Row],[takes]]&gt;0,LightbringerAbilities3Scenario5[[#This Row],[wins]]/LightbringerAbilities3Scenario5[[#This Row],[takes]],0)</f>
        <v>0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0</v>
      </c>
      <c r="M120" s="1">
        <f>COUNTIF(Scenario5[winner1-ability3],LightbringerAbilities3Scenario5[[#This Row],[ability]])+COUNTIF(Scenario5[winner2-ability3],LightbringerAbilities3Scenario5[[#This Row],[ability]])</f>
        <v>0</v>
      </c>
      <c r="N120" s="15">
        <f>IF(SUM(LightbringerAbilities3Scenario5[[#This Row],[takes]]) &gt; 0,LightbringerAbilities3Scenario5[[#This Row],[takes]]/SUM(LightbringerAbilities3Scenario5[takes]),0)</f>
        <v>0</v>
      </c>
      <c r="O120" s="15">
        <f>IF(LightbringerAbilities3Scenario5[[#This Row],[takes]]&gt;0,LightbringerAbilities3Scenario5[[#This Row],[wins]]/LightbringerAbilities3Scenario5[[#This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3" s="2">
        <f>COUNTIF(Scenario5[winner1-ability4],LightbringerAbilities4Scenario5[[#This Row],[ability]])+COUNTIF(Scenario5[winner2-ability4],LightbringerAbilities4Scenario5[[#This Row],[ability]])</f>
        <v>0</v>
      </c>
      <c r="N123" s="12">
        <f>IF(SUM(LightbringerAbilities4Scenario5[[#This Row],[takes]]) &gt; 0,LightbringerAbilities4Scenario5[[#This Row],[takes]]/SUM(LightbringerAbilities4Scenario5[takes]),0)</f>
        <v>0</v>
      </c>
      <c r="O123" s="12">
        <f>IF(LightbringerAbilities4Scenario5[[#This Row],[takes]]&gt;0,LightbringerAbilities4Scenario5[[#This Row],[wins]]/LightbringerAbilities4Scenario5[[#This Row],[takes]],0)</f>
        <v>0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4" s="2">
        <f>COUNTIF(Scenario5[winner1-ability4],LightbringerAbilities4Scenario5[[#This Row],[ability]])+COUNTIF(Scenario5[winner2-ability4],LightbringerAbilities4Scenario5[[#This Row],[ability]])</f>
        <v>0</v>
      </c>
      <c r="N124" s="12">
        <f>IF(SUM(LightbringerAbilities4Scenario5[[#This Row],[takes]]) &gt; 0,LightbringerAbilities4Scenario5[[#This Row],[takes]]/SUM(LightbringerAbilities4Scenario5[takes]),0)</f>
        <v>0</v>
      </c>
      <c r="O124" s="12">
        <f>IF(LightbringerAbilities4Scenario5[[#This Row],[takes]]&gt;0,LightbringerAbilities4Scenario5[[#This Row],[wins]]/LightbringerAbilities4Scenario5[[#This Row],[takes]],0)</f>
        <v>0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0</v>
      </c>
      <c r="M125" s="2">
        <f>COUNTIF(Scenario5[winner1-ability4],LightbringerAbilities4Scenario5[[#This Row],[ability]])+COUNTIF(Scenario5[winner2-ability4],LightbringerAbilities4Scenario5[[#This Row],[ability]])</f>
        <v>0</v>
      </c>
      <c r="N125" s="26">
        <f>IF(SUM(LightbringerAbilities4Scenario5[[#This Row],[takes]]) &gt; 0,LightbringerAbilities4Scenario5[[#This Row],[takes]]/SUM(LightbringerAbilities4Scenario5[takes]),0)</f>
        <v>0</v>
      </c>
      <c r="O125" s="26">
        <f>IF(LightbringerAbilities4Scenario5[[#This Row],[takes]]&gt;0,LightbringerAbilities4Scenario5[[#This Row],[wins]]/LightbringerAbilities4Scenario5[[#This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D22" sqref="D22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0.125</v>
      </c>
    </row>
    <row r="3" spans="1:24" x14ac:dyDescent="0.25">
      <c r="A3" t="s">
        <v>67</v>
      </c>
      <c r="B3">
        <f>M3+M24+M45+M66+M87+M108</f>
        <v>0</v>
      </c>
      <c r="C3">
        <f>N3+N24+N45+N66+N87+N108</f>
        <v>0</v>
      </c>
      <c r="D3" s="3">
        <f>IF(SUM(AvengerAbilities1[[#This Row],[takes]]) &gt; 0,AvengerAbilities1[[#This Row],[takes]]/SUM(AvengerAbilities1[takes]),0)</f>
        <v>0</v>
      </c>
      <c r="E3" s="3">
        <f>IF(AvengerAbilities1[[#This Row],[takes]]&gt;0,AvengerAbilities1[[#This Row],[wins]]/AvengerAbilities1[[#This Row],[takes]],0)</f>
        <v>0</v>
      </c>
      <c r="G3">
        <v>1</v>
      </c>
      <c r="H3">
        <f>S3+S24+S45+S66+S87+S108</f>
        <v>9</v>
      </c>
      <c r="I3">
        <f>T3+T24+T45+T66+T87+T108</f>
        <v>9</v>
      </c>
      <c r="J3" s="18">
        <f>U3+U24+U45+U66+U87+U108</f>
        <v>0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3">
        <f>COUNTIF(Scenario0[winner1-ability1],AvengerAbilities1Scenario0[[#This Row],[ability]])+COUNTIF(Scenario0[winner2-ability1],AvengerAbilities1Scenario0[[#This Row],[ability]])</f>
        <v>0</v>
      </c>
      <c r="O3" s="3">
        <f>IF(SUM(AvengerAbilities1Scenario0[[#This Row],[takes]]) &gt; 0,AvengerAbilities1Scenario0[[#This Row],[takes]]/SUM(AvengerAbilities1Scenario0[takes]),0)</f>
        <v>0</v>
      </c>
      <c r="P3" s="3">
        <f>IF(AvengerAbilities1Scenario0[[#This Row],[takes]]&gt;0,AvengerAbilities1Scenario0[[#This Row],[wins]]/AvengerAbilities1Scenario0[[#This Row],[takes]],0)</f>
        <v>0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3" t="s">
        <v>206</v>
      </c>
      <c r="X3" s="16">
        <f>H5/SUM(AvengerEquip[sabre])</f>
        <v>0.3125</v>
      </c>
    </row>
    <row r="4" spans="1:24" x14ac:dyDescent="0.25">
      <c r="A4" t="s">
        <v>152</v>
      </c>
      <c r="B4">
        <f t="shared" ref="B4:B5" si="0">M4+M25+M46+M67+M88+M109</f>
        <v>2</v>
      </c>
      <c r="C4">
        <f t="shared" ref="C4:C5" si="1">N4+N25+N46+N67+N88+N109</f>
        <v>0</v>
      </c>
      <c r="D4" s="3">
        <f>IF(SUM(AvengerAbilities1[[#This Row],[takes]]) &gt; 0,AvengerAbilities1[[#This Row],[takes]]/SUM(AvengerAbilities1[takes]),0)</f>
        <v>0.125</v>
      </c>
      <c r="E4" s="3">
        <f>IF(AvengerAbilities1[[#This Row],[takes]]&gt;0,AvengerAbilities1[[#This Row],[wins]]/AvengerAbilities1[[#This Row],[takes]],0)</f>
        <v>0</v>
      </c>
      <c r="G4">
        <v>2</v>
      </c>
      <c r="H4">
        <f t="shared" ref="H4:H5" si="2">S4+S25+S46+S67+S88+S109</f>
        <v>2</v>
      </c>
      <c r="I4">
        <f t="shared" ref="I4:I5" si="3">T4+T25+T46+T67+T88+T109</f>
        <v>2</v>
      </c>
      <c r="J4" s="18">
        <f t="shared" ref="J4:J5" si="4">U4+U25+U46+U67+U88+U109</f>
        <v>8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4">
        <f>COUNTIF(Scenario0[winner1-ability1],AvengerAbilities1Scenario0[[#This Row],[ability]])+COUNTIF(Scenario0[winner2-ability1],AvengerAbilities1Scenario0[[#This Row],[ability]])</f>
        <v>0</v>
      </c>
      <c r="O4" s="3">
        <f>IF(SUM(AvengerAbilities1Scenario0[[#This Row],[takes]]) &gt; 0,AvengerAbilities1Scenario0[[#This Row],[takes]]/SUM(AvengerAbilities1Scenario0[takes]),0)</f>
        <v>0</v>
      </c>
      <c r="P4" s="3">
        <f>IF(AvengerAbilities1Scenario0[[#This Row],[takes]]&gt;0,AvengerAbilities1Scenario0[[#This Row],[wins]]/AvengerAbilities1Scenario0[[#This Row],[takes]],0)</f>
        <v>0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4" t="s">
        <v>207</v>
      </c>
      <c r="X4" s="3">
        <f>AvengerEquip[[#This Row],[blade]]/SUM(AvengerEquip[blade])</f>
        <v>0.125</v>
      </c>
    </row>
    <row r="5" spans="1:24" x14ac:dyDescent="0.25">
      <c r="A5" t="s">
        <v>39</v>
      </c>
      <c r="B5">
        <f t="shared" si="0"/>
        <v>14</v>
      </c>
      <c r="C5">
        <f t="shared" si="1"/>
        <v>8</v>
      </c>
      <c r="D5" s="3">
        <f>IF(SUM(AvengerAbilities1[[#This Row],[takes]]) &gt; 0,AvengerAbilities1[[#This Row],[takes]]/SUM(AvengerAbilities1[takes]),0)</f>
        <v>0.875</v>
      </c>
      <c r="E5" s="3">
        <f>IF(AvengerAbilities1[[#This Row],[takes]]&gt;0,AvengerAbilities1[[#This Row],[wins]]/AvengerAbilities1[[#This Row],[takes]],0)</f>
        <v>0.5714285714285714</v>
      </c>
      <c r="G5">
        <v>3</v>
      </c>
      <c r="H5">
        <f t="shared" si="2"/>
        <v>5</v>
      </c>
      <c r="I5">
        <f t="shared" si="3"/>
        <v>5</v>
      </c>
      <c r="J5" s="18">
        <f t="shared" si="4"/>
        <v>8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5" t="s">
        <v>208</v>
      </c>
      <c r="X5" s="16">
        <f>AvengerEquip[[#This Row],[blade]]/SUM(AvengerEquip[blade])</f>
        <v>0.3125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0.5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0.5</v>
      </c>
    </row>
    <row r="8" spans="1:24" x14ac:dyDescent="0.25">
      <c r="A8" s="2" t="s">
        <v>40</v>
      </c>
      <c r="B8" s="2">
        <f>M8+M29+M50+M71+M92+M113</f>
        <v>3</v>
      </c>
      <c r="C8" s="2">
        <f>N8+N29+N50+N71+N92+N113</f>
        <v>1</v>
      </c>
      <c r="D8" s="12">
        <f>IF(SUM(AvengerAbilities2[[#This Row],[takes]]) &gt; 0,AvengerAbilities2[[#This Row],[takes]]/SUM(AvengerAbilities2[takes]),0)</f>
        <v>0.1875</v>
      </c>
      <c r="E8" s="12">
        <f>IF(AvengerAbilities2[[#This Row],[takes]]&gt;0,AvengerAbilities2[[#This Row],[wins]]/AvengerAbilities2[[#This Row],[takes]],0)</f>
        <v>0.33333333333333331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8" s="2">
        <f>COUNTIF(Scenario0[winner1-ability2],AvengerAbilities2Scenario0[[#This Row],[ability]])+COUNTIF(Scenario0[winner2-ability2],AvengerAbilities2Scenario0[[#This Row],[ability]])</f>
        <v>0</v>
      </c>
      <c r="O8" s="12">
        <f>IF(SUM(AvengerAbilities2Scenario0[[#This Row],[takes]]) &gt; 0,AvengerAbilities2Scenario0[[#This Row],[takes]]/SUM(AvengerAbilities2Scenario0[takes]),0)</f>
        <v>0</v>
      </c>
      <c r="P8" s="12">
        <f>IF(AvengerAbilities2Scenario0[[#This Row],[takes]]&gt;0,AvengerAbilities2Scenario0[[#This Row],[wins]]/AvengerAbilities2Scenario0[[#This Row],[takes]],0)</f>
        <v>0</v>
      </c>
      <c r="U8" s="18"/>
      <c r="W8" t="s">
        <v>176</v>
      </c>
      <c r="X8" s="3">
        <f>SUM(AvengerAbilities2[takes])/SUM(AvengerAbilities1[takes])</f>
        <v>1</v>
      </c>
    </row>
    <row r="9" spans="1:24" x14ac:dyDescent="0.25">
      <c r="A9" t="s">
        <v>70</v>
      </c>
      <c r="B9" s="2">
        <f t="shared" ref="B9:B10" si="5">M9+M30+M51+M72+M93+M114</f>
        <v>4</v>
      </c>
      <c r="C9" s="2">
        <f t="shared" ref="C9:C10" si="6">N9+N30+N51+N72+N93+N114</f>
        <v>4</v>
      </c>
      <c r="D9" s="3">
        <f>IF(SUM(AvengerAbilities2[[#This Row],[takes]]) &gt; 0,AvengerAbilities2[[#This Row],[takes]]/SUM(AvengerAbilities2[takes]),0)</f>
        <v>0.25</v>
      </c>
      <c r="E9" s="3">
        <f>IF(AvengerAbilities2[[#This Row],[takes]]&gt;0,AvengerAbilities2[[#This Row],[wins]]/AvengerAbilities2[[#This Row],[takes]],0)</f>
        <v>1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9" s="2">
        <f>COUNTIF(Scenario0[winner1-ability2],AvengerAbilities2Scenario0[[#This Row],[ability]])+COUNTIF(Scenario0[winner2-ability2],AvengerAbilities2Scenario0[[#This Row],[ability]])</f>
        <v>0</v>
      </c>
      <c r="O9" s="3">
        <f>IF(SUM(AvengerAbilities2Scenario0[[#This Row],[takes]]) &gt; 0,AvengerAbilities2Scenario0[[#This Row],[takes]]/SUM(AvengerAbilities2Scenario0[takes]),0)</f>
        <v>0</v>
      </c>
      <c r="P9" s="3">
        <f>IF(AvengerAbilities2Scenario0[[#This Row],[takes]]&gt;0,AvengerAbilities2Scenario0[[#This Row],[wins]]/AvengerAbilities2Scenario0[[#This Row],[takes]],0)</f>
        <v>0</v>
      </c>
      <c r="U9" s="18"/>
      <c r="W9" t="s">
        <v>177</v>
      </c>
      <c r="X9" s="3">
        <f>SUM(AvengerAbilities3[takes])/SUM(AvengerAbilities1[takes])</f>
        <v>0.875</v>
      </c>
    </row>
    <row r="10" spans="1:24" x14ac:dyDescent="0.25">
      <c r="A10" s="10" t="s">
        <v>96</v>
      </c>
      <c r="B10" s="2">
        <f t="shared" si="5"/>
        <v>9</v>
      </c>
      <c r="C10" s="2">
        <f t="shared" si="6"/>
        <v>3</v>
      </c>
      <c r="D10" s="13">
        <f>IF(SUM(AvengerAbilities2[[#This Row],[takes]]) &gt; 0,AvengerAbilities2[[#This Row],[takes]]/SUM(AvengerAbilities2[takes]),0)</f>
        <v>0.5625</v>
      </c>
      <c r="E10" s="13">
        <f>IF(AvengerAbilities2[[#This Row],[takes]]&gt;0,AvengerAbilities2[[#This Row],[wins]]/AvengerAbilities2[[#This Row],[takes]],0)</f>
        <v>0.33333333333333331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10" s="2">
        <f>COUNTIF(Scenario0[winner1-ability2],AvengerAbilities2Scenario0[[#This Row],[ability]])+COUNTIF(Scenario0[winner2-ability2],AvengerAbilities2Scenario0[[#This Row],[ability]])</f>
        <v>0</v>
      </c>
      <c r="O10" s="13">
        <f>IF(SUM(AvengerAbilities2Scenario0[[#This Row],[takes]]) &gt; 0,AvengerAbilities2Scenario0[[#This Row],[takes]]/SUM(AvengerAbilities2Scenario0[takes]),0)</f>
        <v>0</v>
      </c>
      <c r="P10" s="13">
        <f>IF(AvengerAbilities2Scenario0[[#This Row],[takes]]&gt;0,AvengerAbilities2Scenario0[[#This Row],[wins]]/AvengerAbilities2Scenario0[[#This Row],[takes]],0)</f>
        <v>0</v>
      </c>
      <c r="U10" s="18"/>
      <c r="W10" t="s">
        <v>178</v>
      </c>
      <c r="X10" s="16">
        <f>SUM(AvengerAbilities4[takes])/SUM(AvengerAbilities1[takes])</f>
        <v>0.625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4.375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2</v>
      </c>
      <c r="C13" s="1">
        <f>N13+N34+N55+N76+N97+N118</f>
        <v>2</v>
      </c>
      <c r="D13" s="14">
        <f>IF(SUM(AvengerAbilities3[[#This Row],[takes]]) &gt; 0,AvengerAbilities3[[#This Row],[takes]]/SUM(AvengerAbilities3[takes]),0)</f>
        <v>0.14285714285714285</v>
      </c>
      <c r="E13" s="14">
        <f>IF(AvengerAbilities3[[#This Row],[takes]]&gt;0,AvengerAbilities3[[#This Row],[wins]]/AvengerAbilities3[[#This Row],[takes]],0)</f>
        <v>1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3" s="1">
        <f>COUNTIF(Scenario0[winner1-ability3],AvengerAbilities3Scenario0[[#This Row],[ability]])+COUNTIF(Scenario0[winner2-ability3],AvengerAbilities3Scenario0[[#This Row],[ability]])</f>
        <v>0</v>
      </c>
      <c r="O13" s="14">
        <f>IF(SUM(AvengerAbilities3Scenario0[[#This Row],[takes]]) &gt; 0,AvengerAbilities3Scenario0[[#This Row],[takes]]/SUM(AvengerAbilities3Scenario0[takes]),0)</f>
        <v>0</v>
      </c>
      <c r="P13" s="14">
        <f>IF(AvengerAbilities3Scenario0[[#This Row],[takes]]&gt;0,AvengerAbilities3Scenario0[[#This Row],[wins]]/AvengerAbilities3Scenario0[[#This Row],[takes]],0)</f>
        <v>0</v>
      </c>
      <c r="U13" s="18"/>
    </row>
    <row r="14" spans="1:24" x14ac:dyDescent="0.25">
      <c r="A14" s="2" t="s">
        <v>153</v>
      </c>
      <c r="B14" s="2">
        <f t="shared" ref="B14:B15" si="7">M14+M35+M56+M77+M98+M119</f>
        <v>8</v>
      </c>
      <c r="C14" s="2">
        <f t="shared" ref="C14:C15" si="8">N14+N35+N56+N77+N98+N119</f>
        <v>5</v>
      </c>
      <c r="D14" s="12">
        <f>IF(SUM(AvengerAbilities3[[#This Row],[takes]]) &gt; 0,AvengerAbilities3[[#This Row],[takes]]/SUM(AvengerAbilities3[takes]),0)</f>
        <v>0.5714285714285714</v>
      </c>
      <c r="E14" s="12">
        <f>IF(AvengerAbilities3[[#This Row],[takes]]&gt;0,AvengerAbilities3[[#This Row],[wins]]/AvengerAbilities3[[#This Row],[takes]],0)</f>
        <v>0.625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4</v>
      </c>
      <c r="C15" s="1">
        <f t="shared" si="8"/>
        <v>0</v>
      </c>
      <c r="D15" s="15">
        <f>IF(SUM(AvengerAbilities3[[#This Row],[takes]]) &gt; 0,AvengerAbilities3[[#This Row],[takes]]/SUM(AvengerAbilities3[takes]),0)</f>
        <v>0.2857142857142857</v>
      </c>
      <c r="E15" s="15">
        <f>IF(AvengerAbilities3[[#This Row],[takes]]&gt;0,AvengerAbilities3[[#This Row],[wins]]/AvengerAbilities3[[#This Row],[takes]],0)</f>
        <v>0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0</v>
      </c>
      <c r="C18" s="2">
        <f>N18+N39+N60+N81+N102+N123</f>
        <v>0</v>
      </c>
      <c r="D18" s="12">
        <f>IF(SUM(AvengerAbilities4[[#This Row],[takes]]) &gt; 0,AvengerAbilities4[[#This Row],[takes]]/SUM(AvengerAbilities4[takes]),0)</f>
        <v>0</v>
      </c>
      <c r="E18" s="12">
        <f>IF(AvengerAbilities4[[#This Row],[takes]]&gt;0,AvengerAbilities4[[#This Row],[wins]]/AvengerAbilities4[[#This Row],[takes]],0)</f>
        <v>0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1</v>
      </c>
      <c r="C19" s="2">
        <f t="shared" ref="C19:C20" si="10">N19+N40+N61+N82+N103+N124</f>
        <v>1</v>
      </c>
      <c r="D19" s="12">
        <f>IF(SUM(AvengerAbilities4[[#This Row],[takes]]) &gt; 0,AvengerAbilities4[[#This Row],[takes]]/SUM(AvengerAbilities4[takes]),0)</f>
        <v>0.1</v>
      </c>
      <c r="E19" s="12">
        <f>IF(AvengerAbilities4[[#This Row],[takes]]&gt;0,AvengerAbilities4[[#This Row],[wins]]/AvengerAbilities4[[#This Row],[takes]],0)</f>
        <v>1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9</v>
      </c>
      <c r="C20" s="2">
        <f t="shared" si="10"/>
        <v>4</v>
      </c>
      <c r="D20" s="26">
        <f>IF(SUM(AvengerAbilities4[[#This Row],[takes]]) &gt; 0,AvengerAbilities4[[#This Row],[takes]]/SUM(AvengerAbilities4[takes]),0)</f>
        <v>0.9</v>
      </c>
      <c r="E20" s="26">
        <f>IF(AvengerAbilities4[[#This Row],[takes]]&gt;0,AvengerAbilities4[[#This Row],[wins]]/AvengerAbilities4[[#This Row],[takes]],0)</f>
        <v>0.44444444444444442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4">
        <f>COUNTIF(Scenario1[winner1-ability1],AvengerAbilities1Scenario1[[#This Row],[ability]])+COUNTIF(Scenario1[winner2-ability1],AvengerAbilities1Scenario1[[#This Row],[ability]])</f>
        <v>0</v>
      </c>
      <c r="O24" s="3">
        <f>IF(SUM(AvengerAbilities1Scenario1[[#This Row],[takes]]) &gt; 0,AvengerAbilities1Scenario1[[#This Row],[takes]]/SUM(AvengerAbilities1Scenario1[takes]),0)</f>
        <v>0</v>
      </c>
      <c r="P24" s="3">
        <f>IF(AvengerAbilities1Scenario1[[#This Row],[takes]]&gt;0,AvengerAbilities1Scenario1[[#This Row],[wins]]/AvengerAbilities1Scenario1[[#This Row],[takes]],0)</f>
        <v>0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5">
        <f>COUNTIF(Scenario1[winner1-ability1],AvengerAbilities1Scenario1[[#This Row],[ability]])+COUNTIF(Scenario1[winner2-ability1],AvengerAbilities1Scenario1[[#This Row],[ability]])</f>
        <v>0</v>
      </c>
      <c r="O25" s="3">
        <f>IF(SUM(AvengerAbilities1Scenario1[[#This Row],[takes]]) &gt; 0,AvengerAbilities1Scenario1[[#This Row],[takes]]/SUM(AvengerAbilities1Scenario1[takes]),0)</f>
        <v>0</v>
      </c>
      <c r="P25" s="3">
        <f>IF(AvengerAbilities1Scenario1[[#This Row],[takes]]&gt;0,AvengerAbilities1Scenario1[[#This Row],[wins]]/AvengerAbilities1Scenario1[[#This Row],[takes]],0)</f>
        <v>0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>
        <f>COUNTIF(Scenario1[winner1-ability1],AvengerAbilities1Scenario1[[#This Row],[ability]])+COUNTIF(Scenario1[winner2-ability1],AvengerAbilities1Scenario1[[#This Row],[ability]])</f>
        <v>0</v>
      </c>
      <c r="O26" s="3">
        <f>IF(SUM(AvengerAbilities1Scenario1[[#This Row],[takes]]) &gt; 0,AvengerAbilities1Scenario1[[#This Row],[takes]]/SUM(AvengerAbilities1Scenario1[takes]),0)</f>
        <v>0</v>
      </c>
      <c r="P26" s="3">
        <f>IF(AvengerAbilities1Scenario1[[#This Row],[takes]]&gt;0,AvengerAbilities1Scenario1[[#This Row],[wins]]/AvengerAbilities1Scenario1[[#This Row],[takes]],0)</f>
        <v>0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29" s="2">
        <f>COUNTIF(Scenario1[winner1-ability2],AvengerAbilities2Scenario1[[#This Row],[ability]])+COUNTIF(Scenario1[winner2-ability2],AvengerAbilities2Scenario1[[#This Row],[ability]])</f>
        <v>0</v>
      </c>
      <c r="O29" s="12">
        <f>IF(SUM(AvengerAbilities2Scenario1[[#This Row],[takes]]) &gt; 0,AvengerAbilities2Scenario1[[#This Row],[takes]]/SUM(AvengerAbilities2Scenario1[takes]),0)</f>
        <v>0</v>
      </c>
      <c r="P29" s="12">
        <f>IF(AvengerAbilities2Scenario1[[#This Row],[takes]]&gt;0,AvengerAbilities2Scenario1[[#This Row],[wins]]/AvengerAbilities2Scenario1[[#This Row],[takes]],0)</f>
        <v>0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0" s="2">
        <f>COUNTIF(Scenario1[winner1-ability2],AvengerAbilities2Scenario1[[#This Row],[ability]])+COUNTIF(Scenario1[winner2-ability2],AvengerAbilities2Scenario1[[#This Row],[ability]])</f>
        <v>0</v>
      </c>
      <c r="O30" s="3">
        <f>IF(SUM(AvengerAbilities2Scenario1[[#This Row],[takes]]) &gt; 0,AvengerAbilities2Scenario1[[#This Row],[takes]]/SUM(AvengerAbilities2Scenario1[takes]),0)</f>
        <v>0</v>
      </c>
      <c r="P30" s="3">
        <f>IF(AvengerAbilities2Scenario1[[#This Row],[takes]]&gt;0,AvengerAbilities2Scenario1[[#This Row],[wins]]/AvengerAbilities2Scenario1[[#This Row],[takes]],0)</f>
        <v>0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1" s="2">
        <f>COUNTIF(Scenario1[winner1-ability2],AvengerAbilities2Scenario1[[#This Row],[ability]])+COUNTIF(Scenario1[winner2-ability2],AvengerAbilities2Scenario1[[#This Row],[ability]])</f>
        <v>0</v>
      </c>
      <c r="O31" s="13">
        <f>IF(SUM(AvengerAbilities2Scenario1[[#This Row],[takes]]) &gt; 0,AvengerAbilities2Scenario1[[#This Row],[takes]]/SUM(AvengerAbilities2Scenario1[takes]),0)</f>
        <v>0</v>
      </c>
      <c r="P31" s="13">
        <f>IF(AvengerAbilities2Scenario1[[#This Row],[takes]]&gt;0,AvengerAbilities2Scenario1[[#This Row],[wins]]/AvengerAbilities2Scenario1[[#This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4" s="1">
        <f>COUNTIF(Scenario1[winner1-ability3],AvengerAbilities3Scenario1[[#This Row],[ability]])+COUNTIF(Scenario1[winner2-ability3],AvengerAbilities3Scenario1[[#This Row],[ability]])</f>
        <v>0</v>
      </c>
      <c r="O34" s="14">
        <f>IF(SUM(AvengerAbilities3Scenario1[[#This Row],[takes]]) &gt; 0,AvengerAbilities3Scenario1[[#This Row],[takes]]/SUM(AvengerAbilities3Scenario1[takes]),0)</f>
        <v>0</v>
      </c>
      <c r="P34" s="14">
        <f>IF(AvengerAbilities3Scenario1[[#This Row],[takes]]&gt;0,AvengerAbilities3Scenario1[[#This Row],[wins]]/AvengerAbilities3Scenario1[[#This Row],[takes]],0)</f>
        <v>0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6" s="1">
        <f>COUNTIF(Scenario1[winner1-ability3],AvengerAbilities3Scenario1[[#This Row],[ability]])+COUNTIF(Scenario1[winner2-ability3],AvengerAbilities3Scenario1[[#This Row],[ability]])</f>
        <v>0</v>
      </c>
      <c r="O36" s="15">
        <f>IF(SUM(AvengerAbilities3Scenario1[[#This Row],[takes]]) &gt; 0,AvengerAbilities3Scenario1[[#This Row],[takes]]/SUM(AvengerAbilities3Scenario1[takes]),0)</f>
        <v>0</v>
      </c>
      <c r="P36" s="15">
        <f>IF(AvengerAbilities3Scenario1[[#This Row],[takes]]&gt;0,AvengerAbilities3Scenario1[[#This Row],[wins]]/AvengerAbilities3Scenario1[[#This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0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9</v>
      </c>
      <c r="T45">
        <f>COUNTIFS(Scenario2[winner1],"avenger",Scenario2[winner1-sw],AvengerEquipScenario2[[#This Row],[level]])+COUNTIFS(Scenario2[loser1],"avenger",Scenario2[loser1-sw],AvengerEquipScenario2[[#This Row],[level]])</f>
        <v>9</v>
      </c>
      <c r="U45" s="18">
        <f>COUNTIFS(Scenario2[winner1],"avenger",Scenario2[winner1-cp],AvengerEquipScenario2[[#This Row],[level]])+COUNTIFS(Scenario2[loser1],"avenger",Scenario2[loser1-cp],AvengerEquipScenario2[[#This Row],[level]])</f>
        <v>0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0.125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2</v>
      </c>
      <c r="T46">
        <f>COUNTIFS(Scenario2[winner1],"avenger",Scenario2[winner1-sw],AvengerEquipScenario2[[#This Row],[level]])+COUNTIFS(Scenario2[loser1],"avenger",Scenario2[loser1-sw],AvengerEquipScenario2[[#This Row],[level]])</f>
        <v>2</v>
      </c>
      <c r="U46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14</v>
      </c>
      <c r="N47">
        <f>COUNTIF(Scenario2[winner1-ability1],AvengerAbilities1Scenario2[[#This Row],[ability]])</f>
        <v>8</v>
      </c>
      <c r="O47" s="3">
        <f>IF(SUM(AvengerAbilities1Scenario2[[#This Row],[takes]]) &gt; 0,AvengerAbilities1Scenario2[[#This Row],[takes]]/SUM(AvengerAbilities1Scenario2[takes]),0)</f>
        <v>0.875</v>
      </c>
      <c r="P47" s="3">
        <f>IF(AvengerAbilities1Scenario2[[#This Row],[takes]]&gt;0,AvengerAbilities1Scenario2[[#This Row],[wins]]/AvengerAbilities1Scenario2[[#This Row],[takes]],0)</f>
        <v>0.5714285714285714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5</v>
      </c>
      <c r="T47">
        <f>COUNTIFS(Scenario2[winner1],"avenger",Scenario2[winner1-sw],AvengerEquipScenario2[[#This Row],[level]])+COUNTIFS(Scenario2[loser1],"avenger",Scenario2[loser1-sw],AvengerEquipScenario2[[#This Row],[level]])</f>
        <v>5</v>
      </c>
      <c r="U47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3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0.1875</v>
      </c>
      <c r="P50" s="12">
        <f>IF(AvengerAbilities2Scenario2[[#This Row],[takes]]&gt;0,AvengerAbilities2Scenario2[[#This Row],[wins]]/AvengerAbilities2Scenario2[[#This Row],[takes]],0)</f>
        <v>0.33333333333333331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4</v>
      </c>
      <c r="N51" s="2">
        <f>COUNTIF(Scenario2[winner1-ability2],AvengerAbilities2Scenario2[[#This Row],[ability]])</f>
        <v>4</v>
      </c>
      <c r="O51" s="3">
        <f>IF(SUM(AvengerAbilities2Scenario2[[#This Row],[takes]]) &gt; 0,AvengerAbilities2Scenario2[[#This Row],[takes]]/SUM(AvengerAbilities2Scenario2[takes]),0)</f>
        <v>0.25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9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0.5625</v>
      </c>
      <c r="P52" s="13">
        <f>IF(AvengerAbilities2Scenario2[[#This Row],[takes]]&gt;0,AvengerAbilities2Scenario2[[#This Row],[wins]]/AvengerAbilities2Scenario2[[#This Row],[takes]],0)</f>
        <v>0.33333333333333331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2</v>
      </c>
      <c r="N55" s="1">
        <f>COUNTIF(Scenario2[winner1-ability3],AvengerAbilities3Scenario2[[#This Row],[ability]])</f>
        <v>2</v>
      </c>
      <c r="O55" s="14">
        <f>IF(SUM(AvengerAbilities3Scenario2[[#This Row],[takes]]) &gt; 0,AvengerAbilities3Scenario2[[#This Row],[takes]]/SUM(AvengerAbilities3Scenario2[takes]),0)</f>
        <v>0.14285714285714285</v>
      </c>
      <c r="P55" s="14">
        <f>IF(AvengerAbilities3Scenario2[[#This Row],[takes]]&gt;0,AvengerAbilities3Scenario2[[#This Row],[wins]]/AvengerAbilities3Scenario2[[#This Row],[takes]],0)</f>
        <v>1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8</v>
      </c>
      <c r="N56" s="2">
        <f>COUNTIF(Scenario2[winner1-ability3],AvengerAbilities3Scenario2[[#This Row],[ability]])</f>
        <v>5</v>
      </c>
      <c r="O56" s="12">
        <f>IF(SUM(AvengerAbilities3Scenario2[[#This Row],[takes]]) &gt; 0,AvengerAbilities3Scenario2[[#This Row],[takes]]/SUM(AvengerAbilities3Scenario2[takes]),0)</f>
        <v>0.5714285714285714</v>
      </c>
      <c r="P56" s="12">
        <f>IF(AvengerAbilities3Scenario2[[#This Row],[takes]]&gt;0,AvengerAbilities3Scenario2[[#This Row],[wins]]/AvengerAbilities3Scenario2[[#This Row],[takes]],0)</f>
        <v>0.625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0</v>
      </c>
      <c r="O57" s="15">
        <f>IF(SUM(AvengerAbilities3Scenario2[[#This Row],[takes]]) &gt; 0,AvengerAbilities3Scenario2[[#This Row],[takes]]/SUM(AvengerAbilities3Scenario2[takes]),0)</f>
        <v>0.2857142857142857</v>
      </c>
      <c r="P57" s="15">
        <f>IF(AvengerAbilities3Scenario2[[#This Row],[takes]]&gt;0,AvengerAbilities3Scenario2[[#This Row],[wins]]/AvengerAbilities3Scenario2[[#This Row],[takes]],0)</f>
        <v>0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0</v>
      </c>
      <c r="N60" s="2">
        <f>COUNTIF(Scenario2[winner1-ability4],AvengerAbilities4Scenario2[[#This Row],[ability]])</f>
        <v>0</v>
      </c>
      <c r="O60" s="12">
        <f>IF(SUM(AvengerAbilities4Scenario2[[#This Row],[takes]]) &gt; 0,AvengerAbilities4Scenario2[[#This Row],[takes]]/SUM(AvengerAbilities4Scenario2[takes]),0)</f>
        <v>0</v>
      </c>
      <c r="P60" s="12">
        <f>IF(AvengerAbilities4Scenario2[[#This Row],[takes]]&gt;0,AvengerAbilities4Scenario2[[#This Row],[wins]]/AvengerAbilities4Scenario2[[#This Row],[takes]],0)</f>
        <v>0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1</v>
      </c>
      <c r="N61" s="2">
        <f>COUNTIF(Scenario2[winner1-ability4],AvengerAbilities4Scenario2[[#This Row],[ability]])</f>
        <v>1</v>
      </c>
      <c r="O61" s="12">
        <f>IF(SUM(AvengerAbilities4Scenario2[[#This Row],[takes]]) &gt; 0,AvengerAbilities4Scenario2[[#This Row],[takes]]/SUM(AvengerAbilities4Scenario2[takes]),0)</f>
        <v>0.1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9</v>
      </c>
      <c r="N62" s="2">
        <f>COUNTIF(Scenario2[winner1-ability4],AvengerAbilities4Scenario2[[#This Row],[ability]])</f>
        <v>4</v>
      </c>
      <c r="O62" s="26">
        <f>IF(SUM(AvengerAbilities4Scenario2[[#This Row],[takes]]) &gt; 0,AvengerAbilities4Scenario2[[#This Row],[takes]]/SUM(AvengerAbilities4Scenario2[takes]),0)</f>
        <v>0.9</v>
      </c>
      <c r="P62" s="26">
        <f>IF(AvengerAbilities4Scenario2[[#This Row],[takes]]&gt;0,AvengerAbilities4Scenario2[[#This Row],[wins]]/AvengerAbilities4Scenario2[[#This Row],[takes]],0)</f>
        <v>0.44444444444444442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8">
        <f>COUNTIF(Scenario3[winner1-ability1],AvengerAbilities1Scenario3[[#This Row],[ability]])</f>
        <v>0</v>
      </c>
      <c r="O68" s="3">
        <f>IF(SUM(AvengerAbilities1Scenario3[[#This Row],[takes]]) &gt; 0,AvengerAbilities1Scenario3[[#This Row],[takes]]/SUM(AvengerAbilities1Scenario3[takes]),0)</f>
        <v>0</v>
      </c>
      <c r="P68" s="3">
        <f>IF(AvengerAbilities1Scenario3[[#This Row],[takes]]&gt;0,AvengerAbilities1Scenario3[[#This Row],[wins]]/AvengerAbilities1Scenario3[[#This Row],[takes]],0)</f>
        <v>0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1" s="2">
        <f>COUNTIF(Scenario3[winner1-ability2],AvengerAbilities2Scenario3[[#This Row],[ability]])</f>
        <v>0</v>
      </c>
      <c r="O71" s="12">
        <f>IF(SUM(AvengerAbilities2Scenario3[[#This Row],[takes]]) &gt; 0,AvengerAbilities2Scenario3[[#This Row],[takes]]/SUM(AvengerAbilities2Scenario3[takes]),0)</f>
        <v>0</v>
      </c>
      <c r="P71" s="12">
        <f>IF(AvengerAbilities2Scenario3[[#This Row],[takes]]&gt;0,AvengerAbilities2Scenario3[[#This Row],[wins]]/AvengerAbilities2Scenario3[[#This Row],[takes]],0)</f>
        <v>0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0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7" s="2">
        <f>COUNTIF(Scenario3[winner1-ability3],AvengerAbilities3Scenario3[[#This Row],[ability]])</f>
        <v>0</v>
      </c>
      <c r="O77" s="12">
        <f>IF(SUM(AvengerAbilities3Scenario3[[#This Row],[takes]]) &gt; 0,AvengerAbilities3Scenario3[[#This Row],[takes]]/SUM(AvengerAbilities3Scenario3[takes]),0)</f>
        <v>0</v>
      </c>
      <c r="P77" s="12">
        <f>IF(AvengerAbilities3Scenario3[[#This Row],[takes]]&gt;0,AvengerAbilities3Scenario3[[#This Row],[wins]]/AvengerAbilities3Scenario3[[#This Row],[takes]],0)</f>
        <v>0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2" s="2">
        <f>COUNTIF(Scenario3[winner1-ability4],AvengerAbilities4Scenario3[[#This Row],[ability]])</f>
        <v>0</v>
      </c>
      <c r="O82" s="12">
        <f>IF(SUM(AvengerAbilities4Scenario3[[#This Row],[takes]]) &gt; 0,AvengerAbilities4Scenario3[[#This Row],[takes]]/SUM(AvengerAbilities4Scenario3[takes]),0)</f>
        <v>0</v>
      </c>
      <c r="P82" s="12">
        <f>IF(AvengerAbilities4Scenario3[[#This Row],[takes]]&gt;0,AvengerAbilities4Scenario3[[#This Row],[wins]]/AvengerAbilities4Scenario3[[#This Row],[takes]],0)</f>
        <v>0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>
        <f>COUNTIF(Scenario4[winner1-ability1],AvengerAbilities1Scenario4[[#This Row],[ability]])</f>
        <v>0</v>
      </c>
      <c r="O89" s="3">
        <f>IF(SUM(AvengerAbilities1Scenario4[[#This Row],[takes]]) &gt; 0,AvengerAbilities1Scenario4[[#This Row],[takes]]/SUM(AvengerAbilities1Scenario4[takes]),0)</f>
        <v>0</v>
      </c>
      <c r="P89" s="3">
        <f>IF(AvengerAbilities1Scenario4[[#This Row],[takes]]&gt;0,AvengerAbilities1Scenario4[[#This Row],[wins]]/AvengerAbilities1Scenario4[[#This Row],[takes]],0)</f>
        <v>0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2" s="2">
        <f>COUNTIF(Scenario4[winner1-ability2],AvengerAbilities2Scenario4[[#This Row],[ability]])</f>
        <v>0</v>
      </c>
      <c r="O92" s="12">
        <f>IF(SUM(AvengerAbilities2Scenario4[[#This Row],[takes]]) &gt; 0,AvengerAbilities2Scenario4[[#This Row],[takes]]/SUM(AvengerAbilities2Scenario4[takes]),0)</f>
        <v>0</v>
      </c>
      <c r="P92" s="12">
        <f>IF(AvengerAbilities2Scenario4[[#This Row],[takes]]&gt;0,AvengerAbilities2Scenario4[[#This Row],[wins]]/AvengerAbilities2Scenario4[[#This Row],[takes]],0)</f>
        <v>0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7" s="1">
        <f>COUNTIF(Scenario4[winner1-ability3],AvengerAbilities3Scenario4[[#This Row],[ability]])</f>
        <v>0</v>
      </c>
      <c r="O97" s="14">
        <f>IF(SUM(AvengerAbilities3Scenario4[[#This Row],[takes]]) &gt; 0,AvengerAbilities3Scenario4[[#This Row],[takes]]/SUM(AvengerAbilities3Scenario4[takes]),0)</f>
        <v>0</v>
      </c>
      <c r="P97" s="14">
        <f>IF(AvengerAbilities3Scenario4[[#This Row],[takes]]&gt;0,AvengerAbilities3Scenario4[[#This Row],[wins]]/AvengerAbilities3Scenario4[[#This Row],[takes]],0)</f>
        <v>0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8" s="2">
        <f>COUNTIF(Scenario4[winner1-ability3],AvengerAbilities3Scenario4[[#This Row],[ability]])</f>
        <v>0</v>
      </c>
      <c r="O98" s="12">
        <f>IF(SUM(AvengerAbilities3Scenario4[[#This Row],[takes]]) &gt; 0,AvengerAbilities3Scenario4[[#This Row],[takes]]/SUM(AvengerAbilities3Scenario4[takes]),0)</f>
        <v>0</v>
      </c>
      <c r="P98" s="12">
        <f>IF(AvengerAbilities3Scenario4[[#This Row],[takes]]&gt;0,AvengerAbilities3Scenario4[[#This Row],[wins]]/AvengerAbilities3Scenario4[[#This Row],[takes]],0)</f>
        <v>0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0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3" s="2">
        <f>COUNTIF(Scenario4[winner1-ability4],AvengerAbilities4Scenario4[[#This Row],[ability]])</f>
        <v>0</v>
      </c>
      <c r="O103" s="12">
        <f>IF(SUM(AvengerAbilities4Scenario4[[#This Row],[takes]]) &gt; 0,AvengerAbilities4Scenario4[[#This Row],[takes]]/SUM(AvengerAbilities4Scenario4[takes]),0)</f>
        <v>0</v>
      </c>
      <c r="P103" s="12">
        <f>IF(AvengerAbilities4Scenario4[[#This Row],[takes]]&gt;0,AvengerAbilities4Scenario4[[#This Row],[wins]]/AvengerAbilities4Scenario4[[#This Row],[takes]],0)</f>
        <v>0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08">
        <f>COUNTIF(Scenario5[winner1-ability1],AvengerAbilities1Scenario5[[#This Row],[ability]])+COUNTIF(Scenario5[winner2-ability1],AvengerAbilities1Scenario5[[#This Row],[ability]])</f>
        <v>0</v>
      </c>
      <c r="O108" s="3">
        <f>IF(SUM(AvengerAbilities1Scenario5[[#This Row],[takes]]) &gt; 0,AvengerAbilities1Scenario5[[#This Row],[takes]]/SUM(AvengerAbilities1Scenario5[takes]),0)</f>
        <v>0</v>
      </c>
      <c r="P108" s="3">
        <f>IF(AvengerAbilities1Scenario5[[#This Row],[takes]]&gt;0,AvengerAbilities1Scenario5[[#This Row],[wins]]/AvengerAbilities1Scenario5[[#This Row],[takes]],0)</f>
        <v>0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0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0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09">
        <f>COUNTIF(Scenario5[winner1-ability1],AvengerAbilities1Scenario5[[#This Row],[ability]])+COUNTIF(Scenario5[winner2-ability1],AvengerAbilities1Scenario5[[#This Row],[ability]])</f>
        <v>0</v>
      </c>
      <c r="O109" s="3">
        <f>IF(SUM(AvengerAbilities1Scenario5[[#This Row],[takes]]) &gt; 0,AvengerAbilities1Scenario5[[#This Row],[takes]]/SUM(AvengerAbilities1Scenario5[takes]),0)</f>
        <v>0</v>
      </c>
      <c r="P109" s="3">
        <f>IF(AvengerAbilities1Scenario5[[#This Row],[takes]]&gt;0,AvengerAbilities1Scenario5[[#This Row],[wins]]/AvengerAbilities1Scenario5[[#This Row],[takes]],0)</f>
        <v>0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0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0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10">
        <f>COUNTIF(Scenario5[winner1-ability1],AvengerAbilities1Scenario5[[#This Row],[ability]])+COUNTIF(Scenario5[winner2-ability1],AvengerAbilities1Scenario5[[#This Row],[ability]])</f>
        <v>0</v>
      </c>
      <c r="O110" s="3">
        <f>IF(SUM(AvengerAbilities1Scenario5[[#This Row],[takes]]) &gt; 0,AvengerAbilities1Scenario5[[#This Row],[takes]]/SUM(AvengerAbilities1Scenario5[takes]),0)</f>
        <v>0</v>
      </c>
      <c r="P110" s="3">
        <f>IF(AvengerAbilities1Scenario5[[#This Row],[takes]]&gt;0,AvengerAbilities1Scenario5[[#This Row],[wins]]/AvengerAbilities1Scenario5[[#This Row],[takes]],0)</f>
        <v>0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0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0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0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3" s="2">
        <f>COUNTIF(Scenario5[winner1-ability2],AvengerAbilities2Scenario5[[#This Row],[ability]])+COUNTIF(Scenario5[winner2-ability2],AvengerAbilities2Scenario5[[#This Row],[ability]])</f>
        <v>0</v>
      </c>
      <c r="O113" s="12">
        <f>IF(SUM(AvengerAbilities2Scenario5[[#This Row],[takes]]) &gt; 0,AvengerAbilities2Scenario5[[#This Row],[takes]]/SUM(AvengerAbilities2Scenario5[takes]),0)</f>
        <v>0</v>
      </c>
      <c r="P113" s="12">
        <f>IF(AvengerAbilities2Scenario5[[#This Row],[takes]]&gt;0,AvengerAbilities2Scenario5[[#This Row],[wins]]/AvengerAbilities2Scenario5[[#This Row],[takes]],0)</f>
        <v>0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4" s="2">
        <f>COUNTIF(Scenario5[winner1-ability2],AvengerAbilities2Scenario5[[#This Row],[ability]])+COUNTIF(Scenario5[winner2-ability2],AvengerAbilities2Scenario5[[#This Row],[ability]])</f>
        <v>0</v>
      </c>
      <c r="O114" s="3">
        <f>IF(SUM(AvengerAbilities2Scenario5[[#This Row],[takes]]) &gt; 0,AvengerAbilities2Scenario5[[#This Row],[takes]]/SUM(AvengerAbilities2Scenario5[takes]),0)</f>
        <v>0</v>
      </c>
      <c r="P114" s="3">
        <f>IF(AvengerAbilities2Scenario5[[#This Row],[takes]]&gt;0,AvengerAbilities2Scenario5[[#This Row],[wins]]/AvengerAbilities2Scenario5[[#This Row],[takes]],0)</f>
        <v>0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5" s="2">
        <f>COUNTIF(Scenario5[winner1-ability2],AvengerAbilities2Scenario5[[#This Row],[ability]])+COUNTIF(Scenario5[winner2-ability2],AvengerAbilities2Scenario5[[#This Row],[ability]])</f>
        <v>0</v>
      </c>
      <c r="O115" s="13">
        <f>IF(SUM(AvengerAbilities2Scenario5[[#This Row],[takes]]) &gt; 0,AvengerAbilities2Scenario5[[#This Row],[takes]]/SUM(AvengerAbilities2Scenario5[takes]),0)</f>
        <v>0</v>
      </c>
      <c r="P115" s="13">
        <f>IF(AvengerAbilities2Scenario5[[#This Row],[takes]]&gt;0,AvengerAbilities2Scenario5[[#This Row],[wins]]/AvengerAbilities2Scenario5[[#This Row],[takes]],0)</f>
        <v>0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18" s="1">
        <f>COUNTIF(Scenario5[winner1-ability3],AvengerAbilities3Scenario5[[#This Row],[ability]])+COUNTIF(Scenario5[winner2-ability3],AvengerAbilities3Scenario5[[#This Row],[ability]])</f>
        <v>0</v>
      </c>
      <c r="O118" s="14">
        <f>IF(SUM(AvengerAbilities3Scenario5[[#This Row],[takes]]) &gt; 0,AvengerAbilities3Scenario5[[#This Row],[takes]]/SUM(AvengerAbilities3Scenario5[takes]),0)</f>
        <v>0</v>
      </c>
      <c r="P118" s="14">
        <f>IF(AvengerAbilities3Scenario5[[#This Row],[takes]]&gt;0,AvengerAbilities3Scenario5[[#This Row],[wins]]/AvengerAbilities3Scenario5[[#This Row],[takes]],0)</f>
        <v>0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19" s="2">
        <f>COUNTIF(Scenario5[winner1-ability3],AvengerAbilities3Scenario5[[#This Row],[ability]])+COUNTIF(Scenario5[winner2-ability3],AvengerAbilities3Scenario5[[#This Row],[ability]])</f>
        <v>0</v>
      </c>
      <c r="O119" s="12">
        <f>IF(SUM(AvengerAbilities3Scenario5[[#This Row],[takes]]) &gt; 0,AvengerAbilities3Scenario5[[#This Row],[takes]]/SUM(AvengerAbilities3Scenario5[takes]),0)</f>
        <v>0</v>
      </c>
      <c r="P119" s="12">
        <f>IF(AvengerAbilities3Scenario5[[#This Row],[takes]]&gt;0,AvengerAbilities3Scenario5[[#This Row],[wins]]/AvengerAbilities3Scenario5[[#This Row],[takes]],0)</f>
        <v>0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0</v>
      </c>
      <c r="N120" s="1">
        <f>COUNTIF(Scenario5[winner1-ability3],AvengerAbilities3Scenario5[[#This Row],[ability]])+COUNTIF(Scenario5[winner2-ability3],AvengerAbilities3Scenario5[[#This Row],[ability]])</f>
        <v>0</v>
      </c>
      <c r="O120" s="15">
        <f>IF(SUM(AvengerAbilities3Scenario5[[#This Row],[takes]]) &gt; 0,AvengerAbilities3Scenario5[[#This Row],[takes]]/SUM(AvengerAbilities3Scenario5[takes]),0)</f>
        <v>0</v>
      </c>
      <c r="P120" s="15">
        <f>IF(AvengerAbilities3Scenario5[[#This Row],[takes]]&gt;0,AvengerAbilities3Scenario5[[#This Row],[wins]]/AvengerAbilities3Scenario5[[#This Row],[takes]],0)</f>
        <v>0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3" s="2">
        <f>COUNTIF(Scenario5[winner1-ability4],AvengerAbilities4Scenario5[[#This Row],[ability]])+COUNTIF(Scenario5[winner2-ability4],AvengerAbilities4Scenario5[[#This Row],[ability]])</f>
        <v>0</v>
      </c>
      <c r="O123" s="12">
        <f>IF(SUM(AvengerAbilities4Scenario5[[#This Row],[takes]]) &gt; 0,AvengerAbilities4Scenario5[[#This Row],[takes]]/SUM(AvengerAbilities4Scenario5[takes]),0)</f>
        <v>0</v>
      </c>
      <c r="P123" s="12">
        <f>IF(AvengerAbilities4Scenario5[[#This Row],[takes]]&gt;0,AvengerAbilities4Scenario5[[#This Row],[wins]]/AvengerAbilities4Scenario5[[#This Row],[takes]],0)</f>
        <v>0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4" s="2">
        <f>COUNTIF(Scenario5[winner1-ability4],AvengerAbilities4Scenario5[[#This Row],[ability]])+COUNTIF(Scenario5[winner2-ability4],AvengerAbilities4Scenario5[[#This Row],[ability]])</f>
        <v>0</v>
      </c>
      <c r="O124" s="12">
        <f>IF(SUM(AvengerAbilities4Scenario5[[#This Row],[takes]]) &gt; 0,AvengerAbilities4Scenario5[[#This Row],[takes]]/SUM(AvengerAbilities4Scenario5[takes]),0)</f>
        <v>0</v>
      </c>
      <c r="P124" s="12">
        <f>IF(AvengerAbilities4Scenario5[[#This Row],[takes]]&gt;0,AvengerAbilities4Scenario5[[#This Row],[wins]]/AvengerAbilities4Scenario5[[#This Row],[takes]],0)</f>
        <v>0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0</v>
      </c>
      <c r="N125" s="2">
        <f>COUNTIF(Scenario5[winner1-ability4],AvengerAbilities4Scenario5[[#This Row],[ability]])+COUNTIF(Scenario5[winner2-ability4],AvengerAbilities4Scenario5[[#This Row],[ability]])</f>
        <v>0</v>
      </c>
      <c r="O125" s="26">
        <f>IF(SUM(AvengerAbilities4Scenario5[[#This Row],[takes]]) &gt; 0,AvengerAbilities4Scenario5[[#This Row],[takes]]/SUM(AvengerAbilities4Scenario5[takes]),0)</f>
        <v>0</v>
      </c>
      <c r="P125" s="26">
        <f>IF(AvengerAbilities4Scenario5[[#This Row],[takes]]&gt;0,AvengerAbilities4Scenario5[[#This Row],[wins]]/AvengerAbilities4Scenario5[[#This Row],[takes]],0)</f>
        <v>0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A93D-29B9-4152-928C-0BE9A3B90599}">
  <dimension ref="A1:X125"/>
  <sheetViews>
    <sheetView tabSelected="1" workbookViewId="0">
      <selection activeCell="E28" sqref="E28"/>
    </sheetView>
  </sheetViews>
  <sheetFormatPr defaultRowHeight="15" x14ac:dyDescent="0.25"/>
  <cols>
    <col min="1" max="1" width="20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" bestFit="1" customWidth="1"/>
    <col min="9" max="9" width="6.5703125" bestFit="1" customWidth="1"/>
    <col min="10" max="10" width="12.85546875" bestFit="1" customWidth="1"/>
    <col min="11" max="11" width="3.85546875" customWidth="1"/>
    <col min="12" max="12" width="20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" bestFit="1" customWidth="1"/>
    <col min="20" max="20" width="6.5703125" bestFit="1" customWidth="1"/>
    <col min="21" max="21" width="12.85546875" bestFit="1" customWidth="1"/>
    <col min="23" max="23" width="16.85546875" bestFit="1" customWidth="1"/>
    <col min="24" max="24" width="7.85546875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245</v>
      </c>
      <c r="I2" t="s">
        <v>246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245</v>
      </c>
      <c r="T2" t="s">
        <v>246</v>
      </c>
      <c r="U2" s="18" t="s">
        <v>164</v>
      </c>
      <c r="W2" t="s">
        <v>247</v>
      </c>
      <c r="X2" s="3">
        <f>H4/SUM(AvengerEquip313[kopis])</f>
        <v>0.5</v>
      </c>
    </row>
    <row r="3" spans="1:24" x14ac:dyDescent="0.25">
      <c r="A3" t="s">
        <v>233</v>
      </c>
      <c r="B3">
        <f>M3+M24+M45+M66+M87+M108</f>
        <v>8</v>
      </c>
      <c r="C3">
        <f>N3+N24+N45+N66+N87+N108</f>
        <v>3</v>
      </c>
      <c r="D3" s="3">
        <f>IF(SUM(AvengerAbilities1309[[#This Row],[takes]]) &gt; 0,AvengerAbilities1309[[#This Row],[takes]]/SUM(AvengerAbilities1309[takes]),0)</f>
        <v>0.5</v>
      </c>
      <c r="E3" s="3">
        <f>IF(AvengerAbilities1309[[#This Row],[takes]]&gt;0,AvengerAbilities1309[[#This Row],[wins]]/AvengerAbilities1309[[#This Row],[takes]],0)</f>
        <v>0.375</v>
      </c>
      <c r="G3">
        <v>1</v>
      </c>
      <c r="H3">
        <f>S3+S24+S45+S66+S87+S108</f>
        <v>4</v>
      </c>
      <c r="I3">
        <f>T3+T24+T45+T66+T87+T108</f>
        <v>13</v>
      </c>
      <c r="J3" s="18">
        <f>U3+U24+U45+U66+U87+U108</f>
        <v>3</v>
      </c>
      <c r="L3" s="17" t="s">
        <v>233</v>
      </c>
      <c r="M3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3">
        <f>COUNTIF(Scenario0[winner1-ability1],AvengerAbilities1Scenario0314[[#This Row],[ability]])+COUNTIF(Scenario0[winner2-ability1],AvengerAbilities1Scenario0314[[#This Row],[ability]])</f>
        <v>0</v>
      </c>
      <c r="O3" s="3">
        <f>IF(SUM(AvengerAbilities1Scenario0314[[#This Row],[takes]]) &gt; 0,AvengerAbilities1Scenario0314[[#This Row],[takes]]/SUM(AvengerAbilities1Scenario0314[takes]),0)</f>
        <v>0</v>
      </c>
      <c r="P3" s="3">
        <f>IF(AvengerAbilities1Scenario0314[[#This Row],[takes]]&gt;0,AvengerAbilities1Scenario0314[[#This Row],[wins]]/AvengerAbilities1Scenario0314[[#This Row],[takes]],0)</f>
        <v>0</v>
      </c>
      <c r="R3">
        <v>1</v>
      </c>
      <c r="S3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0</v>
      </c>
      <c r="T3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0</v>
      </c>
      <c r="U3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0</v>
      </c>
      <c r="W3" t="s">
        <v>248</v>
      </c>
      <c r="X3" s="16">
        <f>H5/SUM(AvengerEquip313[kopis])</f>
        <v>0.25</v>
      </c>
    </row>
    <row r="4" spans="1:24" x14ac:dyDescent="0.25">
      <c r="A4" t="s">
        <v>234</v>
      </c>
      <c r="B4">
        <f t="shared" ref="B4:C5" si="0">M4+M25+M46+M67+M88+M109</f>
        <v>8</v>
      </c>
      <c r="C4">
        <f t="shared" si="0"/>
        <v>2</v>
      </c>
      <c r="D4" s="3">
        <f>IF(SUM(AvengerAbilities1309[[#This Row],[takes]]) &gt; 0,AvengerAbilities1309[[#This Row],[takes]]/SUM(AvengerAbilities1309[takes]),0)</f>
        <v>0.5</v>
      </c>
      <c r="E4" s="3">
        <f>IF(AvengerAbilities1309[[#This Row],[takes]]&gt;0,AvengerAbilities1309[[#This Row],[wins]]/AvengerAbilities1309[[#This Row],[takes]],0)</f>
        <v>0.25</v>
      </c>
      <c r="G4">
        <v>2</v>
      </c>
      <c r="H4">
        <f t="shared" ref="H4:J5" si="1">S4+S25+S46+S67+S88+S109</f>
        <v>8</v>
      </c>
      <c r="I4">
        <f t="shared" si="1"/>
        <v>2</v>
      </c>
      <c r="J4" s="18">
        <f t="shared" si="1"/>
        <v>4</v>
      </c>
      <c r="L4" s="17" t="s">
        <v>234</v>
      </c>
      <c r="M4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4">
        <f>COUNTIF(Scenario0[winner1-ability1],AvengerAbilities1Scenario0314[[#This Row],[ability]])+COUNTIF(Scenario0[winner2-ability1],AvengerAbilities1Scenario0314[[#This Row],[ability]])</f>
        <v>0</v>
      </c>
      <c r="O4" s="3">
        <f>IF(SUM(AvengerAbilities1Scenario0314[[#This Row],[takes]]) &gt; 0,AvengerAbilities1Scenario0314[[#This Row],[takes]]/SUM(AvengerAbilities1Scenario0314[takes]),0)</f>
        <v>0</v>
      </c>
      <c r="P4" s="3">
        <f>IF(AvengerAbilities1Scenario0314[[#This Row],[takes]]&gt;0,AvengerAbilities1Scenario0314[[#This Row],[wins]]/AvengerAbilities1Scenario0314[[#This Row],[takes]],0)</f>
        <v>0</v>
      </c>
      <c r="R4">
        <v>2</v>
      </c>
      <c r="S4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0</v>
      </c>
      <c r="T4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0</v>
      </c>
      <c r="U4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0</v>
      </c>
      <c r="W4" t="s">
        <v>249</v>
      </c>
      <c r="X4" s="3">
        <f>AvengerEquip313[[#This Row],[gun]]/SUM(AvengerEquip313[gun])</f>
        <v>0.125</v>
      </c>
    </row>
    <row r="5" spans="1:24" x14ac:dyDescent="0.25">
      <c r="A5" t="s">
        <v>235</v>
      </c>
      <c r="B5">
        <f t="shared" si="0"/>
        <v>0</v>
      </c>
      <c r="C5">
        <f t="shared" si="0"/>
        <v>0</v>
      </c>
      <c r="D5" s="3">
        <f>IF(SUM(AvengerAbilities1309[[#This Row],[takes]]) &gt; 0,AvengerAbilities1309[[#This Row],[takes]]/SUM(AvengerAbilities1309[takes]),0)</f>
        <v>0</v>
      </c>
      <c r="E5" s="3">
        <f>IF(AvengerAbilities1309[[#This Row],[takes]]&gt;0,AvengerAbilities1309[[#This Row],[wins]]/AvengerAbilities1309[[#This Row],[takes]],0)</f>
        <v>0</v>
      </c>
      <c r="G5">
        <v>3</v>
      </c>
      <c r="H5">
        <f t="shared" si="1"/>
        <v>4</v>
      </c>
      <c r="I5">
        <f t="shared" si="1"/>
        <v>1</v>
      </c>
      <c r="J5" s="18">
        <f t="shared" si="1"/>
        <v>9</v>
      </c>
      <c r="L5" s="17" t="s">
        <v>235</v>
      </c>
      <c r="M5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5">
        <f>COUNTIF(Scenario0[winner1-ability1],AvengerAbilities1Scenario0314[[#This Row],[ability]])+COUNTIF(Scenario0[winner2-ability1],AvengerAbilities1Scenario0314[[#This Row],[ability]])</f>
        <v>0</v>
      </c>
      <c r="O5" s="3">
        <f>IF(SUM(AvengerAbilities1Scenario0314[[#This Row],[takes]]) &gt; 0,AvengerAbilities1Scenario0314[[#This Row],[takes]]/SUM(AvengerAbilities1Scenario0314[takes]),0)</f>
        <v>0</v>
      </c>
      <c r="P5" s="3">
        <f>IF(AvengerAbilities1Scenario0314[[#This Row],[takes]]&gt;0,AvengerAbilities1Scenario0314[[#This Row],[wins]]/AvengerAbilities1Scenario0314[[#This Row],[takes]],0)</f>
        <v>0</v>
      </c>
      <c r="R5">
        <v>3</v>
      </c>
      <c r="S5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0</v>
      </c>
      <c r="T5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0</v>
      </c>
      <c r="U5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0</v>
      </c>
      <c r="W5" t="s">
        <v>250</v>
      </c>
      <c r="X5" s="16">
        <f>AvengerEquip313[[#This Row],[gun]]/SUM(AvengerEquip313[gun])</f>
        <v>6.25E-2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J4/SUM(AvengerEquip313[chestpiece])</f>
        <v>0.25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J5/SUM(AvengerEquip313[chestpiece])</f>
        <v>0.5625</v>
      </c>
    </row>
    <row r="8" spans="1:24" x14ac:dyDescent="0.25">
      <c r="A8" s="2" t="s">
        <v>236</v>
      </c>
      <c r="B8" s="2">
        <f>M8+M29+M50+M71+M92+M113</f>
        <v>15</v>
      </c>
      <c r="C8" s="2">
        <f>N8+N29+N50+N71+N92+N113</f>
        <v>5</v>
      </c>
      <c r="D8" s="12">
        <f>IF(SUM(AvengerAbilities2310[[#This Row],[takes]]) &gt; 0,AvengerAbilities2310[[#This Row],[takes]]/SUM(AvengerAbilities2310[takes]),0)</f>
        <v>1</v>
      </c>
      <c r="E8" s="12">
        <f>IF(AvengerAbilities2310[[#This Row],[takes]]&gt;0,AvengerAbilities2310[[#This Row],[wins]]/AvengerAbilities2310[[#This Row],[takes]],0)</f>
        <v>0.33333333333333331</v>
      </c>
      <c r="J8" s="18"/>
      <c r="L8" s="20" t="s">
        <v>236</v>
      </c>
      <c r="M8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0</v>
      </c>
      <c r="N8" s="2">
        <f>COUNTIF(Scenario0[winner1-ability2],AvengerAbilities2Scenario0315[[#This Row],[ability]])+COUNTIF(Scenario0[winner2-ability2],AvengerAbilities2Scenario0315[[#This Row],[ability]])</f>
        <v>0</v>
      </c>
      <c r="O8" s="12">
        <f>IF(SUM(AvengerAbilities2Scenario0315[[#This Row],[takes]]) &gt; 0,AvengerAbilities2Scenario0315[[#This Row],[takes]]/SUM(AvengerAbilities2Scenario0315[takes]),0)</f>
        <v>0</v>
      </c>
      <c r="P8" s="12">
        <f>IF(AvengerAbilities2Scenario0315[[#This Row],[takes]]&gt;0,AvengerAbilities2Scenario0315[[#This Row],[wins]]/AvengerAbilities2Scenario0315[[#This Row],[takes]],0)</f>
        <v>0</v>
      </c>
      <c r="U8" s="18"/>
      <c r="W8" t="s">
        <v>176</v>
      </c>
      <c r="X8" s="3">
        <f>SUM(AvengerAbilities2310[takes])/SUM(AvengerAbilities1309[takes])</f>
        <v>0.9375</v>
      </c>
    </row>
    <row r="9" spans="1:24" x14ac:dyDescent="0.25">
      <c r="A9" t="s">
        <v>237</v>
      </c>
      <c r="B9" s="2">
        <f t="shared" ref="B9:C10" si="2">M9+M30+M51+M72+M93+M114</f>
        <v>0</v>
      </c>
      <c r="C9" s="2">
        <f t="shared" si="2"/>
        <v>0</v>
      </c>
      <c r="D9" s="3">
        <f>IF(SUM(AvengerAbilities2310[[#This Row],[takes]]) &gt; 0,AvengerAbilities2310[[#This Row],[takes]]/SUM(AvengerAbilities2310[takes]),0)</f>
        <v>0</v>
      </c>
      <c r="E9" s="3">
        <f>IF(AvengerAbilities2310[[#This Row],[takes]]&gt;0,AvengerAbilities2310[[#This Row],[wins]]/AvengerAbilities2310[[#This Row],[takes]],0)</f>
        <v>0</v>
      </c>
      <c r="J9" s="18"/>
      <c r="L9" s="17" t="s">
        <v>237</v>
      </c>
      <c r="M9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0</v>
      </c>
      <c r="N9" s="2">
        <f>COUNTIF(Scenario0[winner1-ability2],AvengerAbilities2Scenario0315[[#This Row],[ability]])+COUNTIF(Scenario0[winner2-ability2],AvengerAbilities2Scenario0315[[#This Row],[ability]])</f>
        <v>0</v>
      </c>
      <c r="O9" s="3">
        <f>IF(SUM(AvengerAbilities2Scenario0315[[#This Row],[takes]]) &gt; 0,AvengerAbilities2Scenario0315[[#This Row],[takes]]/SUM(AvengerAbilities2Scenario0315[takes]),0)</f>
        <v>0</v>
      </c>
      <c r="P9" s="3">
        <f>IF(AvengerAbilities2Scenario0315[[#This Row],[takes]]&gt;0,AvengerAbilities2Scenario0315[[#This Row],[wins]]/AvengerAbilities2Scenario0315[[#This Row],[takes]],0)</f>
        <v>0</v>
      </c>
      <c r="U9" s="18"/>
      <c r="W9" t="s">
        <v>177</v>
      </c>
      <c r="X9" s="3">
        <f>SUM(AvengerAbilities3311[takes])/SUM(AvengerAbilities1309[takes])</f>
        <v>0.5625</v>
      </c>
    </row>
    <row r="10" spans="1:24" x14ac:dyDescent="0.25">
      <c r="A10" s="10" t="s">
        <v>238</v>
      </c>
      <c r="B10" s="2">
        <f t="shared" si="2"/>
        <v>0</v>
      </c>
      <c r="C10" s="2">
        <f t="shared" si="2"/>
        <v>0</v>
      </c>
      <c r="D10" s="13">
        <f>IF(SUM(AvengerAbilities2310[[#This Row],[takes]]) &gt; 0,AvengerAbilities2310[[#This Row],[takes]]/SUM(AvengerAbilities2310[takes]),0)</f>
        <v>0</v>
      </c>
      <c r="E10" s="13">
        <f>IF(AvengerAbilities2310[[#This Row],[takes]]&gt;0,AvengerAbilities2310[[#This Row],[wins]]/AvengerAbilities2310[[#This Row],[takes]],0)</f>
        <v>0</v>
      </c>
      <c r="J10" s="18"/>
      <c r="L10" s="21" t="s">
        <v>238</v>
      </c>
      <c r="M10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0</v>
      </c>
      <c r="N10" s="2">
        <f>COUNTIF(Scenario0[winner1-ability2],AvengerAbilities2Scenario0315[[#This Row],[ability]])+COUNTIF(Scenario0[winner2-ability2],AvengerAbilities2Scenario0315[[#This Row],[ability]])</f>
        <v>0</v>
      </c>
      <c r="O10" s="13">
        <f>IF(SUM(AvengerAbilities2Scenario0315[[#This Row],[takes]]) &gt; 0,AvengerAbilities2Scenario0315[[#This Row],[takes]]/SUM(AvengerAbilities2Scenario0315[takes]),0)</f>
        <v>0</v>
      </c>
      <c r="P10" s="13">
        <f>IF(AvengerAbilities2Scenario0315[[#This Row],[takes]]&gt;0,AvengerAbilities2Scenario0315[[#This Row],[wins]]/AvengerAbilities2Scenario0315[[#This Row],[takes]],0)</f>
        <v>0</v>
      </c>
      <c r="U10" s="18"/>
      <c r="W10" t="s">
        <v>178</v>
      </c>
      <c r="X10" s="16">
        <f>SUM(AvengerAbilities4312[takes])/SUM(AvengerAbilities1309[takes])</f>
        <v>0.4375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(SUM(AvengerAbilities2310[takes])+SUM(AvengerAbilities3311[takes])+SUM(AvengerAbilities4312[takes])+SUM(H4:H5)+SUM(I4:I5)+SUM(J4:J5))/SUM(AvengerAbilities1309[takes])</f>
        <v>3.6875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239</v>
      </c>
      <c r="B13" s="1">
        <f>M13+M34+M55+M76+M97+M118</f>
        <v>0</v>
      </c>
      <c r="C13" s="1">
        <f>N13+N34+N55+N76+N97+N118</f>
        <v>0</v>
      </c>
      <c r="D13" s="14">
        <f>IF(SUM(AvengerAbilities3311[[#This Row],[takes]]) &gt; 0,AvengerAbilities3311[[#This Row],[takes]]/SUM(AvengerAbilities3311[takes]),0)</f>
        <v>0</v>
      </c>
      <c r="E13" s="14">
        <f>IF(AvengerAbilities3311[[#This Row],[takes]]&gt;0,AvengerAbilities3311[[#This Row],[wins]]/AvengerAbilities3311[[#This Row],[takes]],0)</f>
        <v>0</v>
      </c>
      <c r="J13" s="18"/>
      <c r="L13" s="22" t="s">
        <v>239</v>
      </c>
      <c r="M13" s="1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0</v>
      </c>
      <c r="N13" s="1">
        <f>COUNTIF(Scenario0[winner1-ability3],AvengerAbilities3Scenario0316[[#This Row],[ability]])+COUNTIF(Scenario0[winner2-ability3],AvengerAbilities3Scenario0316[[#This Row],[ability]])</f>
        <v>0</v>
      </c>
      <c r="O13" s="14">
        <f>IF(SUM(AvengerAbilities3Scenario0316[[#This Row],[takes]]) &gt; 0,AvengerAbilities3Scenario0316[[#This Row],[takes]]/SUM(AvengerAbilities3Scenario0316[takes]),0)</f>
        <v>0</v>
      </c>
      <c r="P13" s="14">
        <f>IF(AvengerAbilities3Scenario0316[[#This Row],[takes]]&gt;0,AvengerAbilities3Scenario0316[[#This Row],[wins]]/AvengerAbilities3Scenario0316[[#This Row],[takes]],0)</f>
        <v>0</v>
      </c>
      <c r="U13" s="18"/>
    </row>
    <row r="14" spans="1:24" x14ac:dyDescent="0.25">
      <c r="A14" s="2" t="s">
        <v>240</v>
      </c>
      <c r="B14" s="2">
        <f t="shared" ref="B14:C15" si="3">M14+M35+M56+M77+M98+M119</f>
        <v>8</v>
      </c>
      <c r="C14" s="2">
        <f t="shared" si="3"/>
        <v>1</v>
      </c>
      <c r="D14" s="12">
        <f>IF(SUM(AvengerAbilities3311[[#This Row],[takes]]) &gt; 0,AvengerAbilities3311[[#This Row],[takes]]/SUM(AvengerAbilities3311[takes]),0)</f>
        <v>0.88888888888888884</v>
      </c>
      <c r="E14" s="12">
        <f>IF(AvengerAbilities3311[[#This Row],[takes]]&gt;0,AvengerAbilities3311[[#This Row],[wins]]/AvengerAbilities3311[[#This Row],[takes]],0)</f>
        <v>0.125</v>
      </c>
      <c r="J14" s="18"/>
      <c r="L14" s="20" t="s">
        <v>240</v>
      </c>
      <c r="M14" s="2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0</v>
      </c>
      <c r="N14" s="2">
        <f>COUNTIF(Scenario0[winner1-ability3],AvengerAbilities3Scenario0316[[#This Row],[ability]])+COUNTIF(Scenario0[winner2-ability3],AvengerAbilities3Scenario0316[[#This Row],[ability]])</f>
        <v>0</v>
      </c>
      <c r="O14" s="12">
        <f>IF(SUM(AvengerAbilities3Scenario0316[[#This Row],[takes]]) &gt; 0,AvengerAbilities3Scenario0316[[#This Row],[takes]]/SUM(AvengerAbilities3Scenario0316[takes]),0)</f>
        <v>0</v>
      </c>
      <c r="P14" s="12">
        <f>IF(AvengerAbilities3Scenario0316[[#This Row],[takes]]&gt;0,AvengerAbilities3Scenario0316[[#This Row],[wins]]/AvengerAbilities3Scenario0316[[#This Row],[takes]],0)</f>
        <v>0</v>
      </c>
      <c r="U14" s="18"/>
    </row>
    <row r="15" spans="1:24" x14ac:dyDescent="0.25">
      <c r="A15" s="11" t="s">
        <v>241</v>
      </c>
      <c r="B15" s="1">
        <f t="shared" si="3"/>
        <v>1</v>
      </c>
      <c r="C15" s="1">
        <f t="shared" si="3"/>
        <v>1</v>
      </c>
      <c r="D15" s="15">
        <f>IF(SUM(AvengerAbilities3311[[#This Row],[takes]]) &gt; 0,AvengerAbilities3311[[#This Row],[takes]]/SUM(AvengerAbilities3311[takes]),0)</f>
        <v>0.1111111111111111</v>
      </c>
      <c r="E15" s="15">
        <f>IF(AvengerAbilities3311[[#This Row],[takes]]&gt;0,AvengerAbilities3311[[#This Row],[wins]]/AvengerAbilities3311[[#This Row],[takes]],0)</f>
        <v>1</v>
      </c>
      <c r="J15" s="18"/>
      <c r="L15" s="23" t="s">
        <v>241</v>
      </c>
      <c r="M15" s="1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0</v>
      </c>
      <c r="N15" s="1">
        <f>COUNTIF(Scenario0[winner1-ability3],AvengerAbilities3Scenario0316[[#This Row],[ability]])+COUNTIF(Scenario0[winner2-ability3],AvengerAbilities3Scenario0316[[#This Row],[ability]])</f>
        <v>0</v>
      </c>
      <c r="O15" s="15">
        <f>IF(SUM(AvengerAbilities3Scenario0316[[#This Row],[takes]]) &gt; 0,AvengerAbilities3Scenario0316[[#This Row],[takes]]/SUM(AvengerAbilities3Scenario0316[takes]),0)</f>
        <v>0</v>
      </c>
      <c r="P15" s="15">
        <f>IF(AvengerAbilities3Scenario0316[[#This Row],[takes]]&gt;0,AvengerAbilities3Scenario0316[[#This Row],[wins]]/AvengerAbilities3Scenario0316[[#This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242</v>
      </c>
      <c r="B18" s="2">
        <f>M18+M39+M60+M81+M102+M123</f>
        <v>1</v>
      </c>
      <c r="C18" s="2">
        <f>N18+N39+N60+N81+N102+N123</f>
        <v>0</v>
      </c>
      <c r="D18" s="12">
        <f>IF(SUM(AvengerAbilities4312[[#This Row],[takes]]) &gt; 0,AvengerAbilities4312[[#This Row],[takes]]/SUM(AvengerAbilities4312[takes]),0)</f>
        <v>0.14285714285714285</v>
      </c>
      <c r="E18" s="12">
        <f>IF(AvengerAbilities4312[[#This Row],[takes]]&gt;0,AvengerAbilities4312[[#This Row],[wins]]/AvengerAbilities4312[[#This Row],[takes]],0)</f>
        <v>0</v>
      </c>
      <c r="J18" s="18"/>
      <c r="L18" s="20" t="s">
        <v>242</v>
      </c>
      <c r="M18" s="2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0</v>
      </c>
      <c r="N18" s="2">
        <f>COUNTIF(Scenario0[winner1-ability4],AvengerAbilities4Scenario0317[[#This Row],[ability]])+COUNTIF(Scenario0[winner2-ability4],AvengerAbilities4Scenario0317[[#This Row],[ability]])</f>
        <v>0</v>
      </c>
      <c r="O18" s="12">
        <f>IF(SUM(AvengerAbilities4Scenario0317[[#This Row],[takes]]) &gt; 0,AvengerAbilities4Scenario0317[[#This Row],[takes]]/SUM(AvengerAbilities4Scenario0317[takes]),0)</f>
        <v>0</v>
      </c>
      <c r="P18" s="12">
        <f>IF(AvengerAbilities4Scenario0317[[#This Row],[takes]]&gt;0,AvengerAbilities4Scenario0317[[#This Row],[wins]]/AvengerAbilities4Scenario0317[[#This Row],[takes]],0)</f>
        <v>0</v>
      </c>
      <c r="U18" s="18"/>
    </row>
    <row r="19" spans="1:21" x14ac:dyDescent="0.25">
      <c r="A19" s="2" t="s">
        <v>243</v>
      </c>
      <c r="B19" s="2">
        <f t="shared" ref="B19:C20" si="4">M19+M40+M61+M82+M103+M124</f>
        <v>5</v>
      </c>
      <c r="C19" s="2">
        <f t="shared" si="4"/>
        <v>1</v>
      </c>
      <c r="D19" s="12">
        <f>IF(SUM(AvengerAbilities4312[[#This Row],[takes]]) &gt; 0,AvengerAbilities4312[[#This Row],[takes]]/SUM(AvengerAbilities4312[takes]),0)</f>
        <v>0.7142857142857143</v>
      </c>
      <c r="E19" s="12">
        <f>IF(AvengerAbilities4312[[#This Row],[takes]]&gt;0,AvengerAbilities4312[[#This Row],[wins]]/AvengerAbilities4312[[#This Row],[takes]],0)</f>
        <v>0.2</v>
      </c>
      <c r="J19" s="18"/>
      <c r="L19" s="20" t="s">
        <v>243</v>
      </c>
      <c r="M19" s="2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0</v>
      </c>
      <c r="N19" s="2">
        <f>COUNTIF(Scenario0[winner1-ability4],AvengerAbilities4Scenario0317[[#This Row],[ability]])+COUNTIF(Scenario0[winner2-ability4],AvengerAbilities4Scenario0317[[#This Row],[ability]])</f>
        <v>0</v>
      </c>
      <c r="O19" s="12">
        <f>IF(SUM(AvengerAbilities4Scenario0317[[#This Row],[takes]]) &gt; 0,AvengerAbilities4Scenario0317[[#This Row],[takes]]/SUM(AvengerAbilities4Scenario0317[takes]),0)</f>
        <v>0</v>
      </c>
      <c r="P19" s="12">
        <f>IF(AvengerAbilities4Scenario0317[[#This Row],[takes]]&gt;0,AvengerAbilities4Scenario0317[[#This Row],[wins]]/AvengerAbilities4Scenario0317[[#This Row],[takes]],0)</f>
        <v>0</v>
      </c>
      <c r="U19" s="18"/>
    </row>
    <row r="20" spans="1:21" ht="15.75" thickBot="1" x14ac:dyDescent="0.3">
      <c r="A20" s="10" t="s">
        <v>244</v>
      </c>
      <c r="B20" s="2">
        <f t="shared" si="4"/>
        <v>1</v>
      </c>
      <c r="C20" s="2">
        <f t="shared" si="4"/>
        <v>0</v>
      </c>
      <c r="D20" s="26">
        <f>IF(SUM(AvengerAbilities4312[[#This Row],[takes]]) &gt; 0,AvengerAbilities4312[[#This Row],[takes]]/SUM(AvengerAbilities4312[takes]),0)</f>
        <v>0.14285714285714285</v>
      </c>
      <c r="E20" s="26">
        <f>IF(AvengerAbilities4312[[#This Row],[takes]]&gt;0,AvengerAbilities4312[[#This Row],[wins]]/AvengerAbilities4312[[#This Row],[takes]],0)</f>
        <v>0</v>
      </c>
      <c r="F20" s="27"/>
      <c r="G20" s="27"/>
      <c r="H20" s="27"/>
      <c r="I20" s="27"/>
      <c r="J20" s="28"/>
      <c r="L20" s="24" t="s">
        <v>244</v>
      </c>
      <c r="M20" s="25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0</v>
      </c>
      <c r="N20" s="25">
        <f>COUNTIF(Scenario0[winner1-ability4],AvengerAbilities4Scenario0317[[#This Row],[ability]])+COUNTIF(Scenario0[winner2-ability4],AvengerAbilities4Scenario0317[[#This Row],[ability]])</f>
        <v>0</v>
      </c>
      <c r="O20" s="26">
        <f>IF(SUM(AvengerAbilities4Scenario0317[[#This Row],[takes]]) &gt; 0,AvengerAbilities4Scenario0317[[#This Row],[takes]]/SUM(AvengerAbilities4Scenario0317[takes]),0)</f>
        <v>0</v>
      </c>
      <c r="P20" s="26">
        <f>IF(AvengerAbilities4Scenario0317[[#This Row],[takes]]&gt;0,AvengerAbilities4Scenario0317[[#This Row],[wins]]/AvengerAbilities4Scenario0317[[#This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245</v>
      </c>
      <c r="T23" t="s">
        <v>246</v>
      </c>
      <c r="U23" s="18" t="s">
        <v>164</v>
      </c>
    </row>
    <row r="24" spans="1:21" x14ac:dyDescent="0.25">
      <c r="L24" s="17" t="s">
        <v>233</v>
      </c>
      <c r="M24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0</v>
      </c>
      <c r="N24">
        <f>COUNTIF(Scenario1[winner1-ability1],AvengerAbilities1Scenario1319[[#This Row],[ability]])+COUNTIF(Scenario1[winner2-ability1],AvengerAbilities1Scenario1319[[#This Row],[ability]])</f>
        <v>0</v>
      </c>
      <c r="O24" s="3">
        <f>IF(SUM(AvengerAbilities1Scenario1319[[#This Row],[takes]]) &gt; 0,AvengerAbilities1Scenario1319[[#This Row],[takes]]/SUM(AvengerAbilities1Scenario1319[takes]),0)</f>
        <v>0</v>
      </c>
      <c r="P24" s="3">
        <f>IF(AvengerAbilities1Scenario1319[[#This Row],[takes]]&gt;0,AvengerAbilities1Scenario1319[[#This Row],[wins]]/AvengerAbilities1Scenario1319[[#This Row],[takes]],0)</f>
        <v>0</v>
      </c>
      <c r="R24">
        <v>1</v>
      </c>
      <c r="S24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0</v>
      </c>
      <c r="T24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0</v>
      </c>
      <c r="U24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0</v>
      </c>
    </row>
    <row r="25" spans="1:21" x14ac:dyDescent="0.25">
      <c r="L25" s="17" t="s">
        <v>234</v>
      </c>
      <c r="M25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0</v>
      </c>
      <c r="N25">
        <f>COUNTIF(Scenario1[winner1-ability1],AvengerAbilities1Scenario1319[[#This Row],[ability]])+COUNTIF(Scenario1[winner2-ability1],AvengerAbilities1Scenario1319[[#This Row],[ability]])</f>
        <v>0</v>
      </c>
      <c r="O25" s="3">
        <f>IF(SUM(AvengerAbilities1Scenario1319[[#This Row],[takes]]) &gt; 0,AvengerAbilities1Scenario1319[[#This Row],[takes]]/SUM(AvengerAbilities1Scenario1319[takes]),0)</f>
        <v>0</v>
      </c>
      <c r="P25" s="3">
        <f>IF(AvengerAbilities1Scenario1319[[#This Row],[takes]]&gt;0,AvengerAbilities1Scenario1319[[#This Row],[wins]]/AvengerAbilities1Scenario1319[[#This Row],[takes]],0)</f>
        <v>0</v>
      </c>
      <c r="R25">
        <v>2</v>
      </c>
      <c r="S25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0</v>
      </c>
      <c r="T25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0</v>
      </c>
      <c r="U25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0</v>
      </c>
    </row>
    <row r="26" spans="1:21" x14ac:dyDescent="0.25">
      <c r="L26" s="17" t="s">
        <v>235</v>
      </c>
      <c r="M26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0</v>
      </c>
      <c r="N26">
        <f>COUNTIF(Scenario1[winner1-ability1],AvengerAbilities1Scenario1319[[#This Row],[ability]])+COUNTIF(Scenario1[winner2-ability1],AvengerAbilities1Scenario1319[[#This Row],[ability]])</f>
        <v>0</v>
      </c>
      <c r="O26" s="3">
        <f>IF(SUM(AvengerAbilities1Scenario1319[[#This Row],[takes]]) &gt; 0,AvengerAbilities1Scenario1319[[#This Row],[takes]]/SUM(AvengerAbilities1Scenario1319[takes]),0)</f>
        <v>0</v>
      </c>
      <c r="P26" s="3">
        <f>IF(AvengerAbilities1Scenario1319[[#This Row],[takes]]&gt;0,AvengerAbilities1Scenario1319[[#This Row],[wins]]/AvengerAbilities1Scenario1319[[#This Row],[takes]],0)</f>
        <v>0</v>
      </c>
      <c r="R26">
        <v>3</v>
      </c>
      <c r="S26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0</v>
      </c>
      <c r="T26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0</v>
      </c>
      <c r="U26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236</v>
      </c>
      <c r="M29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0</v>
      </c>
      <c r="N29" s="2">
        <f>COUNTIF(Scenario1[winner1-ability2],AvengerAbilities2Scenario1320[[#This Row],[ability]])+COUNTIF(Scenario1[winner2-ability2],AvengerAbilities2Scenario1320[[#This Row],[ability]])</f>
        <v>0</v>
      </c>
      <c r="O29" s="12">
        <f>IF(SUM(AvengerAbilities2Scenario1320[[#This Row],[takes]]) &gt; 0,AvengerAbilities2Scenario1320[[#This Row],[takes]]/SUM(AvengerAbilities2Scenario1320[takes]),0)</f>
        <v>0</v>
      </c>
      <c r="P29" s="12">
        <f>IF(AvengerAbilities2Scenario1320[[#This Row],[takes]]&gt;0,AvengerAbilities2Scenario1320[[#This Row],[wins]]/AvengerAbilities2Scenario1320[[#This Row],[takes]],0)</f>
        <v>0</v>
      </c>
      <c r="U29" s="18"/>
    </row>
    <row r="30" spans="1:21" x14ac:dyDescent="0.25">
      <c r="L30" s="17" t="s">
        <v>237</v>
      </c>
      <c r="M30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0</v>
      </c>
      <c r="N30" s="2">
        <f>COUNTIF(Scenario1[winner1-ability2],AvengerAbilities2Scenario1320[[#This Row],[ability]])+COUNTIF(Scenario1[winner2-ability2],AvengerAbilities2Scenario1320[[#This Row],[ability]])</f>
        <v>0</v>
      </c>
      <c r="O30" s="3">
        <f>IF(SUM(AvengerAbilities2Scenario1320[[#This Row],[takes]]) &gt; 0,AvengerAbilities2Scenario1320[[#This Row],[takes]]/SUM(AvengerAbilities2Scenario1320[takes]),0)</f>
        <v>0</v>
      </c>
      <c r="P30" s="3">
        <f>IF(AvengerAbilities2Scenario1320[[#This Row],[takes]]&gt;0,AvengerAbilities2Scenario1320[[#This Row],[wins]]/AvengerAbilities2Scenario1320[[#This Row],[takes]],0)</f>
        <v>0</v>
      </c>
      <c r="U30" s="18"/>
    </row>
    <row r="31" spans="1:21" x14ac:dyDescent="0.25">
      <c r="L31" s="21" t="s">
        <v>238</v>
      </c>
      <c r="M31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0</v>
      </c>
      <c r="N31" s="2">
        <f>COUNTIF(Scenario1[winner1-ability2],AvengerAbilities2Scenario1320[[#This Row],[ability]])+COUNTIF(Scenario1[winner2-ability2],AvengerAbilities2Scenario1320[[#This Row],[ability]])</f>
        <v>0</v>
      </c>
      <c r="O31" s="13">
        <f>IF(SUM(AvengerAbilities2Scenario1320[[#This Row],[takes]]) &gt; 0,AvengerAbilities2Scenario1320[[#This Row],[takes]]/SUM(AvengerAbilities2Scenario1320[takes]),0)</f>
        <v>0</v>
      </c>
      <c r="P31" s="13">
        <f>IF(AvengerAbilities2Scenario1320[[#This Row],[takes]]&gt;0,AvengerAbilities2Scenario1320[[#This Row],[wins]]/AvengerAbilities2Scenario1320[[#This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239</v>
      </c>
      <c r="M34" s="1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0</v>
      </c>
      <c r="N34" s="1">
        <f>COUNTIF(Scenario1[winner1-ability3],AvengerAbilities3Scenario1321[[#This Row],[ability]])+COUNTIF(Scenario1[winner2-ability3],AvengerAbilities3Scenario1321[[#This Row],[ability]])</f>
        <v>0</v>
      </c>
      <c r="O34" s="14">
        <f>IF(SUM(AvengerAbilities3Scenario1321[[#This Row],[takes]]) &gt; 0,AvengerAbilities3Scenario1321[[#This Row],[takes]]/SUM(AvengerAbilities3Scenario1321[takes]),0)</f>
        <v>0</v>
      </c>
      <c r="P34" s="14">
        <f>IF(AvengerAbilities3Scenario1321[[#This Row],[takes]]&gt;0,AvengerAbilities3Scenario1321[[#This Row],[wins]]/AvengerAbilities3Scenario1321[[#This Row],[takes]],0)</f>
        <v>0</v>
      </c>
      <c r="U34" s="18"/>
    </row>
    <row r="35" spans="12:21" x14ac:dyDescent="0.25">
      <c r="L35" s="20" t="s">
        <v>240</v>
      </c>
      <c r="M35" s="2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0</v>
      </c>
      <c r="N35" s="2">
        <f>COUNTIF(Scenario1[winner1-ability3],AvengerAbilities3Scenario1321[[#This Row],[ability]])+COUNTIF(Scenario1[winner2-ability3],AvengerAbilities3Scenario1321[[#This Row],[ability]])</f>
        <v>0</v>
      </c>
      <c r="O35" s="12">
        <f>IF(SUM(AvengerAbilities3Scenario1321[[#This Row],[takes]]) &gt; 0,AvengerAbilities3Scenario1321[[#This Row],[takes]]/SUM(AvengerAbilities3Scenario1321[takes]),0)</f>
        <v>0</v>
      </c>
      <c r="P35" s="12">
        <f>IF(AvengerAbilities3Scenario1321[[#This Row],[takes]]&gt;0,AvengerAbilities3Scenario1321[[#This Row],[wins]]/AvengerAbilities3Scenario1321[[#This Row],[takes]],0)</f>
        <v>0</v>
      </c>
      <c r="U35" s="18"/>
    </row>
    <row r="36" spans="12:21" x14ac:dyDescent="0.25">
      <c r="L36" s="23" t="s">
        <v>241</v>
      </c>
      <c r="M36" s="1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0</v>
      </c>
      <c r="N36" s="1">
        <f>COUNTIF(Scenario1[winner1-ability3],AvengerAbilities3Scenario1321[[#This Row],[ability]])+COUNTIF(Scenario1[winner2-ability3],AvengerAbilities3Scenario1321[[#This Row],[ability]])</f>
        <v>0</v>
      </c>
      <c r="O36" s="15">
        <f>IF(SUM(AvengerAbilities3Scenario1321[[#This Row],[takes]]) &gt; 0,AvengerAbilities3Scenario1321[[#This Row],[takes]]/SUM(AvengerAbilities3Scenario1321[takes]),0)</f>
        <v>0</v>
      </c>
      <c r="P36" s="15">
        <f>IF(AvengerAbilities3Scenario1321[[#This Row],[takes]]&gt;0,AvengerAbilities3Scenario1321[[#This Row],[wins]]/AvengerAbilities3Scenario1321[[#This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242</v>
      </c>
      <c r="M39" s="2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39" s="2">
        <f>COUNTIF(Scenario1[winner1-ability4],AvengerAbilities4Scenario1322[[#This Row],[ability]])+COUNTIF(Scenario1[winner2-ability4],AvengerAbilities4Scenario1322[[#This Row],[ability]])</f>
        <v>0</v>
      </c>
      <c r="O39" s="12">
        <f>IF(SUM(AvengerAbilities4Scenario1322[[#This Row],[takes]]) &gt; 0,AvengerAbilities4Scenario1322[[#This Row],[takes]]/SUM(AvengerAbilities4Scenario1322[takes]),0)</f>
        <v>0</v>
      </c>
      <c r="P39" s="12">
        <f>IF(AvengerAbilities4Scenario1322[[#This Row],[takes]]&gt;0,AvengerAbilities4Scenario1322[[#This Row],[wins]]/AvengerAbilities4Scenario1322[[#This Row],[takes]],0)</f>
        <v>0</v>
      </c>
      <c r="U39" s="18"/>
    </row>
    <row r="40" spans="12:21" x14ac:dyDescent="0.25">
      <c r="L40" s="20" t="s">
        <v>243</v>
      </c>
      <c r="M40" s="2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40" s="2">
        <f>COUNTIF(Scenario1[winner1-ability4],AvengerAbilities4Scenario1322[[#This Row],[ability]])+COUNTIF(Scenario1[winner2-ability4],AvengerAbilities4Scenario1322[[#This Row],[ability]])</f>
        <v>0</v>
      </c>
      <c r="O40" s="12">
        <f>IF(SUM(AvengerAbilities4Scenario1322[[#This Row],[takes]]) &gt; 0,AvengerAbilities4Scenario1322[[#This Row],[takes]]/SUM(AvengerAbilities4Scenario1322[takes]),0)</f>
        <v>0</v>
      </c>
      <c r="P40" s="12">
        <f>IF(AvengerAbilities4Scenario1322[[#This Row],[takes]]&gt;0,AvengerAbilities4Scenario1322[[#This Row],[wins]]/AvengerAbilities4Scenario1322[[#This Row],[takes]],0)</f>
        <v>0</v>
      </c>
      <c r="U40" s="18"/>
    </row>
    <row r="41" spans="12:21" ht="15.75" thickBot="1" x14ac:dyDescent="0.3">
      <c r="L41" s="24" t="s">
        <v>244</v>
      </c>
      <c r="M41" s="25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41" s="25">
        <f>COUNTIF(Scenario1[winner1-ability4],AvengerAbilities4Scenario1322[[#This Row],[ability]])+COUNTIF(Scenario1[winner2-ability4],AvengerAbilities4Scenario1322[[#This Row],[ability]])</f>
        <v>0</v>
      </c>
      <c r="O41" s="26">
        <f>IF(SUM(AvengerAbilities4Scenario1322[[#This Row],[takes]]) &gt; 0,AvengerAbilities4Scenario1322[[#This Row],[takes]]/SUM(AvengerAbilities4Scenario1322[takes]),0)</f>
        <v>0</v>
      </c>
      <c r="P41" s="26">
        <f>IF(AvengerAbilities4Scenario1322[[#This Row],[takes]]&gt;0,AvengerAbilities4Scenario1322[[#This Row],[wins]]/AvengerAbilities4Scenario1322[[#This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245</v>
      </c>
      <c r="T44" t="s">
        <v>246</v>
      </c>
      <c r="U44" s="18" t="s">
        <v>164</v>
      </c>
    </row>
    <row r="45" spans="12:21" x14ac:dyDescent="0.25">
      <c r="L45" s="17" t="s">
        <v>233</v>
      </c>
      <c r="M45">
        <f>COUNTIF(Scenario2[winner1-ability1],AvengerAbilities1Scenario2324[[#This Row],[ability]])+COUNTIF(Scenario2[loser1-ability1],AvengerAbilities1Scenario2324[[#This Row],[ability]])</f>
        <v>8</v>
      </c>
      <c r="N45">
        <f>COUNTIF(Scenario2[winner1-ability1],AvengerAbilities1Scenario2324[[#This Row],[ability]])</f>
        <v>3</v>
      </c>
      <c r="O45" s="3">
        <f>IF(SUM(AvengerAbilities1Scenario2324[[#This Row],[takes]]) &gt; 0,AvengerAbilities1Scenario2324[[#This Row],[takes]]/SUM(AvengerAbilities1Scenario2324[takes]),0)</f>
        <v>0.5</v>
      </c>
      <c r="P45" s="3">
        <f>IF(AvengerAbilities1Scenario2324[[#This Row],[takes]]&gt;0,AvengerAbilities1Scenario2324[[#This Row],[wins]]/AvengerAbilities1Scenario2324[[#This Row],[takes]],0)</f>
        <v>0.375</v>
      </c>
      <c r="R45">
        <v>1</v>
      </c>
      <c r="S45">
        <f>COUNTIFS(Scenario2[winner1],"navarch",Scenario2[winner1-pw],AvengerEquipScenario2328[[#This Row],[level]])+COUNTIFS(Scenario2[loser1],"navarch",Scenario2[loser1-pw],AvengerEquipScenario2328[[#This Row],[level]])</f>
        <v>4</v>
      </c>
      <c r="T45">
        <f>COUNTIFS(Scenario2[winner1],"navarch",Scenario2[winner1-sw],AvengerEquipScenario2328[[#This Row],[level]])+COUNTIFS(Scenario2[loser1],"navarch",Scenario2[loser1-sw],AvengerEquipScenario2328[[#This Row],[level]])</f>
        <v>13</v>
      </c>
      <c r="U45" s="18">
        <f>COUNTIFS(Scenario2[winner1],"navarch",Scenario2[winner1-cp],AvengerEquipScenario2328[[#This Row],[level]])+COUNTIFS(Scenario2[loser1],"navarch",Scenario2[loser1-cp],AvengerEquipScenario2328[[#This Row],[level]])</f>
        <v>3</v>
      </c>
    </row>
    <row r="46" spans="12:21" x14ac:dyDescent="0.25">
      <c r="L46" s="17" t="s">
        <v>234</v>
      </c>
      <c r="M46">
        <f>COUNTIF(Scenario2[winner1-ability1],AvengerAbilities1Scenario2324[[#This Row],[ability]])+COUNTIF(Scenario2[loser1-ability1],AvengerAbilities1Scenario2324[[#This Row],[ability]])</f>
        <v>8</v>
      </c>
      <c r="N46">
        <f>COUNTIF(Scenario2[winner1-ability1],AvengerAbilities1Scenario2324[[#This Row],[ability]])</f>
        <v>2</v>
      </c>
      <c r="O46" s="3">
        <f>IF(SUM(AvengerAbilities1Scenario2324[[#This Row],[takes]]) &gt; 0,AvengerAbilities1Scenario2324[[#This Row],[takes]]/SUM(AvengerAbilities1Scenario2324[takes]),0)</f>
        <v>0.5</v>
      </c>
      <c r="P46" s="3">
        <f>IF(AvengerAbilities1Scenario2324[[#This Row],[takes]]&gt;0,AvengerAbilities1Scenario2324[[#This Row],[wins]]/AvengerAbilities1Scenario2324[[#This Row],[takes]],0)</f>
        <v>0.25</v>
      </c>
      <c r="R46">
        <v>2</v>
      </c>
      <c r="S46">
        <f>COUNTIFS(Scenario2[winner1],"navarch",Scenario2[winner1-pw],AvengerEquipScenario2328[[#This Row],[level]])+COUNTIFS(Scenario2[loser1],"navarch",Scenario2[loser1-pw],AvengerEquipScenario2328[[#This Row],[level]])</f>
        <v>8</v>
      </c>
      <c r="T46">
        <f>COUNTIFS(Scenario2[winner1],"navarch",Scenario2[winner1-sw],AvengerEquipScenario2328[[#This Row],[level]])+COUNTIFS(Scenario2[loser1],"navarch",Scenario2[loser1-sw],AvengerEquipScenario2328[[#This Row],[level]])</f>
        <v>2</v>
      </c>
      <c r="U46" s="18">
        <f>COUNTIFS(Scenario2[winner1],"navarch",Scenario2[winner1-cp],AvengerEquipScenario2328[[#This Row],[level]])+COUNTIFS(Scenario2[loser1],"navarch",Scenario2[loser1-cp],AvengerEquipScenario2328[[#This Row],[level]])</f>
        <v>4</v>
      </c>
    </row>
    <row r="47" spans="12:21" x14ac:dyDescent="0.25">
      <c r="L47" s="17" t="s">
        <v>235</v>
      </c>
      <c r="M47">
        <f>COUNTIF(Scenario2[winner1-ability1],AvengerAbilities1Scenario2324[[#This Row],[ability]])+COUNTIF(Scenario2[loser1-ability1],AvengerAbilities1Scenario2324[[#This Row],[ability]])</f>
        <v>0</v>
      </c>
      <c r="N47">
        <f>COUNTIF(Scenario2[winner1-ability1],AvengerAbilities1Scenario2324[[#This Row],[ability]])</f>
        <v>0</v>
      </c>
      <c r="O47" s="3">
        <f>IF(SUM(AvengerAbilities1Scenario2324[[#This Row],[takes]]) &gt; 0,AvengerAbilities1Scenario2324[[#This Row],[takes]]/SUM(AvengerAbilities1Scenario2324[takes]),0)</f>
        <v>0</v>
      </c>
      <c r="P47" s="3">
        <f>IF(AvengerAbilities1Scenario2324[[#This Row],[takes]]&gt;0,AvengerAbilities1Scenario2324[[#This Row],[wins]]/AvengerAbilities1Scenario2324[[#This Row],[takes]],0)</f>
        <v>0</v>
      </c>
      <c r="R47">
        <v>3</v>
      </c>
      <c r="S47">
        <f>COUNTIFS(Scenario2[winner1],"navarch",Scenario2[winner1-pw],AvengerEquipScenario2328[[#This Row],[level]])+COUNTIFS(Scenario2[loser1],"navarch",Scenario2[loser1-pw],AvengerEquipScenario2328[[#This Row],[level]])</f>
        <v>4</v>
      </c>
      <c r="T47">
        <f>COUNTIFS(Scenario2[winner1],"navarch",Scenario2[winner1-sw],AvengerEquipScenario2328[[#This Row],[level]])+COUNTIFS(Scenario2[loser1],"navarch",Scenario2[loser1-sw],AvengerEquipScenario2328[[#This Row],[level]])</f>
        <v>1</v>
      </c>
      <c r="U47" s="18">
        <f>COUNTIFS(Scenario2[winner1],"navarch",Scenario2[winner1-cp],AvengerEquipScenario2328[[#This Row],[level]])+COUNTIFS(Scenario2[loser1],"navarch",Scenario2[loser1-cp],AvengerEquipScenario2328[[#This Row],[level]])</f>
        <v>9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236</v>
      </c>
      <c r="M50" s="2">
        <f>COUNTIF(Scenario2[winner1-ability2],AvengerAbilities2Scenario2325[[#This Row],[ability]])+COUNTIF(Scenario2[loser1-ability2],AvengerAbilities2Scenario2325[[#This Row],[ability]])</f>
        <v>15</v>
      </c>
      <c r="N50" s="2">
        <f>COUNTIF(Scenario2[winner1-ability2],AvengerAbilities2Scenario2325[[#This Row],[ability]])</f>
        <v>5</v>
      </c>
      <c r="O50" s="12">
        <f>IF(SUM(AvengerAbilities2Scenario2325[[#This Row],[takes]]) &gt; 0,AvengerAbilities2Scenario2325[[#This Row],[takes]]/SUM(AvengerAbilities2Scenario2325[takes]),0)</f>
        <v>1</v>
      </c>
      <c r="P50" s="12">
        <f>IF(AvengerAbilities2Scenario2325[[#This Row],[takes]]&gt;0,AvengerAbilities2Scenario2325[[#This Row],[wins]]/AvengerAbilities2Scenario2325[[#This Row],[takes]],0)</f>
        <v>0.33333333333333331</v>
      </c>
      <c r="U50" s="18"/>
    </row>
    <row r="51" spans="12:21" x14ac:dyDescent="0.25">
      <c r="L51" s="17" t="s">
        <v>237</v>
      </c>
      <c r="M51" s="2">
        <f>COUNTIF(Scenario2[winner1-ability2],AvengerAbilities2Scenario2325[[#This Row],[ability]])+COUNTIF(Scenario2[loser1-ability2],AvengerAbilities2Scenario2325[[#This Row],[ability]])</f>
        <v>0</v>
      </c>
      <c r="N51" s="2">
        <f>COUNTIF(Scenario2[winner1-ability2],AvengerAbilities2Scenario2325[[#This Row],[ability]])</f>
        <v>0</v>
      </c>
      <c r="O51" s="3">
        <f>IF(SUM(AvengerAbilities2Scenario2325[[#This Row],[takes]]) &gt; 0,AvengerAbilities2Scenario2325[[#This Row],[takes]]/SUM(AvengerAbilities2Scenario2325[takes]),0)</f>
        <v>0</v>
      </c>
      <c r="P51" s="3">
        <f>IF(AvengerAbilities2Scenario2325[[#This Row],[takes]]&gt;0,AvengerAbilities2Scenario2325[[#This Row],[wins]]/AvengerAbilities2Scenario2325[[#This Row],[takes]],0)</f>
        <v>0</v>
      </c>
      <c r="U51" s="18"/>
    </row>
    <row r="52" spans="12:21" x14ac:dyDescent="0.25">
      <c r="L52" s="21" t="s">
        <v>238</v>
      </c>
      <c r="M52" s="2">
        <f>COUNTIF(Scenario2[winner1-ability2],AvengerAbilities2Scenario2325[[#This Row],[ability]])+COUNTIF(Scenario2[loser1-ability2],AvengerAbilities2Scenario2325[[#This Row],[ability]])</f>
        <v>0</v>
      </c>
      <c r="N52" s="2">
        <f>COUNTIF(Scenario2[winner1-ability2],AvengerAbilities2Scenario2325[[#This Row],[ability]])</f>
        <v>0</v>
      </c>
      <c r="O52" s="13">
        <f>IF(SUM(AvengerAbilities2Scenario2325[[#This Row],[takes]]) &gt; 0,AvengerAbilities2Scenario2325[[#This Row],[takes]]/SUM(AvengerAbilities2Scenario2325[takes]),0)</f>
        <v>0</v>
      </c>
      <c r="P52" s="13">
        <f>IF(AvengerAbilities2Scenario2325[[#This Row],[takes]]&gt;0,AvengerAbilities2Scenario2325[[#This Row],[wins]]/AvengerAbilities2Scenario2325[[#This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239</v>
      </c>
      <c r="M55" s="1">
        <f>COUNTIF(Scenario2[winner1-ability3],AvengerAbilities3Scenario2326[[#This Row],[ability]])+COUNTIF(Scenario2[loser1-ability3],AvengerAbilities3Scenario2326[[#This Row],[ability]])</f>
        <v>0</v>
      </c>
      <c r="N55" s="1">
        <f>COUNTIF(Scenario2[winner1-ability3],AvengerAbilities3Scenario2326[[#This Row],[ability]])</f>
        <v>0</v>
      </c>
      <c r="O55" s="14">
        <f>IF(SUM(AvengerAbilities3Scenario2326[[#This Row],[takes]]) &gt; 0,AvengerAbilities3Scenario2326[[#This Row],[takes]]/SUM(AvengerAbilities3Scenario2326[takes]),0)</f>
        <v>0</v>
      </c>
      <c r="P55" s="14">
        <f>IF(AvengerAbilities3Scenario2326[[#This Row],[takes]]&gt;0,AvengerAbilities3Scenario2326[[#This Row],[wins]]/AvengerAbilities3Scenario2326[[#This Row],[takes]],0)</f>
        <v>0</v>
      </c>
      <c r="U55" s="18"/>
    </row>
    <row r="56" spans="12:21" x14ac:dyDescent="0.25">
      <c r="L56" s="20" t="s">
        <v>240</v>
      </c>
      <c r="M56" s="2">
        <f>COUNTIF(Scenario2[winner1-ability3],AvengerAbilities3Scenario2326[[#This Row],[ability]])+COUNTIF(Scenario2[loser1-ability3],AvengerAbilities3Scenario2326[[#This Row],[ability]])</f>
        <v>8</v>
      </c>
      <c r="N56" s="2">
        <f>COUNTIF(Scenario2[winner1-ability3],AvengerAbilities3Scenario2326[[#This Row],[ability]])</f>
        <v>1</v>
      </c>
      <c r="O56" s="12">
        <f>IF(SUM(AvengerAbilities3Scenario2326[[#This Row],[takes]]) &gt; 0,AvengerAbilities3Scenario2326[[#This Row],[takes]]/SUM(AvengerAbilities3Scenario2326[takes]),0)</f>
        <v>0.88888888888888884</v>
      </c>
      <c r="P56" s="12">
        <f>IF(AvengerAbilities3Scenario2326[[#This Row],[takes]]&gt;0,AvengerAbilities3Scenario2326[[#This Row],[wins]]/AvengerAbilities3Scenario2326[[#This Row],[takes]],0)</f>
        <v>0.125</v>
      </c>
      <c r="U56" s="18"/>
    </row>
    <row r="57" spans="12:21" x14ac:dyDescent="0.25">
      <c r="L57" s="23" t="s">
        <v>241</v>
      </c>
      <c r="M57" s="1">
        <f>COUNTIF(Scenario2[winner1-ability3],AvengerAbilities3Scenario2326[[#This Row],[ability]])+COUNTIF(Scenario2[loser1-ability3],AvengerAbilities3Scenario2326[[#This Row],[ability]])</f>
        <v>1</v>
      </c>
      <c r="N57" s="1">
        <f>COUNTIF(Scenario2[winner1-ability3],AvengerAbilities3Scenario2326[[#This Row],[ability]])</f>
        <v>1</v>
      </c>
      <c r="O57" s="15">
        <f>IF(SUM(AvengerAbilities3Scenario2326[[#This Row],[takes]]) &gt; 0,AvengerAbilities3Scenario2326[[#This Row],[takes]]/SUM(AvengerAbilities3Scenario2326[takes]),0)</f>
        <v>0.1111111111111111</v>
      </c>
      <c r="P57" s="15">
        <f>IF(AvengerAbilities3Scenario2326[[#This Row],[takes]]&gt;0,AvengerAbilities3Scenario2326[[#This Row],[wins]]/AvengerAbilities3Scenario2326[[#This Row],[takes]],0)</f>
        <v>1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242</v>
      </c>
      <c r="M60" s="2">
        <f>COUNTIF(Scenario2[winner1-ability4],AvengerAbilities4Scenario2327[[#This Row],[ability]])+COUNTIF(Scenario2[loser1-ability4],AvengerAbilities4Scenario2327[[#This Row],[ability]])</f>
        <v>1</v>
      </c>
      <c r="N60" s="2">
        <f>COUNTIF(Scenario2[winner1-ability4],AvengerAbilities4Scenario2327[[#This Row],[ability]])</f>
        <v>0</v>
      </c>
      <c r="O60" s="12">
        <f>IF(SUM(AvengerAbilities4Scenario2327[[#This Row],[takes]]) &gt; 0,AvengerAbilities4Scenario2327[[#This Row],[takes]]/SUM(AvengerAbilities4Scenario2327[takes]),0)</f>
        <v>0.14285714285714285</v>
      </c>
      <c r="P60" s="12">
        <f>IF(AvengerAbilities4Scenario2327[[#This Row],[takes]]&gt;0,AvengerAbilities4Scenario2327[[#This Row],[wins]]/AvengerAbilities4Scenario2327[[#This Row],[takes]],0)</f>
        <v>0</v>
      </c>
      <c r="U60" s="18"/>
    </row>
    <row r="61" spans="12:21" x14ac:dyDescent="0.25">
      <c r="L61" s="20" t="s">
        <v>243</v>
      </c>
      <c r="M61" s="2">
        <f>COUNTIF(Scenario2[winner1-ability4],AvengerAbilities4Scenario2327[[#This Row],[ability]])+COUNTIF(Scenario2[loser1-ability4],AvengerAbilities4Scenario2327[[#This Row],[ability]])</f>
        <v>5</v>
      </c>
      <c r="N61" s="2">
        <f>COUNTIF(Scenario2[winner1-ability4],AvengerAbilities4Scenario2327[[#This Row],[ability]])</f>
        <v>1</v>
      </c>
      <c r="O61" s="12">
        <f>IF(SUM(AvengerAbilities4Scenario2327[[#This Row],[takes]]) &gt; 0,AvengerAbilities4Scenario2327[[#This Row],[takes]]/SUM(AvengerAbilities4Scenario2327[takes]),0)</f>
        <v>0.7142857142857143</v>
      </c>
      <c r="P61" s="12">
        <f>IF(AvengerAbilities4Scenario2327[[#This Row],[takes]]&gt;0,AvengerAbilities4Scenario2327[[#This Row],[wins]]/AvengerAbilities4Scenario2327[[#This Row],[takes]],0)</f>
        <v>0.2</v>
      </c>
      <c r="U61" s="18"/>
    </row>
    <row r="62" spans="12:21" ht="15.75" thickBot="1" x14ac:dyDescent="0.3">
      <c r="L62" s="24" t="s">
        <v>244</v>
      </c>
      <c r="M62" s="25">
        <f>COUNTIF(Scenario2[winner1-ability4],AvengerAbilities4Scenario2327[[#This Row],[ability]])+COUNTIF(Scenario2[loser1-ability4],AvengerAbilities4Scenario2327[[#This Row],[ability]])</f>
        <v>1</v>
      </c>
      <c r="N62" s="25">
        <f>COUNTIF(Scenario2[winner1-ability4],AvengerAbilities4Scenario2327[[#This Row],[ability]])</f>
        <v>0</v>
      </c>
      <c r="O62" s="26">
        <f>IF(SUM(AvengerAbilities4Scenario2327[[#This Row],[takes]]) &gt; 0,AvengerAbilities4Scenario2327[[#This Row],[takes]]/SUM(AvengerAbilities4Scenario2327[takes]),0)</f>
        <v>0.14285714285714285</v>
      </c>
      <c r="P62" s="26">
        <f>IF(AvengerAbilities4Scenario2327[[#This Row],[takes]]&gt;0,AvengerAbilities4Scenario2327[[#This Row],[wins]]/AvengerAbilities4Scenario2327[[#This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245</v>
      </c>
      <c r="T65" t="s">
        <v>246</v>
      </c>
      <c r="U65" s="18" t="s">
        <v>164</v>
      </c>
    </row>
    <row r="66" spans="12:21" x14ac:dyDescent="0.25">
      <c r="L66" s="17" t="s">
        <v>233</v>
      </c>
      <c r="M66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0</v>
      </c>
      <c r="N66">
        <f>COUNTIF(Scenario3[winner1-ability1],AvengerAbilities1Scenario3330[[#This Row],[ability]])</f>
        <v>0</v>
      </c>
      <c r="O66" s="3">
        <f>IF(SUM(AvengerAbilities1Scenario3330[[#This Row],[takes]]) &gt; 0,AvengerAbilities1Scenario3330[[#This Row],[takes]]/SUM(AvengerAbilities1Scenario3330[takes]),0)</f>
        <v>0</v>
      </c>
      <c r="P66" s="3">
        <f>IF(AvengerAbilities1Scenario3330[[#This Row],[takes]]&gt;0,AvengerAbilities1Scenario3330[[#This Row],[wins]]/AvengerAbilities1Scenario3330[[#This Row],[takes]],0)</f>
        <v>0</v>
      </c>
      <c r="R66">
        <v>1</v>
      </c>
      <c r="S66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0</v>
      </c>
      <c r="T66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0</v>
      </c>
      <c r="U66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0</v>
      </c>
    </row>
    <row r="67" spans="12:21" x14ac:dyDescent="0.25">
      <c r="L67" s="17" t="s">
        <v>234</v>
      </c>
      <c r="M67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0</v>
      </c>
      <c r="N67">
        <f>COUNTIF(Scenario3[winner1-ability1],AvengerAbilities1Scenario3330[[#This Row],[ability]])</f>
        <v>0</v>
      </c>
      <c r="O67" s="3">
        <f>IF(SUM(AvengerAbilities1Scenario3330[[#This Row],[takes]]) &gt; 0,AvengerAbilities1Scenario3330[[#This Row],[takes]]/SUM(AvengerAbilities1Scenario3330[takes]),0)</f>
        <v>0</v>
      </c>
      <c r="P67" s="3">
        <f>IF(AvengerAbilities1Scenario3330[[#This Row],[takes]]&gt;0,AvengerAbilities1Scenario3330[[#This Row],[wins]]/AvengerAbilities1Scenario3330[[#This Row],[takes]],0)</f>
        <v>0</v>
      </c>
      <c r="R67">
        <v>2</v>
      </c>
      <c r="S67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0</v>
      </c>
      <c r="T67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0</v>
      </c>
      <c r="U67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0</v>
      </c>
    </row>
    <row r="68" spans="12:21" x14ac:dyDescent="0.25">
      <c r="L68" s="17" t="s">
        <v>235</v>
      </c>
      <c r="M68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0</v>
      </c>
      <c r="N68">
        <f>COUNTIF(Scenario3[winner1-ability1],AvengerAbilities1Scenario3330[[#This Row],[ability]])</f>
        <v>0</v>
      </c>
      <c r="O68" s="3">
        <f>IF(SUM(AvengerAbilities1Scenario3330[[#This Row],[takes]]) &gt; 0,AvengerAbilities1Scenario3330[[#This Row],[takes]]/SUM(AvengerAbilities1Scenario3330[takes]),0)</f>
        <v>0</v>
      </c>
      <c r="P68" s="3">
        <f>IF(AvengerAbilities1Scenario3330[[#This Row],[takes]]&gt;0,AvengerAbilities1Scenario3330[[#This Row],[wins]]/AvengerAbilities1Scenario3330[[#This Row],[takes]],0)</f>
        <v>0</v>
      </c>
      <c r="R68">
        <v>3</v>
      </c>
      <c r="S68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0</v>
      </c>
      <c r="T68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0</v>
      </c>
      <c r="U68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236</v>
      </c>
      <c r="M71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0</v>
      </c>
      <c r="N71" s="2">
        <f>COUNTIF(Scenario3[winner1-ability2],AvengerAbilities2Scenario3331[[#This Row],[ability]])</f>
        <v>0</v>
      </c>
      <c r="O71" s="12">
        <f>IF(SUM(AvengerAbilities2Scenario3331[[#This Row],[takes]]) &gt; 0,AvengerAbilities2Scenario3331[[#This Row],[takes]]/SUM(AvengerAbilities2Scenario3331[takes]),0)</f>
        <v>0</v>
      </c>
      <c r="P71" s="12">
        <f>IF(AvengerAbilities2Scenario3331[[#This Row],[takes]]&gt;0,AvengerAbilities2Scenario3331[[#This Row],[wins]]/AvengerAbilities2Scenario3331[[#This Row],[takes]],0)</f>
        <v>0</v>
      </c>
      <c r="U71" s="18"/>
    </row>
    <row r="72" spans="12:21" x14ac:dyDescent="0.25">
      <c r="L72" s="17" t="s">
        <v>237</v>
      </c>
      <c r="M72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0</v>
      </c>
      <c r="N72" s="2">
        <f>COUNTIF(Scenario3[winner1-ability2],AvengerAbilities2Scenario3331[[#This Row],[ability]])</f>
        <v>0</v>
      </c>
      <c r="O72" s="3">
        <f>IF(SUM(AvengerAbilities2Scenario3331[[#This Row],[takes]]) &gt; 0,AvengerAbilities2Scenario3331[[#This Row],[takes]]/SUM(AvengerAbilities2Scenario3331[takes]),0)</f>
        <v>0</v>
      </c>
      <c r="P72" s="3">
        <f>IF(AvengerAbilities2Scenario3331[[#This Row],[takes]]&gt;0,AvengerAbilities2Scenario3331[[#This Row],[wins]]/AvengerAbilities2Scenario3331[[#This Row],[takes]],0)</f>
        <v>0</v>
      </c>
      <c r="U72" s="18"/>
    </row>
    <row r="73" spans="12:21" x14ac:dyDescent="0.25">
      <c r="L73" s="21" t="s">
        <v>238</v>
      </c>
      <c r="M73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0</v>
      </c>
      <c r="N73" s="2">
        <f>COUNTIF(Scenario3[winner1-ability2],AvengerAbilities2Scenario3331[[#This Row],[ability]])</f>
        <v>0</v>
      </c>
      <c r="O73" s="13">
        <f>IF(SUM(AvengerAbilities2Scenario3331[[#This Row],[takes]]) &gt; 0,AvengerAbilities2Scenario3331[[#This Row],[takes]]/SUM(AvengerAbilities2Scenario3331[takes]),0)</f>
        <v>0</v>
      </c>
      <c r="P73" s="13">
        <f>IF(AvengerAbilities2Scenario3331[[#This Row],[takes]]&gt;0,AvengerAbilities2Scenario3331[[#This Row],[wins]]/AvengerAbilities2Scenario3331[[#This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239</v>
      </c>
      <c r="M76" s="1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6" s="1">
        <f>COUNTIF(Scenario3[winner1-ability3],AvengerAbilities3Scenario3332[[#This Row],[ability]])</f>
        <v>0</v>
      </c>
      <c r="O76" s="14">
        <f>IF(SUM(AvengerAbilities3Scenario3332[[#This Row],[takes]]) &gt; 0,AvengerAbilities3Scenario3332[[#This Row],[takes]]/SUM(AvengerAbilities3Scenario3332[takes]),0)</f>
        <v>0</v>
      </c>
      <c r="P76" s="14">
        <f>IF(AvengerAbilities3Scenario3332[[#This Row],[takes]]&gt;0,AvengerAbilities3Scenario3332[[#This Row],[wins]]/AvengerAbilities3Scenario3332[[#This Row],[takes]],0)</f>
        <v>0</v>
      </c>
      <c r="U76" s="18"/>
    </row>
    <row r="77" spans="12:21" x14ac:dyDescent="0.25">
      <c r="L77" s="20" t="s">
        <v>240</v>
      </c>
      <c r="M77" s="2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7" s="2">
        <f>COUNTIF(Scenario3[winner1-ability3],AvengerAbilities3Scenario3332[[#This Row],[ability]])</f>
        <v>0</v>
      </c>
      <c r="O77" s="12">
        <f>IF(SUM(AvengerAbilities3Scenario3332[[#This Row],[takes]]) &gt; 0,AvengerAbilities3Scenario3332[[#This Row],[takes]]/SUM(AvengerAbilities3Scenario3332[takes]),0)</f>
        <v>0</v>
      </c>
      <c r="P77" s="12">
        <f>IF(AvengerAbilities3Scenario3332[[#This Row],[takes]]&gt;0,AvengerAbilities3Scenario3332[[#This Row],[wins]]/AvengerAbilities3Scenario3332[[#This Row],[takes]],0)</f>
        <v>0</v>
      </c>
      <c r="U77" s="18"/>
    </row>
    <row r="78" spans="12:21" x14ac:dyDescent="0.25">
      <c r="L78" s="23" t="s">
        <v>241</v>
      </c>
      <c r="M78" s="1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8" s="1">
        <f>COUNTIF(Scenario3[winner1-ability3],AvengerAbilities3Scenario3332[[#This Row],[ability]])</f>
        <v>0</v>
      </c>
      <c r="O78" s="15">
        <f>IF(SUM(AvengerAbilities3Scenario3332[[#This Row],[takes]]) &gt; 0,AvengerAbilities3Scenario3332[[#This Row],[takes]]/SUM(AvengerAbilities3Scenario3332[takes]),0)</f>
        <v>0</v>
      </c>
      <c r="P78" s="15">
        <f>IF(AvengerAbilities3Scenario3332[[#This Row],[takes]]&gt;0,AvengerAbilities3Scenario3332[[#This Row],[wins]]/AvengerAbilities3Scenario3332[[#This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242</v>
      </c>
      <c r="M81" s="2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0</v>
      </c>
      <c r="N81" s="2">
        <f>COUNTIF(Scenario3[winner1-ability4],AvengerAbilities4Scenario3333[[#This Row],[ability]])</f>
        <v>0</v>
      </c>
      <c r="O81" s="12">
        <f>IF(SUM(AvengerAbilities4Scenario3333[[#This Row],[takes]]) &gt; 0,AvengerAbilities4Scenario3333[[#This Row],[takes]]/SUM(AvengerAbilities4Scenario3333[takes]),0)</f>
        <v>0</v>
      </c>
      <c r="P81" s="12">
        <f>IF(AvengerAbilities4Scenario3333[[#This Row],[takes]]&gt;0,AvengerAbilities4Scenario3333[[#This Row],[wins]]/AvengerAbilities4Scenario3333[[#This Row],[takes]],0)</f>
        <v>0</v>
      </c>
      <c r="U81" s="18"/>
    </row>
    <row r="82" spans="12:21" x14ac:dyDescent="0.25">
      <c r="L82" s="20" t="s">
        <v>243</v>
      </c>
      <c r="M82" s="2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0</v>
      </c>
      <c r="N82" s="2">
        <f>COUNTIF(Scenario3[winner1-ability4],AvengerAbilities4Scenario3333[[#This Row],[ability]])</f>
        <v>0</v>
      </c>
      <c r="O82" s="12">
        <f>IF(SUM(AvengerAbilities4Scenario3333[[#This Row],[takes]]) &gt; 0,AvengerAbilities4Scenario3333[[#This Row],[takes]]/SUM(AvengerAbilities4Scenario3333[takes]),0)</f>
        <v>0</v>
      </c>
      <c r="P82" s="12">
        <f>IF(AvengerAbilities4Scenario3333[[#This Row],[takes]]&gt;0,AvengerAbilities4Scenario3333[[#This Row],[wins]]/AvengerAbilities4Scenario3333[[#This Row],[takes]],0)</f>
        <v>0</v>
      </c>
      <c r="U82" s="18"/>
    </row>
    <row r="83" spans="12:21" ht="15.75" thickBot="1" x14ac:dyDescent="0.3">
      <c r="L83" s="24" t="s">
        <v>244</v>
      </c>
      <c r="M83" s="25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0</v>
      </c>
      <c r="N83" s="25">
        <f>COUNTIF(Scenario3[winner1-ability4],AvengerAbilities4Scenario3333[[#This Row],[ability]])</f>
        <v>0</v>
      </c>
      <c r="O83" s="26">
        <f>IF(SUM(AvengerAbilities4Scenario3333[[#This Row],[takes]]) &gt; 0,AvengerAbilities4Scenario3333[[#This Row],[takes]]/SUM(AvengerAbilities4Scenario3333[takes]),0)</f>
        <v>0</v>
      </c>
      <c r="P83" s="26">
        <f>IF(AvengerAbilities4Scenario3333[[#This Row],[takes]]&gt;0,AvengerAbilities4Scenario3333[[#This Row],[wins]]/AvengerAbilities4Scenario3333[[#This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245</v>
      </c>
      <c r="T86" t="s">
        <v>246</v>
      </c>
      <c r="U86" s="18" t="s">
        <v>164</v>
      </c>
    </row>
    <row r="87" spans="12:21" x14ac:dyDescent="0.25">
      <c r="L87" s="17" t="s">
        <v>233</v>
      </c>
      <c r="M87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0</v>
      </c>
      <c r="N87">
        <f>COUNTIF(Scenario4[winner1-ability1],AvengerAbilities1Scenario4335[[#This Row],[ability]])</f>
        <v>0</v>
      </c>
      <c r="O87" s="3">
        <f>IF(SUM(AvengerAbilities1Scenario4335[[#This Row],[takes]]) &gt; 0,AvengerAbilities1Scenario4335[[#This Row],[takes]]/SUM(AvengerAbilities1Scenario4335[takes]),0)</f>
        <v>0</v>
      </c>
      <c r="P87" s="3">
        <f>IF(AvengerAbilities1Scenario4335[[#This Row],[takes]]&gt;0,AvengerAbilities1Scenario4335[[#This Row],[wins]]/AvengerAbilities1Scenario4335[[#This Row],[takes]],0)</f>
        <v>0</v>
      </c>
      <c r="R87">
        <v>1</v>
      </c>
      <c r="S87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0</v>
      </c>
      <c r="T87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0</v>
      </c>
      <c r="U87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0</v>
      </c>
    </row>
    <row r="88" spans="12:21" x14ac:dyDescent="0.25">
      <c r="L88" s="17" t="s">
        <v>234</v>
      </c>
      <c r="M88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0</v>
      </c>
      <c r="N88">
        <f>COUNTIF(Scenario4[winner1-ability1],AvengerAbilities1Scenario4335[[#This Row],[ability]])</f>
        <v>0</v>
      </c>
      <c r="O88" s="3">
        <f>IF(SUM(AvengerAbilities1Scenario4335[[#This Row],[takes]]) &gt; 0,AvengerAbilities1Scenario4335[[#This Row],[takes]]/SUM(AvengerAbilities1Scenario4335[takes]),0)</f>
        <v>0</v>
      </c>
      <c r="P88" s="3">
        <f>IF(AvengerAbilities1Scenario4335[[#This Row],[takes]]&gt;0,AvengerAbilities1Scenario4335[[#This Row],[wins]]/AvengerAbilities1Scenario4335[[#This Row],[takes]],0)</f>
        <v>0</v>
      </c>
      <c r="R88">
        <v>2</v>
      </c>
      <c r="S88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0</v>
      </c>
      <c r="T88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0</v>
      </c>
      <c r="U88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0</v>
      </c>
    </row>
    <row r="89" spans="12:21" x14ac:dyDescent="0.25">
      <c r="L89" s="17" t="s">
        <v>235</v>
      </c>
      <c r="M89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0</v>
      </c>
      <c r="N89">
        <f>COUNTIF(Scenario4[winner1-ability1],AvengerAbilities1Scenario4335[[#This Row],[ability]])</f>
        <v>0</v>
      </c>
      <c r="O89" s="3">
        <f>IF(SUM(AvengerAbilities1Scenario4335[[#This Row],[takes]]) &gt; 0,AvengerAbilities1Scenario4335[[#This Row],[takes]]/SUM(AvengerAbilities1Scenario4335[takes]),0)</f>
        <v>0</v>
      </c>
      <c r="P89" s="3">
        <f>IF(AvengerAbilities1Scenario4335[[#This Row],[takes]]&gt;0,AvengerAbilities1Scenario4335[[#This Row],[wins]]/AvengerAbilities1Scenario4335[[#This Row],[takes]],0)</f>
        <v>0</v>
      </c>
      <c r="R89">
        <v>3</v>
      </c>
      <c r="S89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0</v>
      </c>
      <c r="T89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0</v>
      </c>
      <c r="U89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0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236</v>
      </c>
      <c r="M92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0</v>
      </c>
      <c r="N92" s="2">
        <f>COUNTIF(Scenario4[winner1-ability2],AvengerAbilities2Scenario4336[[#This Row],[ability]])</f>
        <v>0</v>
      </c>
      <c r="O92" s="12">
        <f>IF(SUM(AvengerAbilities2Scenario4336[[#This Row],[takes]]) &gt; 0,AvengerAbilities2Scenario4336[[#This Row],[takes]]/SUM(AvengerAbilities2Scenario4336[takes]),0)</f>
        <v>0</v>
      </c>
      <c r="P92" s="12">
        <f>IF(AvengerAbilities2Scenario4336[[#This Row],[takes]]&gt;0,AvengerAbilities2Scenario4336[[#This Row],[wins]]/AvengerAbilities2Scenario4336[[#This Row],[takes]],0)</f>
        <v>0</v>
      </c>
      <c r="U92" s="18"/>
    </row>
    <row r="93" spans="12:21" x14ac:dyDescent="0.25">
      <c r="L93" s="17" t="s">
        <v>237</v>
      </c>
      <c r="M93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0</v>
      </c>
      <c r="N93" s="2">
        <f>COUNTIF(Scenario4[winner1-ability2],AvengerAbilities2Scenario4336[[#This Row],[ability]])</f>
        <v>0</v>
      </c>
      <c r="O93" s="3">
        <f>IF(SUM(AvengerAbilities2Scenario4336[[#This Row],[takes]]) &gt; 0,AvengerAbilities2Scenario4336[[#This Row],[takes]]/SUM(AvengerAbilities2Scenario4336[takes]),0)</f>
        <v>0</v>
      </c>
      <c r="P93" s="3">
        <f>IF(AvengerAbilities2Scenario4336[[#This Row],[takes]]&gt;0,AvengerAbilities2Scenario4336[[#This Row],[wins]]/AvengerAbilities2Scenario4336[[#This Row],[takes]],0)</f>
        <v>0</v>
      </c>
      <c r="U93" s="18"/>
    </row>
    <row r="94" spans="12:21" x14ac:dyDescent="0.25">
      <c r="L94" s="21" t="s">
        <v>238</v>
      </c>
      <c r="M94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0</v>
      </c>
      <c r="N94" s="2">
        <f>COUNTIF(Scenario4[winner1-ability2],AvengerAbilities2Scenario4336[[#This Row],[ability]])</f>
        <v>0</v>
      </c>
      <c r="O94" s="13">
        <f>IF(SUM(AvengerAbilities2Scenario4336[[#This Row],[takes]]) &gt; 0,AvengerAbilities2Scenario4336[[#This Row],[takes]]/SUM(AvengerAbilities2Scenario4336[takes]),0)</f>
        <v>0</v>
      </c>
      <c r="P94" s="13">
        <f>IF(AvengerAbilities2Scenario4336[[#This Row],[takes]]&gt;0,AvengerAbilities2Scenario4336[[#This Row],[wins]]/AvengerAbilities2Scenario4336[[#This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239</v>
      </c>
      <c r="M97" s="1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0</v>
      </c>
      <c r="N97" s="1">
        <f>COUNTIF(Scenario4[winner1-ability3],AvengerAbilities3Scenario4337[[#This Row],[ability]])</f>
        <v>0</v>
      </c>
      <c r="O97" s="14">
        <f>IF(SUM(AvengerAbilities3Scenario4337[[#This Row],[takes]]) &gt; 0,AvengerAbilities3Scenario4337[[#This Row],[takes]]/SUM(AvengerAbilities3Scenario4337[takes]),0)</f>
        <v>0</v>
      </c>
      <c r="P97" s="14">
        <f>IF(AvengerAbilities3Scenario4337[[#This Row],[takes]]&gt;0,AvengerAbilities3Scenario4337[[#This Row],[wins]]/AvengerAbilities3Scenario4337[[#This Row],[takes]],0)</f>
        <v>0</v>
      </c>
      <c r="U97" s="18"/>
    </row>
    <row r="98" spans="12:21" x14ac:dyDescent="0.25">
      <c r="L98" s="20" t="s">
        <v>240</v>
      </c>
      <c r="M98" s="2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0</v>
      </c>
      <c r="N98" s="2">
        <f>COUNTIF(Scenario4[winner1-ability3],AvengerAbilities3Scenario4337[[#This Row],[ability]])</f>
        <v>0</v>
      </c>
      <c r="O98" s="12">
        <f>IF(SUM(AvengerAbilities3Scenario4337[[#This Row],[takes]]) &gt; 0,AvengerAbilities3Scenario4337[[#This Row],[takes]]/SUM(AvengerAbilities3Scenario4337[takes]),0)</f>
        <v>0</v>
      </c>
      <c r="P98" s="12">
        <f>IF(AvengerAbilities3Scenario4337[[#This Row],[takes]]&gt;0,AvengerAbilities3Scenario4337[[#This Row],[wins]]/AvengerAbilities3Scenario4337[[#This Row],[takes]],0)</f>
        <v>0</v>
      </c>
      <c r="U98" s="18"/>
    </row>
    <row r="99" spans="12:21" x14ac:dyDescent="0.25">
      <c r="L99" s="23" t="s">
        <v>241</v>
      </c>
      <c r="M99" s="1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0</v>
      </c>
      <c r="N99" s="1">
        <f>COUNTIF(Scenario4[winner1-ability3],AvengerAbilities3Scenario4337[[#This Row],[ability]])</f>
        <v>0</v>
      </c>
      <c r="O99" s="15">
        <f>IF(SUM(AvengerAbilities3Scenario4337[[#This Row],[takes]]) &gt; 0,AvengerAbilities3Scenario4337[[#This Row],[takes]]/SUM(AvengerAbilities3Scenario4337[takes]),0)</f>
        <v>0</v>
      </c>
      <c r="P99" s="15">
        <f>IF(AvengerAbilities3Scenario4337[[#This Row],[takes]]&gt;0,AvengerAbilities3Scenario4337[[#This Row],[wins]]/AvengerAbilities3Scenario4337[[#This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242</v>
      </c>
      <c r="M102" s="2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0</v>
      </c>
      <c r="N102" s="2">
        <f>COUNTIF(Scenario4[winner1-ability4],AvengerAbilities4Scenario4338[[#This Row],[ability]])</f>
        <v>0</v>
      </c>
      <c r="O102" s="12">
        <f>IF(SUM(AvengerAbilities4Scenario4338[[#This Row],[takes]]) &gt; 0,AvengerAbilities4Scenario4338[[#This Row],[takes]]/SUM(AvengerAbilities4Scenario4338[takes]),0)</f>
        <v>0</v>
      </c>
      <c r="P102" s="12">
        <f>IF(AvengerAbilities4Scenario4338[[#This Row],[takes]]&gt;0,AvengerAbilities4Scenario4338[[#This Row],[wins]]/AvengerAbilities4Scenario4338[[#This Row],[takes]],0)</f>
        <v>0</v>
      </c>
      <c r="U102" s="18"/>
    </row>
    <row r="103" spans="12:21" x14ac:dyDescent="0.25">
      <c r="L103" s="20" t="s">
        <v>243</v>
      </c>
      <c r="M103" s="2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0</v>
      </c>
      <c r="N103" s="2">
        <f>COUNTIF(Scenario4[winner1-ability4],AvengerAbilities4Scenario4338[[#This Row],[ability]])</f>
        <v>0</v>
      </c>
      <c r="O103" s="12">
        <f>IF(SUM(AvengerAbilities4Scenario4338[[#This Row],[takes]]) &gt; 0,AvengerAbilities4Scenario4338[[#This Row],[takes]]/SUM(AvengerAbilities4Scenario4338[takes]),0)</f>
        <v>0</v>
      </c>
      <c r="P103" s="12">
        <f>IF(AvengerAbilities4Scenario4338[[#This Row],[takes]]&gt;0,AvengerAbilities4Scenario4338[[#This Row],[wins]]/AvengerAbilities4Scenario4338[[#This Row],[takes]],0)</f>
        <v>0</v>
      </c>
      <c r="U103" s="18"/>
    </row>
    <row r="104" spans="12:21" ht="15.75" thickBot="1" x14ac:dyDescent="0.3">
      <c r="L104" s="24" t="s">
        <v>244</v>
      </c>
      <c r="M104" s="25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0</v>
      </c>
      <c r="N104" s="25">
        <f>COUNTIF(Scenario4[winner1-ability4],AvengerAbilities4Scenario4338[[#This Row],[ability]])</f>
        <v>0</v>
      </c>
      <c r="O104" s="26">
        <f>IF(SUM(AvengerAbilities4Scenario4338[[#This Row],[takes]]) &gt; 0,AvengerAbilities4Scenario4338[[#This Row],[takes]]/SUM(AvengerAbilities4Scenario4338[takes]),0)</f>
        <v>0</v>
      </c>
      <c r="P104" s="26">
        <f>IF(AvengerAbilities4Scenario4338[[#This Row],[takes]]&gt;0,AvengerAbilities4Scenario4338[[#This Row],[wins]]/AvengerAbilities4Scenario4338[[#This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245</v>
      </c>
      <c r="T107" t="s">
        <v>246</v>
      </c>
      <c r="U107" s="18" t="s">
        <v>164</v>
      </c>
    </row>
    <row r="108" spans="12:21" x14ac:dyDescent="0.25">
      <c r="L108" s="17" t="s">
        <v>233</v>
      </c>
      <c r="M108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0</v>
      </c>
      <c r="N108">
        <f>COUNTIF(Scenario5[winner1-ability1],AvengerAbilities1Scenario5340[[#This Row],[ability]])+COUNTIF(Scenario5[winner2-ability1],AvengerAbilities1Scenario5340[[#This Row],[ability]])</f>
        <v>0</v>
      </c>
      <c r="O108" s="3">
        <f>IF(SUM(AvengerAbilities1Scenario5340[[#This Row],[takes]]) &gt; 0,AvengerAbilities1Scenario5340[[#This Row],[takes]]/SUM(AvengerAbilities1Scenario5340[takes]),0)</f>
        <v>0</v>
      </c>
      <c r="P108" s="3">
        <f>IF(AvengerAbilities1Scenario5340[[#This Row],[takes]]&gt;0,AvengerAbilities1Scenario5340[[#This Row],[wins]]/AvengerAbilities1Scenario5340[[#This Row],[takes]],0)</f>
        <v>0</v>
      </c>
      <c r="R108">
        <v>1</v>
      </c>
      <c r="S108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0</v>
      </c>
      <c r="T108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0</v>
      </c>
      <c r="U108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0</v>
      </c>
    </row>
    <row r="109" spans="12:21" x14ac:dyDescent="0.25">
      <c r="L109" s="17" t="s">
        <v>234</v>
      </c>
      <c r="M109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0</v>
      </c>
      <c r="N109">
        <f>COUNTIF(Scenario5[winner1-ability1],AvengerAbilities1Scenario5340[[#This Row],[ability]])+COUNTIF(Scenario5[winner2-ability1],AvengerAbilities1Scenario5340[[#This Row],[ability]])</f>
        <v>0</v>
      </c>
      <c r="O109" s="3">
        <f>IF(SUM(AvengerAbilities1Scenario5340[[#This Row],[takes]]) &gt; 0,AvengerAbilities1Scenario5340[[#This Row],[takes]]/SUM(AvengerAbilities1Scenario5340[takes]),0)</f>
        <v>0</v>
      </c>
      <c r="P109" s="3">
        <f>IF(AvengerAbilities1Scenario5340[[#This Row],[takes]]&gt;0,AvengerAbilities1Scenario5340[[#This Row],[wins]]/AvengerAbilities1Scenario5340[[#This Row],[takes]],0)</f>
        <v>0</v>
      </c>
      <c r="R109">
        <v>2</v>
      </c>
      <c r="S109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0</v>
      </c>
      <c r="T109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0</v>
      </c>
      <c r="U109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0</v>
      </c>
    </row>
    <row r="110" spans="12:21" x14ac:dyDescent="0.25">
      <c r="L110" s="17" t="s">
        <v>235</v>
      </c>
      <c r="M110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0</v>
      </c>
      <c r="N110">
        <f>COUNTIF(Scenario5[winner1-ability1],AvengerAbilities1Scenario5340[[#This Row],[ability]])+COUNTIF(Scenario5[winner2-ability1],AvengerAbilities1Scenario5340[[#This Row],[ability]])</f>
        <v>0</v>
      </c>
      <c r="O110" s="3">
        <f>IF(SUM(AvengerAbilities1Scenario5340[[#This Row],[takes]]) &gt; 0,AvengerAbilities1Scenario5340[[#This Row],[takes]]/SUM(AvengerAbilities1Scenario5340[takes]),0)</f>
        <v>0</v>
      </c>
      <c r="P110" s="3">
        <f>IF(AvengerAbilities1Scenario5340[[#This Row],[takes]]&gt;0,AvengerAbilities1Scenario5340[[#This Row],[wins]]/AvengerAbilities1Scenario5340[[#This Row],[takes]],0)</f>
        <v>0</v>
      </c>
      <c r="R110">
        <v>3</v>
      </c>
      <c r="S110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0</v>
      </c>
      <c r="T110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0</v>
      </c>
      <c r="U110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0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236</v>
      </c>
      <c r="M113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0</v>
      </c>
      <c r="N113" s="2">
        <f>COUNTIF(Scenario5[winner1-ability2],AvengerAbilities2Scenario5341[[#This Row],[ability]])+COUNTIF(Scenario5[winner2-ability2],AvengerAbilities2Scenario5341[[#This Row],[ability]])</f>
        <v>0</v>
      </c>
      <c r="O113" s="12">
        <f>IF(SUM(AvengerAbilities2Scenario5341[[#This Row],[takes]]) &gt; 0,AvengerAbilities2Scenario5341[[#This Row],[takes]]/SUM(AvengerAbilities2Scenario5341[takes]),0)</f>
        <v>0</v>
      </c>
      <c r="P113" s="12">
        <f>IF(AvengerAbilities2Scenario5341[[#This Row],[takes]]&gt;0,AvengerAbilities2Scenario5341[[#This Row],[wins]]/AvengerAbilities2Scenario5341[[#This Row],[takes]],0)</f>
        <v>0</v>
      </c>
      <c r="U113" s="18"/>
    </row>
    <row r="114" spans="12:21" x14ac:dyDescent="0.25">
      <c r="L114" s="17" t="s">
        <v>237</v>
      </c>
      <c r="M114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0</v>
      </c>
      <c r="N114" s="2">
        <f>COUNTIF(Scenario5[winner1-ability2],AvengerAbilities2Scenario5341[[#This Row],[ability]])+COUNTIF(Scenario5[winner2-ability2],AvengerAbilities2Scenario5341[[#This Row],[ability]])</f>
        <v>0</v>
      </c>
      <c r="O114" s="3">
        <f>IF(SUM(AvengerAbilities2Scenario5341[[#This Row],[takes]]) &gt; 0,AvengerAbilities2Scenario5341[[#This Row],[takes]]/SUM(AvengerAbilities2Scenario5341[takes]),0)</f>
        <v>0</v>
      </c>
      <c r="P114" s="3">
        <f>IF(AvengerAbilities2Scenario5341[[#This Row],[takes]]&gt;0,AvengerAbilities2Scenario5341[[#This Row],[wins]]/AvengerAbilities2Scenario5341[[#This Row],[takes]],0)</f>
        <v>0</v>
      </c>
      <c r="U114" s="18"/>
    </row>
    <row r="115" spans="12:21" x14ac:dyDescent="0.25">
      <c r="L115" s="21" t="s">
        <v>238</v>
      </c>
      <c r="M115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0</v>
      </c>
      <c r="N115" s="2">
        <f>COUNTIF(Scenario5[winner1-ability2],AvengerAbilities2Scenario5341[[#This Row],[ability]])+COUNTIF(Scenario5[winner2-ability2],AvengerAbilities2Scenario5341[[#This Row],[ability]])</f>
        <v>0</v>
      </c>
      <c r="O115" s="13">
        <f>IF(SUM(AvengerAbilities2Scenario5341[[#This Row],[takes]]) &gt; 0,AvengerAbilities2Scenario5341[[#This Row],[takes]]/SUM(AvengerAbilities2Scenario5341[takes]),0)</f>
        <v>0</v>
      </c>
      <c r="P115" s="13">
        <f>IF(AvengerAbilities2Scenario5341[[#This Row],[takes]]&gt;0,AvengerAbilities2Scenario5341[[#This Row],[wins]]/AvengerAbilities2Scenario5341[[#This Row],[takes]],0)</f>
        <v>0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239</v>
      </c>
      <c r="M118" s="1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0</v>
      </c>
      <c r="N118" s="1">
        <f>COUNTIF(Scenario5[winner1-ability3],AvengerAbilities3Scenario5342[[#This Row],[ability]])+COUNTIF(Scenario5[winner2-ability3],AvengerAbilities3Scenario5342[[#This Row],[ability]])</f>
        <v>0</v>
      </c>
      <c r="O118" s="14">
        <f>IF(SUM(AvengerAbilities3Scenario5342[[#This Row],[takes]]) &gt; 0,AvengerAbilities3Scenario5342[[#This Row],[takes]]/SUM(AvengerAbilities3Scenario5342[takes]),0)</f>
        <v>0</v>
      </c>
      <c r="P118" s="14">
        <f>IF(AvengerAbilities3Scenario5342[[#This Row],[takes]]&gt;0,AvengerAbilities3Scenario5342[[#This Row],[wins]]/AvengerAbilities3Scenario5342[[#This Row],[takes]],0)</f>
        <v>0</v>
      </c>
      <c r="U118" s="18"/>
    </row>
    <row r="119" spans="12:21" x14ac:dyDescent="0.25">
      <c r="L119" s="20" t="s">
        <v>240</v>
      </c>
      <c r="M119" s="2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0</v>
      </c>
      <c r="N119" s="2">
        <f>COUNTIF(Scenario5[winner1-ability3],AvengerAbilities3Scenario5342[[#This Row],[ability]])+COUNTIF(Scenario5[winner2-ability3],AvengerAbilities3Scenario5342[[#This Row],[ability]])</f>
        <v>0</v>
      </c>
      <c r="O119" s="12">
        <f>IF(SUM(AvengerAbilities3Scenario5342[[#This Row],[takes]]) &gt; 0,AvengerAbilities3Scenario5342[[#This Row],[takes]]/SUM(AvengerAbilities3Scenario5342[takes]),0)</f>
        <v>0</v>
      </c>
      <c r="P119" s="12">
        <f>IF(AvengerAbilities3Scenario5342[[#This Row],[takes]]&gt;0,AvengerAbilities3Scenario5342[[#This Row],[wins]]/AvengerAbilities3Scenario5342[[#This Row],[takes]],0)</f>
        <v>0</v>
      </c>
      <c r="U119" s="18"/>
    </row>
    <row r="120" spans="12:21" x14ac:dyDescent="0.25">
      <c r="L120" s="23" t="s">
        <v>241</v>
      </c>
      <c r="M120" s="1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0</v>
      </c>
      <c r="N120" s="1">
        <f>COUNTIF(Scenario5[winner1-ability3],AvengerAbilities3Scenario5342[[#This Row],[ability]])+COUNTIF(Scenario5[winner2-ability3],AvengerAbilities3Scenario5342[[#This Row],[ability]])</f>
        <v>0</v>
      </c>
      <c r="O120" s="15">
        <f>IF(SUM(AvengerAbilities3Scenario5342[[#This Row],[takes]]) &gt; 0,AvengerAbilities3Scenario5342[[#This Row],[takes]]/SUM(AvengerAbilities3Scenario5342[takes]),0)</f>
        <v>0</v>
      </c>
      <c r="P120" s="15">
        <f>IF(AvengerAbilities3Scenario5342[[#This Row],[takes]]&gt;0,AvengerAbilities3Scenario5342[[#This Row],[wins]]/AvengerAbilities3Scenario5342[[#This Row],[takes]],0)</f>
        <v>0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242</v>
      </c>
      <c r="M123" s="2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0</v>
      </c>
      <c r="N123" s="2">
        <f>COUNTIF(Scenario5[winner1-ability4],AvengerAbilities4Scenario5343[[#This Row],[ability]])+COUNTIF(Scenario5[winner2-ability4],AvengerAbilities4Scenario5343[[#This Row],[ability]])</f>
        <v>0</v>
      </c>
      <c r="O123" s="12">
        <f>IF(SUM(AvengerAbilities4Scenario5343[[#This Row],[takes]]) &gt; 0,AvengerAbilities4Scenario5343[[#This Row],[takes]]/SUM(AvengerAbilities4Scenario5343[takes]),0)</f>
        <v>0</v>
      </c>
      <c r="P123" s="12">
        <f>IF(AvengerAbilities4Scenario5343[[#This Row],[takes]]&gt;0,AvengerAbilities4Scenario5343[[#This Row],[wins]]/AvengerAbilities4Scenario5343[[#This Row],[takes]],0)</f>
        <v>0</v>
      </c>
      <c r="U123" s="18"/>
    </row>
    <row r="124" spans="12:21" x14ac:dyDescent="0.25">
      <c r="L124" s="20" t="s">
        <v>243</v>
      </c>
      <c r="M124" s="2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0</v>
      </c>
      <c r="N124" s="2">
        <f>COUNTIF(Scenario5[winner1-ability4],AvengerAbilities4Scenario5343[[#This Row],[ability]])+COUNTIF(Scenario5[winner2-ability4],AvengerAbilities4Scenario5343[[#This Row],[ability]])</f>
        <v>0</v>
      </c>
      <c r="O124" s="12">
        <f>IF(SUM(AvengerAbilities4Scenario5343[[#This Row],[takes]]) &gt; 0,AvengerAbilities4Scenario5343[[#This Row],[takes]]/SUM(AvengerAbilities4Scenario5343[takes]),0)</f>
        <v>0</v>
      </c>
      <c r="P124" s="12">
        <f>IF(AvengerAbilities4Scenario5343[[#This Row],[takes]]&gt;0,AvengerAbilities4Scenario5343[[#This Row],[wins]]/AvengerAbilities4Scenario5343[[#This Row],[takes]],0)</f>
        <v>0</v>
      </c>
      <c r="U124" s="18"/>
    </row>
    <row r="125" spans="12:21" ht="15.75" thickBot="1" x14ac:dyDescent="0.3">
      <c r="L125" s="24" t="s">
        <v>244</v>
      </c>
      <c r="M125" s="25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0</v>
      </c>
      <c r="N125" s="25">
        <f>COUNTIF(Scenario5[winner1-ability4],AvengerAbilities4Scenario5343[[#This Row],[ability]])+COUNTIF(Scenario5[winner2-ability4],AvengerAbilities4Scenario5343[[#This Row],[ability]])</f>
        <v>0</v>
      </c>
      <c r="O125" s="26">
        <f>IF(SUM(AvengerAbilities4Scenario5343[[#This Row],[takes]]) &gt; 0,AvengerAbilities4Scenario5343[[#This Row],[takes]]/SUM(AvengerAbilities4Scenario5343[takes]),0)</f>
        <v>0</v>
      </c>
      <c r="P125" s="26">
        <f>IF(AvengerAbilities4Scenario5343[[#This Row],[takes]]&gt;0,AvengerAbilities4Scenario5343[[#This Row],[wins]]/AvengerAbilities4Scenario5343[[#This Row],[takes]],0)</f>
        <v>0</v>
      </c>
      <c r="Q125" s="27"/>
      <c r="R125" s="27"/>
      <c r="S125" s="27"/>
      <c r="T125" s="27"/>
      <c r="U125" s="28"/>
    </row>
  </sheetData>
  <mergeCells count="7">
    <mergeCell ref="L106:U106"/>
    <mergeCell ref="A1:J1"/>
    <mergeCell ref="L1:U1"/>
    <mergeCell ref="L22:U22"/>
    <mergeCell ref="L43:U43"/>
    <mergeCell ref="L64:U64"/>
    <mergeCell ref="L85:U85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"/>
  <sheetViews>
    <sheetView workbookViewId="0">
      <selection activeCell="A211" sqref="A3:XFD211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228</v>
      </c>
      <c r="B2">
        <v>0</v>
      </c>
      <c r="C2" t="s">
        <v>48</v>
      </c>
      <c r="D2">
        <v>2</v>
      </c>
      <c r="F2">
        <v>2</v>
      </c>
      <c r="G2" t="s">
        <v>49</v>
      </c>
      <c r="H2" t="s">
        <v>84</v>
      </c>
      <c r="I2" t="s">
        <v>90</v>
      </c>
      <c r="J2" t="s">
        <v>128</v>
      </c>
      <c r="K2" t="s">
        <v>33</v>
      </c>
      <c r="L2">
        <v>1</v>
      </c>
      <c r="N2">
        <v>2</v>
      </c>
      <c r="O2" t="s">
        <v>34</v>
      </c>
      <c r="S2" t="s">
        <v>53</v>
      </c>
      <c r="T2">
        <v>3</v>
      </c>
      <c r="U2">
        <v>1</v>
      </c>
      <c r="V2">
        <v>1</v>
      </c>
      <c r="W2" t="s">
        <v>54</v>
      </c>
      <c r="AA2" t="s">
        <v>56</v>
      </c>
      <c r="AB2">
        <v>3</v>
      </c>
      <c r="AD2">
        <v>1</v>
      </c>
      <c r="AE2" t="s">
        <v>68</v>
      </c>
      <c r="AI2">
        <v>10</v>
      </c>
      <c r="AJ2">
        <v>31</v>
      </c>
    </row>
  </sheetData>
  <conditionalFormatting sqref="B1">
    <cfRule type="duplicateValues" dxfId="2029" priority="3"/>
  </conditionalFormatting>
  <conditionalFormatting sqref="B1:B1048576">
    <cfRule type="duplicateValues" dxfId="2028" priority="1"/>
  </conditionalFormatting>
  <conditionalFormatting sqref="A3:B1048576">
    <cfRule type="duplicateValues" dxfId="2027" priority="284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380"/>
  <sheetViews>
    <sheetView workbookViewId="0">
      <selection activeCell="O16" sqref="O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MIN(Scenario1[crystals])</f>
        <v>10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10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" s="3">
        <f>IF(ScenarioTeams1[[#This Row],[battles]],ScenarioTeams1[[#This Row],[wins]]/ScenarioTeams1[[#This Row],[battles]],0)</f>
        <v>0</v>
      </c>
      <c r="O3" s="4" t="s">
        <v>159</v>
      </c>
      <c r="P3" s="30">
        <f>MAX(Scenario1[crystals])</f>
        <v>10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0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4" s="3">
        <f>IF(ScenarioTeams1[[#This Row],[battles]],ScenarioTeams1[[#This Row],[wins]]/ScenarioTeams1[[#This Row],[battles]],0)</f>
        <v>0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0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5" s="3">
        <f>IF(ScenarioTeams1[[#This Row],[battles]],ScenarioTeams1[[#This Row],[wins]]/ScenarioTeams1[[#This Row],[battles]],0)</f>
        <v>0</v>
      </c>
      <c r="O5" s="4" t="s">
        <v>158</v>
      </c>
      <c r="P5" s="30">
        <f>MIN(Scenario1[turns])</f>
        <v>31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0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6" s="3">
        <f>IF(ScenarioTeams1[[#This Row],[battles]],ScenarioTeams1[[#This Row],[wins]]/ScenarioTeams1[[#This Row],[battles]],0)</f>
        <v>0</v>
      </c>
      <c r="O6" s="5" t="s">
        <v>108</v>
      </c>
      <c r="P6" s="31">
        <f>AVERAGE(Scenario1[turns])</f>
        <v>31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0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7" s="3">
        <f>IF(ScenarioTeams1[[#This Row],[battles]],ScenarioTeams1[[#This Row],[wins]]/ScenarioTeams1[[#This Row],[battles]],0)</f>
        <v>0</v>
      </c>
      <c r="O7" s="5" t="s">
        <v>160</v>
      </c>
      <c r="P7" s="31">
        <f>MAX(Scenario1[turns])</f>
        <v>31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48</v>
      </c>
      <c r="E8" t="s">
        <v>232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0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8" s="3">
        <f>IF(ScenarioTeams1[[#This Row],[battles]],ScenarioTeams1[[#This Row],[wins]]/ScenarioTeams1[[#This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43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0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9" s="3">
        <f>IF(ScenarioTeams1[[#This Row],[battles]],ScenarioTeams1[[#This Row],[wins]]/ScenarioTeams1[[#This Row],[battles]],0)</f>
        <v>0</v>
      </c>
      <c r="O9" s="4" t="s">
        <v>185</v>
      </c>
      <c r="P9" s="30">
        <f>120000*$P$6/1000/60</f>
        <v>62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45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0</v>
      </c>
      <c r="I10" t="s">
        <v>53</v>
      </c>
      <c r="J10" t="s">
        <v>232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0" s="3">
        <f>IF(ScenarioTeams1[[#This Row],[battles]],ScenarioTeams1[[#This Row],[wins]]/ScenarioTeams1[[#This Row],[battles]],0)</f>
        <v>0</v>
      </c>
      <c r="O10" s="5" t="s">
        <v>186</v>
      </c>
      <c r="P10" s="31">
        <f>P9*COUNTA(ScenarioStat1[hero-1])/60/24</f>
        <v>16.275000000000002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63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0</v>
      </c>
      <c r="I11" t="s">
        <v>56</v>
      </c>
      <c r="J11" t="s">
        <v>48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1" s="3">
        <f>IF(ScenarioTeams1[[#This Row],[battles]],ScenarioTeams1[[#This Row],[wins]]/ScenarioTeams1[[#This Row],[battles]],0)</f>
        <v>0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33</v>
      </c>
      <c r="E12" t="s">
        <v>38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0</v>
      </c>
      <c r="I12" t="s">
        <v>56</v>
      </c>
      <c r="J12" t="s">
        <v>33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2" s="3">
        <f>IF(ScenarioTeams1[[#This Row],[battles]],ScenarioTeams1[[#This Row],[wins]]/ScenarioTeams1[[#This Row],[battles]],0)</f>
        <v>0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33</v>
      </c>
      <c r="E13" t="s">
        <v>232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0</v>
      </c>
      <c r="I13" t="s">
        <v>56</v>
      </c>
      <c r="J13" t="s">
        <v>43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3" s="3">
        <f>IF(ScenarioTeams1[[#This Row],[battles]],ScenarioTeams1[[#This Row],[wins]]/ScenarioTeams1[[#This Row],[battles]],0)</f>
        <v>0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45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0</v>
      </c>
      <c r="I14" t="s">
        <v>56</v>
      </c>
      <c r="J14" t="s">
        <v>45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4" s="3">
        <f>IF(ScenarioTeams1[[#This Row],[battles]],ScenarioTeams1[[#This Row],[wins]]/ScenarioTeams1[[#This Row],[battles]],0)</f>
        <v>0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43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0</v>
      </c>
      <c r="I15" t="s">
        <v>56</v>
      </c>
      <c r="J15" t="s">
        <v>63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5" s="3">
        <f>IF(ScenarioTeams1[[#This Row],[battles]],ScenarioTeams1[[#This Row],[wins]]/ScenarioTeams1[[#This Row],[battles]],0)</f>
        <v>0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43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0</v>
      </c>
      <c r="I16" t="s">
        <v>56</v>
      </c>
      <c r="J16" t="s">
        <v>38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6" s="3">
        <f>IF(ScenarioTeams1[[#This Row],[battles]],ScenarioTeams1[[#This Row],[wins]]/ScenarioTeams1[[#This Row],[battles]],0)</f>
        <v>0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43</v>
      </c>
      <c r="E17" t="s">
        <v>232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0</v>
      </c>
      <c r="I17" t="s">
        <v>56</v>
      </c>
      <c r="J17" t="s">
        <v>232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7" s="3">
        <f>IF(ScenarioTeams1[[#This Row],[battles]],ScenarioTeams1[[#This Row],[wins]]/ScenarioTeams1[[#This Row],[battles]],0)</f>
        <v>0</v>
      </c>
    </row>
    <row r="18" spans="1:13" x14ac:dyDescent="0.25">
      <c r="A18" t="s">
        <v>53</v>
      </c>
      <c r="B18" t="s">
        <v>56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45</v>
      </c>
      <c r="E18" t="s">
        <v>63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0</v>
      </c>
      <c r="I18" t="s">
        <v>48</v>
      </c>
      <c r="J18" t="s">
        <v>33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18" s="3">
        <f>IF(ScenarioTeams1[[#This Row],[battles]],ScenarioTeams1[[#This Row],[wins]]/ScenarioTeams1[[#This Row],[battles]],0)</f>
        <v>1</v>
      </c>
    </row>
    <row r="19" spans="1:13" x14ac:dyDescent="0.25">
      <c r="A19" t="s">
        <v>53</v>
      </c>
      <c r="B19" t="s">
        <v>56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45</v>
      </c>
      <c r="E19" t="s">
        <v>38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0</v>
      </c>
      <c r="I19" t="s">
        <v>48</v>
      </c>
      <c r="J19" t="s">
        <v>43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9" s="3">
        <f>IF(ScenarioTeams1[[#This Row],[battles]],ScenarioTeams1[[#This Row],[wins]]/ScenarioTeams1[[#This Row],[battles]],0)</f>
        <v>0</v>
      </c>
    </row>
    <row r="20" spans="1:13" x14ac:dyDescent="0.25">
      <c r="A20" t="s">
        <v>53</v>
      </c>
      <c r="B20" t="s">
        <v>56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45</v>
      </c>
      <c r="E20" t="s">
        <v>232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0</v>
      </c>
      <c r="I20" t="s">
        <v>48</v>
      </c>
      <c r="J20" t="s">
        <v>45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0" s="3">
        <f>IF(ScenarioTeams1[[#This Row],[battles]],ScenarioTeams1[[#This Row],[wins]]/ScenarioTeams1[[#This Row],[battles]],0)</f>
        <v>0</v>
      </c>
    </row>
    <row r="21" spans="1:13" x14ac:dyDescent="0.25">
      <c r="A21" t="s">
        <v>53</v>
      </c>
      <c r="B21" t="s">
        <v>56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63</v>
      </c>
      <c r="E21" t="s">
        <v>38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0</v>
      </c>
      <c r="I21" t="s">
        <v>48</v>
      </c>
      <c r="J21" t="s">
        <v>63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1" s="3">
        <f>IF(ScenarioTeams1[[#This Row],[battles]],ScenarioTeams1[[#This Row],[wins]]/ScenarioTeams1[[#This Row],[battles]],0)</f>
        <v>0</v>
      </c>
    </row>
    <row r="22" spans="1:13" x14ac:dyDescent="0.25">
      <c r="A22" t="s">
        <v>53</v>
      </c>
      <c r="B22" t="s">
        <v>56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63</v>
      </c>
      <c r="E22" t="s">
        <v>232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0</v>
      </c>
      <c r="I22" t="s">
        <v>48</v>
      </c>
      <c r="J22" t="s">
        <v>38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2" s="3">
        <f>IF(ScenarioTeams1[[#This Row],[battles]],ScenarioTeams1[[#This Row],[wins]]/ScenarioTeams1[[#This Row],[battles]],0)</f>
        <v>0</v>
      </c>
    </row>
    <row r="23" spans="1:13" x14ac:dyDescent="0.25">
      <c r="A23" t="s">
        <v>53</v>
      </c>
      <c r="B23" t="s">
        <v>56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38</v>
      </c>
      <c r="E23" t="s">
        <v>232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0</v>
      </c>
      <c r="I23" t="s">
        <v>48</v>
      </c>
      <c r="J23" t="s">
        <v>232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3" s="3">
        <f>IF(ScenarioTeams1[[#This Row],[battles]],ScenarioTeams1[[#This Row],[wins]]/ScenarioTeams1[[#This Row],[battles]],0)</f>
        <v>0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56</v>
      </c>
      <c r="E24" t="s">
        <v>33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0</v>
      </c>
      <c r="I24" t="s">
        <v>33</v>
      </c>
      <c r="J24" t="s">
        <v>43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4" s="3">
        <f>IF(ScenarioTeams1[[#This Row],[battles]],ScenarioTeams1[[#This Row],[wins]]/ScenarioTeams1[[#This Row],[battles]],0)</f>
        <v>0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56</v>
      </c>
      <c r="E25" t="s">
        <v>43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0</v>
      </c>
      <c r="I25" t="s">
        <v>33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5" s="3">
        <f>IF(ScenarioTeams1[[#This Row],[battles]],ScenarioTeams1[[#This Row],[wins]]/ScenarioTeams1[[#This Row],[battles]],0)</f>
        <v>0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56</v>
      </c>
      <c r="E26" t="s">
        <v>45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0</v>
      </c>
      <c r="I26" t="s">
        <v>33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6" s="3">
        <f>IF(ScenarioTeams1[[#This Row],[battles]],ScenarioTeams1[[#This Row],[wins]]/ScenarioTeams1[[#This Row],[battles]],0)</f>
        <v>0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56</v>
      </c>
      <c r="E27" t="s">
        <v>63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0</v>
      </c>
      <c r="I27" t="s">
        <v>33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7" s="3">
        <f>IF(ScenarioTeams1[[#This Row],[battles]],ScenarioTeams1[[#This Row],[wins]]/ScenarioTeams1[[#This Row],[battles]],0)</f>
        <v>0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56</v>
      </c>
      <c r="E28" t="s">
        <v>38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0</v>
      </c>
      <c r="I28" t="s">
        <v>33</v>
      </c>
      <c r="J28" t="s">
        <v>232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8" s="3">
        <f>IF(ScenarioTeams1[[#This Row],[battles]],ScenarioTeams1[[#This Row],[wins]]/ScenarioTeams1[[#This Row],[battles]],0)</f>
        <v>0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56</v>
      </c>
      <c r="E29" t="s">
        <v>232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0</v>
      </c>
      <c r="I29" t="s">
        <v>43</v>
      </c>
      <c r="J29" t="s">
        <v>45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9" s="3">
        <f>IF(ScenarioTeams1[[#This Row],[battles]],ScenarioTeams1[[#This Row],[wins]]/ScenarioTeams1[[#This Row],[battles]],0)</f>
        <v>0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33</v>
      </c>
      <c r="E30" t="s">
        <v>43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0</v>
      </c>
      <c r="I30" t="s">
        <v>43</v>
      </c>
      <c r="J30" t="s">
        <v>63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0" s="3">
        <f>IF(ScenarioTeams1[[#This Row],[battles]],ScenarioTeams1[[#This Row],[wins]]/ScenarioTeams1[[#This Row],[battles]],0)</f>
        <v>0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33</v>
      </c>
      <c r="E31" t="s">
        <v>45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0</v>
      </c>
      <c r="I31" t="s">
        <v>43</v>
      </c>
      <c r="J31" t="s">
        <v>38</v>
      </c>
      <c r="K3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1" s="3">
        <f>IF(ScenarioTeams1[[#This Row],[battles]],ScenarioTeams1[[#This Row],[wins]]/ScenarioTeams1[[#This Row],[battles]],0)</f>
        <v>0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33</v>
      </c>
      <c r="E32" t="s">
        <v>63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0</v>
      </c>
      <c r="I32" t="s">
        <v>43</v>
      </c>
      <c r="J32" t="s">
        <v>232</v>
      </c>
      <c r="K3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2" s="3">
        <f>IF(ScenarioTeams1[[#This Row],[battles]],ScenarioTeams1[[#This Row],[wins]]/ScenarioTeams1[[#This Row],[battles]],0)</f>
        <v>0</v>
      </c>
    </row>
    <row r="33" spans="1:13" x14ac:dyDescent="0.25">
      <c r="A33" t="s">
        <v>53</v>
      </c>
      <c r="B33" t="s">
        <v>48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" t="s">
        <v>33</v>
      </c>
      <c r="E33" t="s">
        <v>38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0</v>
      </c>
      <c r="I33" t="s">
        <v>45</v>
      </c>
      <c r="J33" t="s">
        <v>63</v>
      </c>
      <c r="K3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3" s="3">
        <f>IF(ScenarioTeams1[[#This Row],[battles]],ScenarioTeams1[[#This Row],[wins]]/ScenarioTeams1[[#This Row],[battles]],0)</f>
        <v>0</v>
      </c>
    </row>
    <row r="34" spans="1:13" x14ac:dyDescent="0.25">
      <c r="A34" t="s">
        <v>53</v>
      </c>
      <c r="B34" t="s">
        <v>48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33</v>
      </c>
      <c r="E34" t="s">
        <v>232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0</v>
      </c>
      <c r="I34" t="s">
        <v>45</v>
      </c>
      <c r="J34" t="s">
        <v>38</v>
      </c>
      <c r="K3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4" s="3">
        <f>IF(ScenarioTeams1[[#This Row],[battles]],ScenarioTeams1[[#This Row],[wins]]/ScenarioTeams1[[#This Row],[battles]],0)</f>
        <v>0</v>
      </c>
    </row>
    <row r="35" spans="1:13" x14ac:dyDescent="0.25">
      <c r="A35" t="s">
        <v>53</v>
      </c>
      <c r="B35" t="s">
        <v>48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43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0</v>
      </c>
      <c r="I35" t="s">
        <v>45</v>
      </c>
      <c r="J35" t="s">
        <v>232</v>
      </c>
      <c r="K3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5" s="3">
        <f>IF(ScenarioTeams1[[#This Row],[battles]],ScenarioTeams1[[#This Row],[wins]]/ScenarioTeams1[[#This Row],[battles]],0)</f>
        <v>0</v>
      </c>
    </row>
    <row r="36" spans="1:13" x14ac:dyDescent="0.25">
      <c r="A36" t="s">
        <v>53</v>
      </c>
      <c r="B36" t="s">
        <v>48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43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0</v>
      </c>
      <c r="I36" t="s">
        <v>63</v>
      </c>
      <c r="J36" t="s">
        <v>38</v>
      </c>
      <c r="K3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6" s="3">
        <f>IF(ScenarioTeams1[[#This Row],[battles]],ScenarioTeams1[[#This Row],[wins]]/ScenarioTeams1[[#This Row],[battles]],0)</f>
        <v>0</v>
      </c>
    </row>
    <row r="37" spans="1:13" x14ac:dyDescent="0.25">
      <c r="A37" t="s">
        <v>53</v>
      </c>
      <c r="B37" t="s">
        <v>48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43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0</v>
      </c>
      <c r="I37" t="s">
        <v>38</v>
      </c>
      <c r="J37" t="s">
        <v>232</v>
      </c>
      <c r="K3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7" s="3">
        <f>IF(ScenarioTeams1[[#This Row],[battles]],ScenarioTeams1[[#This Row],[wins]]/ScenarioTeams1[[#This Row],[battles]],0)</f>
        <v>0</v>
      </c>
    </row>
    <row r="38" spans="1:13" x14ac:dyDescent="0.25">
      <c r="A38" t="s">
        <v>53</v>
      </c>
      <c r="B38" t="s">
        <v>48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43</v>
      </c>
      <c r="E38" t="s">
        <v>232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0</v>
      </c>
    </row>
    <row r="39" spans="1:13" x14ac:dyDescent="0.25">
      <c r="A39" t="s">
        <v>53</v>
      </c>
      <c r="B39" t="s">
        <v>48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45</v>
      </c>
      <c r="E39" t="s">
        <v>63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0</v>
      </c>
    </row>
    <row r="40" spans="1:13" x14ac:dyDescent="0.25">
      <c r="A40" t="s">
        <v>53</v>
      </c>
      <c r="B40" t="s">
        <v>48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0" t="s">
        <v>45</v>
      </c>
      <c r="E40" t="s">
        <v>38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0</v>
      </c>
    </row>
    <row r="41" spans="1:13" x14ac:dyDescent="0.25">
      <c r="A41" t="s">
        <v>53</v>
      </c>
      <c r="B41" t="s">
        <v>48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45</v>
      </c>
      <c r="E41" t="s">
        <v>232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0</v>
      </c>
    </row>
    <row r="42" spans="1:13" x14ac:dyDescent="0.25">
      <c r="A42" t="s">
        <v>53</v>
      </c>
      <c r="B42" t="s">
        <v>48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63</v>
      </c>
      <c r="E42" t="s">
        <v>38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0</v>
      </c>
    </row>
    <row r="43" spans="1:13" x14ac:dyDescent="0.25">
      <c r="A43" t="s">
        <v>53</v>
      </c>
      <c r="B43" t="s">
        <v>48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63</v>
      </c>
      <c r="E43" t="s">
        <v>232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0</v>
      </c>
    </row>
    <row r="44" spans="1:13" x14ac:dyDescent="0.25">
      <c r="A44" t="s">
        <v>53</v>
      </c>
      <c r="B44" t="s">
        <v>48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38</v>
      </c>
      <c r="E44" t="s">
        <v>232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0</v>
      </c>
    </row>
    <row r="45" spans="1:13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56</v>
      </c>
      <c r="E45" t="s">
        <v>48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0</v>
      </c>
    </row>
    <row r="46" spans="1:13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56</v>
      </c>
      <c r="E46" t="s">
        <v>43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0</v>
      </c>
    </row>
    <row r="47" spans="1:13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56</v>
      </c>
      <c r="E47" t="s">
        <v>45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0</v>
      </c>
    </row>
    <row r="48" spans="1:13" x14ac:dyDescent="0.25">
      <c r="A48" t="s">
        <v>53</v>
      </c>
      <c r="B48" t="s">
        <v>33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63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0</v>
      </c>
    </row>
    <row r="49" spans="1:7" x14ac:dyDescent="0.25">
      <c r="A49" t="s">
        <v>53</v>
      </c>
      <c r="B49" t="s">
        <v>33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38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0</v>
      </c>
    </row>
    <row r="50" spans="1:7" x14ac:dyDescent="0.25">
      <c r="A50" t="s">
        <v>53</v>
      </c>
      <c r="B50" t="s">
        <v>33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232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0</v>
      </c>
    </row>
    <row r="51" spans="1:7" x14ac:dyDescent="0.25">
      <c r="A51" t="s">
        <v>53</v>
      </c>
      <c r="B51" t="s">
        <v>33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48</v>
      </c>
      <c r="E51" t="s">
        <v>43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0</v>
      </c>
    </row>
    <row r="52" spans="1:7" x14ac:dyDescent="0.25">
      <c r="A52" t="s">
        <v>53</v>
      </c>
      <c r="B52" t="s">
        <v>33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48</v>
      </c>
      <c r="E52" t="s">
        <v>45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0</v>
      </c>
    </row>
    <row r="53" spans="1:7" x14ac:dyDescent="0.25">
      <c r="A53" t="s">
        <v>53</v>
      </c>
      <c r="B53" t="s">
        <v>33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63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0</v>
      </c>
    </row>
    <row r="54" spans="1:7" x14ac:dyDescent="0.25">
      <c r="A54" t="s">
        <v>53</v>
      </c>
      <c r="B54" t="s">
        <v>33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38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0</v>
      </c>
    </row>
    <row r="55" spans="1:7" x14ac:dyDescent="0.25">
      <c r="A55" t="s">
        <v>53</v>
      </c>
      <c r="B55" t="s">
        <v>33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232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0</v>
      </c>
    </row>
    <row r="56" spans="1:7" x14ac:dyDescent="0.25">
      <c r="A56" t="s">
        <v>53</v>
      </c>
      <c r="B56" t="s">
        <v>33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43</v>
      </c>
      <c r="E56" t="s">
        <v>45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0</v>
      </c>
    </row>
    <row r="57" spans="1:7" x14ac:dyDescent="0.25">
      <c r="A57" t="s">
        <v>53</v>
      </c>
      <c r="B57" t="s">
        <v>33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43</v>
      </c>
      <c r="E57" t="s">
        <v>63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0</v>
      </c>
    </row>
    <row r="58" spans="1:7" x14ac:dyDescent="0.25">
      <c r="A58" t="s">
        <v>53</v>
      </c>
      <c r="B58" t="s">
        <v>33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43</v>
      </c>
      <c r="E58" t="s">
        <v>38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0</v>
      </c>
    </row>
    <row r="59" spans="1:7" x14ac:dyDescent="0.25">
      <c r="A59" t="s">
        <v>53</v>
      </c>
      <c r="B59" t="s">
        <v>33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43</v>
      </c>
      <c r="E59" t="s">
        <v>232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0</v>
      </c>
    </row>
    <row r="60" spans="1:7" x14ac:dyDescent="0.25">
      <c r="A60" t="s">
        <v>53</v>
      </c>
      <c r="B60" t="s">
        <v>33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0</v>
      </c>
    </row>
    <row r="61" spans="1:7" x14ac:dyDescent="0.25">
      <c r="A61" t="s">
        <v>53</v>
      </c>
      <c r="B61" t="s">
        <v>33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0</v>
      </c>
    </row>
    <row r="62" spans="1:7" x14ac:dyDescent="0.25">
      <c r="A62" t="s">
        <v>53</v>
      </c>
      <c r="B62" t="s">
        <v>33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45</v>
      </c>
      <c r="E62" t="s">
        <v>232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0</v>
      </c>
    </row>
    <row r="63" spans="1:7" x14ac:dyDescent="0.25">
      <c r="A63" t="s">
        <v>53</v>
      </c>
      <c r="B63" t="s">
        <v>33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63</v>
      </c>
      <c r="E63" t="s">
        <v>38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0</v>
      </c>
    </row>
    <row r="64" spans="1:7" x14ac:dyDescent="0.25">
      <c r="A64" t="s">
        <v>53</v>
      </c>
      <c r="B64" t="s">
        <v>33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4" t="s">
        <v>63</v>
      </c>
      <c r="E64" t="s">
        <v>232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0</v>
      </c>
    </row>
    <row r="65" spans="1:7" x14ac:dyDescent="0.25">
      <c r="A65" t="s">
        <v>53</v>
      </c>
      <c r="B65" t="s">
        <v>33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38</v>
      </c>
      <c r="E65" t="s">
        <v>232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0</v>
      </c>
    </row>
    <row r="66" spans="1:7" x14ac:dyDescent="0.25">
      <c r="A66" t="s">
        <v>53</v>
      </c>
      <c r="B66" t="s">
        <v>43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48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0</v>
      </c>
    </row>
    <row r="67" spans="1:7" x14ac:dyDescent="0.25">
      <c r="A67" t="s">
        <v>53</v>
      </c>
      <c r="B67" t="s">
        <v>43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33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0</v>
      </c>
    </row>
    <row r="68" spans="1:7" x14ac:dyDescent="0.25">
      <c r="A68" t="s">
        <v>53</v>
      </c>
      <c r="B68" t="s">
        <v>43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56</v>
      </c>
      <c r="E68" t="s">
        <v>45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0</v>
      </c>
    </row>
    <row r="69" spans="1:7" x14ac:dyDescent="0.25">
      <c r="A69" t="s">
        <v>53</v>
      </c>
      <c r="B69" t="s">
        <v>43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56</v>
      </c>
      <c r="E69" t="s">
        <v>63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0</v>
      </c>
    </row>
    <row r="70" spans="1:7" x14ac:dyDescent="0.25">
      <c r="A70" t="s">
        <v>53</v>
      </c>
      <c r="B70" t="s">
        <v>43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56</v>
      </c>
      <c r="E70" t="s">
        <v>38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0</v>
      </c>
    </row>
    <row r="71" spans="1:7" x14ac:dyDescent="0.25">
      <c r="A71" t="s">
        <v>53</v>
      </c>
      <c r="B71" t="s">
        <v>43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56</v>
      </c>
      <c r="E71" t="s">
        <v>232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0</v>
      </c>
    </row>
    <row r="72" spans="1:7" x14ac:dyDescent="0.25">
      <c r="A72" t="s">
        <v>53</v>
      </c>
      <c r="B72" t="s">
        <v>43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48</v>
      </c>
      <c r="E72" t="s">
        <v>33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0</v>
      </c>
    </row>
    <row r="73" spans="1:7" x14ac:dyDescent="0.25">
      <c r="A73" t="s">
        <v>53</v>
      </c>
      <c r="B73" t="s">
        <v>43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48</v>
      </c>
      <c r="E73" t="s">
        <v>45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0</v>
      </c>
    </row>
    <row r="74" spans="1:7" x14ac:dyDescent="0.25">
      <c r="A74" t="s">
        <v>53</v>
      </c>
      <c r="B74" t="s">
        <v>43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48</v>
      </c>
      <c r="E74" t="s">
        <v>63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0</v>
      </c>
    </row>
    <row r="75" spans="1:7" x14ac:dyDescent="0.25">
      <c r="A75" t="s">
        <v>53</v>
      </c>
      <c r="B75" t="s">
        <v>43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48</v>
      </c>
      <c r="E75" t="s">
        <v>38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0</v>
      </c>
    </row>
    <row r="76" spans="1:7" x14ac:dyDescent="0.25">
      <c r="A76" t="s">
        <v>53</v>
      </c>
      <c r="B76" t="s">
        <v>43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48</v>
      </c>
      <c r="E76" t="s">
        <v>232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6">
        <f>ScenarioStat1[[#This Row],[team-1-win]]+ScenarioStat1[[#This Row],[team-2-win]]</f>
        <v>0</v>
      </c>
    </row>
    <row r="77" spans="1:7" x14ac:dyDescent="0.25">
      <c r="A77" t="s">
        <v>53</v>
      </c>
      <c r="B77" t="s">
        <v>43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33</v>
      </c>
      <c r="E77" t="s">
        <v>45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0</v>
      </c>
    </row>
    <row r="78" spans="1:7" x14ac:dyDescent="0.25">
      <c r="A78" t="s">
        <v>53</v>
      </c>
      <c r="B78" t="s">
        <v>43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33</v>
      </c>
      <c r="E78" t="s">
        <v>63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0</v>
      </c>
    </row>
    <row r="79" spans="1:7" x14ac:dyDescent="0.25">
      <c r="A79" t="s">
        <v>53</v>
      </c>
      <c r="B79" t="s">
        <v>43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33</v>
      </c>
      <c r="E79" t="s">
        <v>38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9">
        <f>ScenarioStat1[[#This Row],[team-1-win]]+ScenarioStat1[[#This Row],[team-2-win]]</f>
        <v>0</v>
      </c>
    </row>
    <row r="80" spans="1:7" x14ac:dyDescent="0.25">
      <c r="A80" t="s">
        <v>53</v>
      </c>
      <c r="B80" t="s">
        <v>43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33</v>
      </c>
      <c r="E80" t="s">
        <v>232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0</v>
      </c>
    </row>
    <row r="81" spans="1:7" x14ac:dyDescent="0.25">
      <c r="A81" t="s">
        <v>53</v>
      </c>
      <c r="B81" t="s">
        <v>43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45</v>
      </c>
      <c r="E81" t="s">
        <v>63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0</v>
      </c>
    </row>
    <row r="82" spans="1:7" x14ac:dyDescent="0.25">
      <c r="A82" t="s">
        <v>53</v>
      </c>
      <c r="B82" t="s">
        <v>43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45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0</v>
      </c>
    </row>
    <row r="83" spans="1:7" x14ac:dyDescent="0.25">
      <c r="A83" t="s">
        <v>53</v>
      </c>
      <c r="B83" t="s">
        <v>43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45</v>
      </c>
      <c r="E83" t="s">
        <v>232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0</v>
      </c>
    </row>
    <row r="84" spans="1:7" x14ac:dyDescent="0.25">
      <c r="A84" t="s">
        <v>53</v>
      </c>
      <c r="B84" t="s">
        <v>43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63</v>
      </c>
      <c r="E84" t="s">
        <v>38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0</v>
      </c>
    </row>
    <row r="85" spans="1:7" x14ac:dyDescent="0.25">
      <c r="A85" t="s">
        <v>53</v>
      </c>
      <c r="B85" t="s">
        <v>43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63</v>
      </c>
      <c r="E85" t="s">
        <v>232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0</v>
      </c>
    </row>
    <row r="86" spans="1:7" x14ac:dyDescent="0.25">
      <c r="A86" t="s">
        <v>53</v>
      </c>
      <c r="B86" t="s">
        <v>43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38</v>
      </c>
      <c r="E86" t="s">
        <v>232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0</v>
      </c>
    </row>
    <row r="87" spans="1:7" x14ac:dyDescent="0.25">
      <c r="A87" t="s">
        <v>53</v>
      </c>
      <c r="B87" t="s">
        <v>45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56</v>
      </c>
      <c r="E87" t="s">
        <v>48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0</v>
      </c>
    </row>
    <row r="88" spans="1:7" x14ac:dyDescent="0.25">
      <c r="A88" t="s">
        <v>53</v>
      </c>
      <c r="B88" t="s">
        <v>45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56</v>
      </c>
      <c r="E88" t="s">
        <v>33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0</v>
      </c>
    </row>
    <row r="89" spans="1:7" x14ac:dyDescent="0.25">
      <c r="A89" t="s">
        <v>53</v>
      </c>
      <c r="B89" t="s">
        <v>45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56</v>
      </c>
      <c r="E89" t="s">
        <v>43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0</v>
      </c>
    </row>
    <row r="90" spans="1:7" x14ac:dyDescent="0.25">
      <c r="A90" t="s">
        <v>53</v>
      </c>
      <c r="B90" t="s">
        <v>45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56</v>
      </c>
      <c r="E90" t="s">
        <v>63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0</v>
      </c>
    </row>
    <row r="91" spans="1:7" x14ac:dyDescent="0.25">
      <c r="A91" t="s">
        <v>53</v>
      </c>
      <c r="B91" t="s">
        <v>45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56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0</v>
      </c>
    </row>
    <row r="92" spans="1:7" x14ac:dyDescent="0.25">
      <c r="A92" t="s">
        <v>53</v>
      </c>
      <c r="B92" t="s">
        <v>45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56</v>
      </c>
      <c r="E92" t="s">
        <v>232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0</v>
      </c>
    </row>
    <row r="93" spans="1:7" x14ac:dyDescent="0.25">
      <c r="A93" t="s">
        <v>53</v>
      </c>
      <c r="B93" t="s">
        <v>45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48</v>
      </c>
      <c r="E93" t="s">
        <v>33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0</v>
      </c>
    </row>
    <row r="94" spans="1:7" x14ac:dyDescent="0.25">
      <c r="A94" t="s">
        <v>53</v>
      </c>
      <c r="B94" t="s">
        <v>45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48</v>
      </c>
      <c r="E94" t="s">
        <v>43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0</v>
      </c>
    </row>
    <row r="95" spans="1:7" x14ac:dyDescent="0.25">
      <c r="A95" t="s">
        <v>53</v>
      </c>
      <c r="B95" t="s">
        <v>45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48</v>
      </c>
      <c r="E95" t="s">
        <v>63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0</v>
      </c>
    </row>
    <row r="96" spans="1:7" x14ac:dyDescent="0.25">
      <c r="A96" t="s">
        <v>53</v>
      </c>
      <c r="B96" t="s">
        <v>45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48</v>
      </c>
      <c r="E96" t="s">
        <v>38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0</v>
      </c>
    </row>
    <row r="97" spans="1:7" x14ac:dyDescent="0.25">
      <c r="A97" t="s">
        <v>53</v>
      </c>
      <c r="B97" t="s">
        <v>45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48</v>
      </c>
      <c r="E97" t="s">
        <v>232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0</v>
      </c>
    </row>
    <row r="98" spans="1:7" x14ac:dyDescent="0.25">
      <c r="A98" t="s">
        <v>53</v>
      </c>
      <c r="B98" t="s">
        <v>45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33</v>
      </c>
      <c r="E98" t="s">
        <v>43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0</v>
      </c>
    </row>
    <row r="99" spans="1:7" x14ac:dyDescent="0.25">
      <c r="A99" t="s">
        <v>53</v>
      </c>
      <c r="B99" t="s">
        <v>45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33</v>
      </c>
      <c r="E99" t="s">
        <v>63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0</v>
      </c>
    </row>
    <row r="100" spans="1:7" x14ac:dyDescent="0.25">
      <c r="A100" t="s">
        <v>53</v>
      </c>
      <c r="B100" t="s">
        <v>45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33</v>
      </c>
      <c r="E100" t="s">
        <v>38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0</v>
      </c>
    </row>
    <row r="101" spans="1:7" x14ac:dyDescent="0.25">
      <c r="A101" t="s">
        <v>53</v>
      </c>
      <c r="B101" t="s">
        <v>45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33</v>
      </c>
      <c r="E101" t="s">
        <v>232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0</v>
      </c>
    </row>
    <row r="102" spans="1:7" x14ac:dyDescent="0.25">
      <c r="A102" t="s">
        <v>53</v>
      </c>
      <c r="B102" t="s">
        <v>45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43</v>
      </c>
      <c r="E102" t="s">
        <v>63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0</v>
      </c>
    </row>
    <row r="103" spans="1:7" x14ac:dyDescent="0.25">
      <c r="A103" t="s">
        <v>53</v>
      </c>
      <c r="B103" t="s">
        <v>45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43</v>
      </c>
      <c r="E103" t="s">
        <v>38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0</v>
      </c>
    </row>
    <row r="104" spans="1:7" x14ac:dyDescent="0.25">
      <c r="A104" t="s">
        <v>53</v>
      </c>
      <c r="B104" t="s">
        <v>45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43</v>
      </c>
      <c r="E104" t="s">
        <v>232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4">
        <f>ScenarioStat1[[#This Row],[team-1-win]]+ScenarioStat1[[#This Row],[team-2-win]]</f>
        <v>0</v>
      </c>
    </row>
    <row r="105" spans="1:7" x14ac:dyDescent="0.25">
      <c r="A105" t="s">
        <v>53</v>
      </c>
      <c r="B105" t="s">
        <v>45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63</v>
      </c>
      <c r="E105" t="s">
        <v>38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0</v>
      </c>
    </row>
    <row r="106" spans="1:7" x14ac:dyDescent="0.25">
      <c r="A106" t="s">
        <v>53</v>
      </c>
      <c r="B106" t="s">
        <v>45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63</v>
      </c>
      <c r="E106" t="s">
        <v>232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0</v>
      </c>
    </row>
    <row r="107" spans="1:7" x14ac:dyDescent="0.25">
      <c r="A107" t="s">
        <v>53</v>
      </c>
      <c r="B107" t="s">
        <v>45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38</v>
      </c>
      <c r="E107" t="s">
        <v>232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0</v>
      </c>
    </row>
    <row r="108" spans="1:7" x14ac:dyDescent="0.25">
      <c r="A108" t="s">
        <v>53</v>
      </c>
      <c r="B108" t="s">
        <v>63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56</v>
      </c>
      <c r="E108" t="s">
        <v>48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0</v>
      </c>
    </row>
    <row r="109" spans="1:7" x14ac:dyDescent="0.25">
      <c r="A109" t="s">
        <v>53</v>
      </c>
      <c r="B109" t="s">
        <v>63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56</v>
      </c>
      <c r="E109" t="s">
        <v>33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0</v>
      </c>
    </row>
    <row r="110" spans="1:7" x14ac:dyDescent="0.25">
      <c r="A110" t="s">
        <v>53</v>
      </c>
      <c r="B110" t="s">
        <v>63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56</v>
      </c>
      <c r="E110" t="s">
        <v>43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0</v>
      </c>
    </row>
    <row r="111" spans="1:7" x14ac:dyDescent="0.25">
      <c r="A111" t="s">
        <v>53</v>
      </c>
      <c r="B111" t="s">
        <v>63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56</v>
      </c>
      <c r="E111" t="s">
        <v>45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0</v>
      </c>
    </row>
    <row r="112" spans="1:7" x14ac:dyDescent="0.25">
      <c r="A112" t="s">
        <v>53</v>
      </c>
      <c r="B112" t="s">
        <v>63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56</v>
      </c>
      <c r="E112" t="s">
        <v>38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0</v>
      </c>
    </row>
    <row r="113" spans="1:7" x14ac:dyDescent="0.25">
      <c r="A113" t="s">
        <v>53</v>
      </c>
      <c r="B113" t="s">
        <v>63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56</v>
      </c>
      <c r="E113" t="s">
        <v>232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0</v>
      </c>
    </row>
    <row r="114" spans="1:7" x14ac:dyDescent="0.25">
      <c r="A114" t="s">
        <v>53</v>
      </c>
      <c r="B114" t="s">
        <v>63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48</v>
      </c>
      <c r="E114" t="s">
        <v>33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0</v>
      </c>
    </row>
    <row r="115" spans="1:7" x14ac:dyDescent="0.25">
      <c r="A115" t="s">
        <v>53</v>
      </c>
      <c r="B115" t="s">
        <v>63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48</v>
      </c>
      <c r="E115" t="s">
        <v>43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0</v>
      </c>
    </row>
    <row r="116" spans="1:7" x14ac:dyDescent="0.25">
      <c r="A116" t="s">
        <v>53</v>
      </c>
      <c r="B116" t="s">
        <v>63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48</v>
      </c>
      <c r="E116" t="s">
        <v>45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0</v>
      </c>
    </row>
    <row r="117" spans="1:7" x14ac:dyDescent="0.25">
      <c r="A117" t="s">
        <v>53</v>
      </c>
      <c r="B117" t="s">
        <v>63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48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0</v>
      </c>
    </row>
    <row r="118" spans="1:7" x14ac:dyDescent="0.25">
      <c r="A118" t="s">
        <v>53</v>
      </c>
      <c r="B118" t="s">
        <v>63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232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0</v>
      </c>
    </row>
    <row r="119" spans="1:7" x14ac:dyDescent="0.25">
      <c r="A119" t="s">
        <v>53</v>
      </c>
      <c r="B119" t="s">
        <v>63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33</v>
      </c>
      <c r="E119" t="s">
        <v>43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0</v>
      </c>
    </row>
    <row r="120" spans="1:7" x14ac:dyDescent="0.25">
      <c r="A120" t="s">
        <v>53</v>
      </c>
      <c r="B120" t="s">
        <v>63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33</v>
      </c>
      <c r="E120" t="s">
        <v>45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0</v>
      </c>
    </row>
    <row r="121" spans="1:7" x14ac:dyDescent="0.25">
      <c r="A121" t="s">
        <v>53</v>
      </c>
      <c r="B121" t="s">
        <v>63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33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0</v>
      </c>
    </row>
    <row r="122" spans="1:7" x14ac:dyDescent="0.25">
      <c r="A122" t="s">
        <v>53</v>
      </c>
      <c r="B122" t="s">
        <v>63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33</v>
      </c>
      <c r="E122" t="s">
        <v>232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2">
        <f>ScenarioStat1[[#This Row],[team-1-win]]+ScenarioStat1[[#This Row],[team-2-win]]</f>
        <v>0</v>
      </c>
    </row>
    <row r="123" spans="1:7" x14ac:dyDescent="0.25">
      <c r="A123" t="s">
        <v>53</v>
      </c>
      <c r="B123" t="s">
        <v>63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45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3">
        <f>ScenarioStat1[[#This Row],[team-1-win]]+ScenarioStat1[[#This Row],[team-2-win]]</f>
        <v>0</v>
      </c>
    </row>
    <row r="124" spans="1:7" x14ac:dyDescent="0.25">
      <c r="A124" t="s">
        <v>53</v>
      </c>
      <c r="B124" t="s">
        <v>63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4">
        <f>ScenarioStat1[[#This Row],[team-1-win]]+ScenarioStat1[[#This Row],[team-2-win]]</f>
        <v>0</v>
      </c>
    </row>
    <row r="125" spans="1:7" x14ac:dyDescent="0.25">
      <c r="A125" t="s">
        <v>53</v>
      </c>
      <c r="B125" t="s">
        <v>63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43</v>
      </c>
      <c r="E125" t="s">
        <v>232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0</v>
      </c>
    </row>
    <row r="126" spans="1:7" x14ac:dyDescent="0.25">
      <c r="A126" t="s">
        <v>53</v>
      </c>
      <c r="B126" t="s">
        <v>63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0</v>
      </c>
    </row>
    <row r="127" spans="1:7" x14ac:dyDescent="0.25">
      <c r="A127" t="s">
        <v>53</v>
      </c>
      <c r="B127" t="s">
        <v>63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45</v>
      </c>
      <c r="E127" t="s">
        <v>232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0</v>
      </c>
    </row>
    <row r="128" spans="1:7" x14ac:dyDescent="0.25">
      <c r="A128" t="s">
        <v>53</v>
      </c>
      <c r="B128" t="s">
        <v>63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38</v>
      </c>
      <c r="E128" t="s">
        <v>232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0</v>
      </c>
    </row>
    <row r="129" spans="1:7" x14ac:dyDescent="0.25">
      <c r="A129" t="s">
        <v>53</v>
      </c>
      <c r="B129" t="s">
        <v>38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56</v>
      </c>
      <c r="E129" t="s">
        <v>48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0</v>
      </c>
    </row>
    <row r="130" spans="1:7" x14ac:dyDescent="0.25">
      <c r="A130" t="s">
        <v>53</v>
      </c>
      <c r="B130" t="s">
        <v>38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56</v>
      </c>
      <c r="E130" t="s">
        <v>33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0</v>
      </c>
    </row>
    <row r="131" spans="1:7" x14ac:dyDescent="0.25">
      <c r="A131" t="s">
        <v>53</v>
      </c>
      <c r="B131" t="s">
        <v>38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56</v>
      </c>
      <c r="E131" t="s">
        <v>43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0</v>
      </c>
    </row>
    <row r="132" spans="1:7" x14ac:dyDescent="0.25">
      <c r="A132" t="s">
        <v>53</v>
      </c>
      <c r="B132" t="s">
        <v>38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56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0</v>
      </c>
    </row>
    <row r="133" spans="1:7" x14ac:dyDescent="0.25">
      <c r="A133" t="s">
        <v>53</v>
      </c>
      <c r="B133" t="s">
        <v>38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56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0</v>
      </c>
    </row>
    <row r="134" spans="1:7" x14ac:dyDescent="0.25">
      <c r="A134" t="s">
        <v>53</v>
      </c>
      <c r="B134" t="s">
        <v>38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56</v>
      </c>
      <c r="E134" t="s">
        <v>232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0</v>
      </c>
    </row>
    <row r="135" spans="1:7" x14ac:dyDescent="0.25">
      <c r="A135" t="s">
        <v>53</v>
      </c>
      <c r="B135" t="s">
        <v>38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48</v>
      </c>
      <c r="E135" t="s">
        <v>33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0</v>
      </c>
    </row>
    <row r="136" spans="1:7" x14ac:dyDescent="0.25">
      <c r="A136" t="s">
        <v>53</v>
      </c>
      <c r="B136" t="s">
        <v>38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48</v>
      </c>
      <c r="E136" t="s">
        <v>43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0</v>
      </c>
    </row>
    <row r="137" spans="1:7" x14ac:dyDescent="0.25">
      <c r="A137" t="s">
        <v>53</v>
      </c>
      <c r="B137" t="s">
        <v>38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48</v>
      </c>
      <c r="E137" t="s">
        <v>45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0</v>
      </c>
    </row>
    <row r="138" spans="1:7" x14ac:dyDescent="0.25">
      <c r="A138" t="s">
        <v>53</v>
      </c>
      <c r="B138" t="s">
        <v>38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63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0</v>
      </c>
    </row>
    <row r="139" spans="1:7" x14ac:dyDescent="0.25">
      <c r="A139" t="s">
        <v>53</v>
      </c>
      <c r="B139" t="s">
        <v>38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232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0</v>
      </c>
    </row>
    <row r="140" spans="1:7" x14ac:dyDescent="0.25">
      <c r="A140" t="s">
        <v>53</v>
      </c>
      <c r="B140" t="s">
        <v>38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33</v>
      </c>
      <c r="E140" t="s">
        <v>43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0</v>
      </c>
    </row>
    <row r="141" spans="1:7" x14ac:dyDescent="0.25">
      <c r="A141" t="s">
        <v>53</v>
      </c>
      <c r="B141" t="s">
        <v>38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33</v>
      </c>
      <c r="E141" t="s">
        <v>45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0</v>
      </c>
    </row>
    <row r="142" spans="1:7" x14ac:dyDescent="0.25">
      <c r="A142" t="s">
        <v>53</v>
      </c>
      <c r="B142" t="s">
        <v>38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63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0</v>
      </c>
    </row>
    <row r="143" spans="1:7" x14ac:dyDescent="0.25">
      <c r="A143" t="s">
        <v>53</v>
      </c>
      <c r="B143" t="s">
        <v>38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232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0</v>
      </c>
    </row>
    <row r="144" spans="1:7" x14ac:dyDescent="0.25">
      <c r="A144" t="s">
        <v>53</v>
      </c>
      <c r="B144" t="s">
        <v>38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43</v>
      </c>
      <c r="E144" t="s">
        <v>45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0</v>
      </c>
    </row>
    <row r="145" spans="1:7" x14ac:dyDescent="0.25">
      <c r="A145" t="s">
        <v>53</v>
      </c>
      <c r="B145" t="s">
        <v>38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0</v>
      </c>
    </row>
    <row r="146" spans="1:7" x14ac:dyDescent="0.25">
      <c r="A146" t="s">
        <v>53</v>
      </c>
      <c r="B146" t="s">
        <v>38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232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0</v>
      </c>
    </row>
    <row r="147" spans="1:7" x14ac:dyDescent="0.25">
      <c r="A147" t="s">
        <v>53</v>
      </c>
      <c r="B147" t="s">
        <v>38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45</v>
      </c>
      <c r="E147" t="s">
        <v>63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0</v>
      </c>
    </row>
    <row r="148" spans="1:7" x14ac:dyDescent="0.25">
      <c r="A148" t="s">
        <v>53</v>
      </c>
      <c r="B148" t="s">
        <v>38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45</v>
      </c>
      <c r="E148" t="s">
        <v>232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0</v>
      </c>
    </row>
    <row r="149" spans="1:7" x14ac:dyDescent="0.25">
      <c r="A149" t="s">
        <v>53</v>
      </c>
      <c r="B149" t="s">
        <v>38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63</v>
      </c>
      <c r="E149" t="s">
        <v>232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0</v>
      </c>
    </row>
    <row r="150" spans="1:7" x14ac:dyDescent="0.25">
      <c r="A150" t="s">
        <v>53</v>
      </c>
      <c r="B150" t="s">
        <v>232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56</v>
      </c>
      <c r="E150" t="s">
        <v>48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0</v>
      </c>
    </row>
    <row r="151" spans="1:7" x14ac:dyDescent="0.25">
      <c r="A151" t="s">
        <v>53</v>
      </c>
      <c r="B151" t="s">
        <v>232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56</v>
      </c>
      <c r="E151" t="s">
        <v>33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0</v>
      </c>
    </row>
    <row r="152" spans="1:7" x14ac:dyDescent="0.25">
      <c r="A152" t="s">
        <v>53</v>
      </c>
      <c r="B152" t="s">
        <v>232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56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0</v>
      </c>
    </row>
    <row r="153" spans="1:7" x14ac:dyDescent="0.25">
      <c r="A153" t="s">
        <v>53</v>
      </c>
      <c r="B153" t="s">
        <v>232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56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0</v>
      </c>
    </row>
    <row r="154" spans="1:7" x14ac:dyDescent="0.25">
      <c r="A154" t="s">
        <v>53</v>
      </c>
      <c r="B154" t="s">
        <v>232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56</v>
      </c>
      <c r="E154" t="s">
        <v>63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0</v>
      </c>
    </row>
    <row r="155" spans="1:7" x14ac:dyDescent="0.25">
      <c r="A155" t="s">
        <v>53</v>
      </c>
      <c r="B155" t="s">
        <v>232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56</v>
      </c>
      <c r="E155" t="s">
        <v>38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0</v>
      </c>
    </row>
    <row r="156" spans="1:7" x14ac:dyDescent="0.25">
      <c r="A156" t="s">
        <v>53</v>
      </c>
      <c r="B156" t="s">
        <v>232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48</v>
      </c>
      <c r="E156" t="s">
        <v>33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0</v>
      </c>
    </row>
    <row r="157" spans="1:7" x14ac:dyDescent="0.25">
      <c r="A157" t="s">
        <v>53</v>
      </c>
      <c r="B157" t="s">
        <v>232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48</v>
      </c>
      <c r="E157" t="s">
        <v>43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0</v>
      </c>
    </row>
    <row r="158" spans="1:7" x14ac:dyDescent="0.25">
      <c r="A158" t="s">
        <v>53</v>
      </c>
      <c r="B158" t="s">
        <v>232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45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0</v>
      </c>
    </row>
    <row r="159" spans="1:7" x14ac:dyDescent="0.25">
      <c r="A159" t="s">
        <v>53</v>
      </c>
      <c r="B159" t="s">
        <v>232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63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0</v>
      </c>
    </row>
    <row r="160" spans="1:7" x14ac:dyDescent="0.25">
      <c r="A160" t="s">
        <v>53</v>
      </c>
      <c r="B160" t="s">
        <v>232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38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0</v>
      </c>
    </row>
    <row r="161" spans="1:7" x14ac:dyDescent="0.25">
      <c r="A161" t="s">
        <v>53</v>
      </c>
      <c r="B161" t="s">
        <v>232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33</v>
      </c>
      <c r="E161" t="s">
        <v>43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0</v>
      </c>
    </row>
    <row r="162" spans="1:7" x14ac:dyDescent="0.25">
      <c r="A162" t="s">
        <v>53</v>
      </c>
      <c r="B162" t="s">
        <v>232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45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0</v>
      </c>
    </row>
    <row r="163" spans="1:7" x14ac:dyDescent="0.25">
      <c r="A163" t="s">
        <v>53</v>
      </c>
      <c r="B163" t="s">
        <v>232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63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0</v>
      </c>
    </row>
    <row r="164" spans="1:7" x14ac:dyDescent="0.25">
      <c r="A164" t="s">
        <v>53</v>
      </c>
      <c r="B164" t="s">
        <v>232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38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0</v>
      </c>
    </row>
    <row r="165" spans="1:7" x14ac:dyDescent="0.25">
      <c r="A165" t="s">
        <v>53</v>
      </c>
      <c r="B165" t="s">
        <v>232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0</v>
      </c>
    </row>
    <row r="166" spans="1:7" x14ac:dyDescent="0.25">
      <c r="A166" t="s">
        <v>53</v>
      </c>
      <c r="B166" t="s">
        <v>232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0</v>
      </c>
    </row>
    <row r="167" spans="1:7" x14ac:dyDescent="0.25">
      <c r="A167" t="s">
        <v>53</v>
      </c>
      <c r="B167" t="s">
        <v>232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43</v>
      </c>
      <c r="E167" t="s">
        <v>38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0</v>
      </c>
    </row>
    <row r="168" spans="1:7" x14ac:dyDescent="0.25">
      <c r="A168" t="s">
        <v>53</v>
      </c>
      <c r="B168" t="s">
        <v>232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45</v>
      </c>
      <c r="E168" t="s">
        <v>63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0</v>
      </c>
    </row>
    <row r="169" spans="1:7" x14ac:dyDescent="0.25">
      <c r="A169" t="s">
        <v>53</v>
      </c>
      <c r="B169" t="s">
        <v>232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45</v>
      </c>
      <c r="E169" t="s">
        <v>38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0</v>
      </c>
    </row>
    <row r="170" spans="1:7" x14ac:dyDescent="0.25">
      <c r="A170" t="s">
        <v>53</v>
      </c>
      <c r="B170" t="s">
        <v>232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63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0</v>
      </c>
    </row>
    <row r="171" spans="1:7" x14ac:dyDescent="0.25">
      <c r="A171" t="s">
        <v>56</v>
      </c>
      <c r="B171" t="s">
        <v>48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33</v>
      </c>
      <c r="E171" t="s">
        <v>43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0</v>
      </c>
    </row>
    <row r="172" spans="1:7" x14ac:dyDescent="0.25">
      <c r="A172" t="s">
        <v>56</v>
      </c>
      <c r="B172" t="s">
        <v>48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33</v>
      </c>
      <c r="E172" t="s">
        <v>45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0</v>
      </c>
    </row>
    <row r="173" spans="1:7" x14ac:dyDescent="0.25">
      <c r="A173" t="s">
        <v>56</v>
      </c>
      <c r="B173" t="s">
        <v>48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33</v>
      </c>
      <c r="E173" t="s">
        <v>63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0</v>
      </c>
    </row>
    <row r="174" spans="1:7" x14ac:dyDescent="0.25">
      <c r="A174" t="s">
        <v>56</v>
      </c>
      <c r="B174" t="s">
        <v>48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38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0</v>
      </c>
    </row>
    <row r="175" spans="1:7" x14ac:dyDescent="0.25">
      <c r="A175" t="s">
        <v>56</v>
      </c>
      <c r="B175" t="s">
        <v>48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232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0</v>
      </c>
    </row>
    <row r="176" spans="1:7" x14ac:dyDescent="0.25">
      <c r="A176" t="s">
        <v>56</v>
      </c>
      <c r="B176" t="s">
        <v>48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43</v>
      </c>
      <c r="E176" t="s">
        <v>45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0</v>
      </c>
    </row>
    <row r="177" spans="1:7" x14ac:dyDescent="0.25">
      <c r="A177" t="s">
        <v>56</v>
      </c>
      <c r="B177" t="s">
        <v>48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43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0</v>
      </c>
    </row>
    <row r="178" spans="1:7" x14ac:dyDescent="0.25">
      <c r="A178" t="s">
        <v>56</v>
      </c>
      <c r="B178" t="s">
        <v>48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43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0</v>
      </c>
    </row>
    <row r="179" spans="1:7" x14ac:dyDescent="0.25">
      <c r="A179" t="s">
        <v>56</v>
      </c>
      <c r="B179" t="s">
        <v>48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43</v>
      </c>
      <c r="E179" t="s">
        <v>232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0</v>
      </c>
    </row>
    <row r="180" spans="1:7" x14ac:dyDescent="0.25">
      <c r="A180" t="s">
        <v>56</v>
      </c>
      <c r="B180" t="s">
        <v>48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45</v>
      </c>
      <c r="E180" t="s">
        <v>63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0</v>
      </c>
    </row>
    <row r="181" spans="1:7" x14ac:dyDescent="0.25">
      <c r="A181" t="s">
        <v>56</v>
      </c>
      <c r="B181" t="s">
        <v>48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45</v>
      </c>
      <c r="E181" t="s">
        <v>38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0</v>
      </c>
    </row>
    <row r="182" spans="1:7" x14ac:dyDescent="0.25">
      <c r="A182" t="s">
        <v>56</v>
      </c>
      <c r="B182" t="s">
        <v>48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45</v>
      </c>
      <c r="E182" t="s">
        <v>232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0</v>
      </c>
    </row>
    <row r="183" spans="1:7" x14ac:dyDescent="0.25">
      <c r="A183" t="s">
        <v>56</v>
      </c>
      <c r="B183" t="s">
        <v>48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63</v>
      </c>
      <c r="E183" t="s">
        <v>38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0</v>
      </c>
    </row>
    <row r="184" spans="1:7" x14ac:dyDescent="0.25">
      <c r="A184" t="s">
        <v>56</v>
      </c>
      <c r="B184" t="s">
        <v>48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63</v>
      </c>
      <c r="E184" t="s">
        <v>232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0</v>
      </c>
    </row>
    <row r="185" spans="1:7" x14ac:dyDescent="0.25">
      <c r="A185" t="s">
        <v>56</v>
      </c>
      <c r="B185" t="s">
        <v>48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38</v>
      </c>
      <c r="E185" t="s">
        <v>232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0</v>
      </c>
    </row>
    <row r="186" spans="1:7" x14ac:dyDescent="0.25">
      <c r="A186" t="s">
        <v>56</v>
      </c>
      <c r="B186" t="s">
        <v>33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48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0</v>
      </c>
    </row>
    <row r="187" spans="1:7" x14ac:dyDescent="0.25">
      <c r="A187" t="s">
        <v>56</v>
      </c>
      <c r="B187" t="s">
        <v>33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48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0</v>
      </c>
    </row>
    <row r="188" spans="1:7" x14ac:dyDescent="0.25">
      <c r="A188" t="s">
        <v>56</v>
      </c>
      <c r="B188" t="s">
        <v>33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48</v>
      </c>
      <c r="E188" t="s">
        <v>63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0</v>
      </c>
    </row>
    <row r="189" spans="1:7" x14ac:dyDescent="0.25">
      <c r="A189" t="s">
        <v>56</v>
      </c>
      <c r="B189" t="s">
        <v>33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48</v>
      </c>
      <c r="E189" t="s">
        <v>38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0</v>
      </c>
    </row>
    <row r="190" spans="1:7" x14ac:dyDescent="0.25">
      <c r="A190" t="s">
        <v>56</v>
      </c>
      <c r="B190" t="s">
        <v>33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48</v>
      </c>
      <c r="E190" t="s">
        <v>232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0</v>
      </c>
    </row>
    <row r="191" spans="1:7" x14ac:dyDescent="0.25">
      <c r="A191" t="s">
        <v>56</v>
      </c>
      <c r="B191" t="s">
        <v>33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43</v>
      </c>
      <c r="E191" t="s">
        <v>45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0</v>
      </c>
    </row>
    <row r="192" spans="1:7" x14ac:dyDescent="0.25">
      <c r="A192" t="s">
        <v>56</v>
      </c>
      <c r="B192" t="s">
        <v>33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43</v>
      </c>
      <c r="E192" t="s">
        <v>63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0</v>
      </c>
    </row>
    <row r="193" spans="1:7" x14ac:dyDescent="0.25">
      <c r="A193" t="s">
        <v>56</v>
      </c>
      <c r="B193" t="s">
        <v>33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43</v>
      </c>
      <c r="E193" t="s">
        <v>38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0</v>
      </c>
    </row>
    <row r="194" spans="1:7" x14ac:dyDescent="0.25">
      <c r="A194" t="s">
        <v>56</v>
      </c>
      <c r="B194" t="s">
        <v>33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43</v>
      </c>
      <c r="E194" t="s">
        <v>232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0</v>
      </c>
    </row>
    <row r="195" spans="1:7" x14ac:dyDescent="0.25">
      <c r="A195" t="s">
        <v>56</v>
      </c>
      <c r="B195" t="s">
        <v>33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45</v>
      </c>
      <c r="E195" t="s">
        <v>63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0</v>
      </c>
    </row>
    <row r="196" spans="1:7" x14ac:dyDescent="0.25">
      <c r="A196" t="s">
        <v>56</v>
      </c>
      <c r="B196" t="s">
        <v>33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45</v>
      </c>
      <c r="E196" t="s">
        <v>38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0</v>
      </c>
    </row>
    <row r="197" spans="1:7" x14ac:dyDescent="0.25">
      <c r="A197" t="s">
        <v>56</v>
      </c>
      <c r="B197" t="s">
        <v>33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232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0</v>
      </c>
    </row>
    <row r="198" spans="1:7" x14ac:dyDescent="0.25">
      <c r="A198" t="s">
        <v>56</v>
      </c>
      <c r="B198" t="s">
        <v>33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63</v>
      </c>
      <c r="E198" t="s">
        <v>38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0</v>
      </c>
    </row>
    <row r="199" spans="1:7" x14ac:dyDescent="0.25">
      <c r="A199" t="s">
        <v>56</v>
      </c>
      <c r="B199" t="s">
        <v>33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63</v>
      </c>
      <c r="E199" t="s">
        <v>232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0</v>
      </c>
    </row>
    <row r="200" spans="1:7" x14ac:dyDescent="0.25">
      <c r="A200" t="s">
        <v>56</v>
      </c>
      <c r="B200" t="s">
        <v>33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38</v>
      </c>
      <c r="E200" t="s">
        <v>232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0</v>
      </c>
    </row>
    <row r="201" spans="1:7" x14ac:dyDescent="0.25">
      <c r="A201" t="s">
        <v>56</v>
      </c>
      <c r="B201" t="s">
        <v>43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48</v>
      </c>
      <c r="E201" t="s">
        <v>33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0</v>
      </c>
    </row>
    <row r="202" spans="1:7" x14ac:dyDescent="0.25">
      <c r="A202" t="s">
        <v>56</v>
      </c>
      <c r="B202" t="s">
        <v>43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48</v>
      </c>
      <c r="E202" t="s">
        <v>45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0</v>
      </c>
    </row>
    <row r="203" spans="1:7" x14ac:dyDescent="0.25">
      <c r="A203" t="s">
        <v>56</v>
      </c>
      <c r="B203" t="s">
        <v>43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48</v>
      </c>
      <c r="E203" t="s">
        <v>63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0</v>
      </c>
    </row>
    <row r="204" spans="1:7" x14ac:dyDescent="0.25">
      <c r="A204" t="s">
        <v>56</v>
      </c>
      <c r="B204" t="s">
        <v>43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48</v>
      </c>
      <c r="E204" t="s">
        <v>38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0</v>
      </c>
    </row>
    <row r="205" spans="1:7" x14ac:dyDescent="0.25">
      <c r="A205" t="s">
        <v>56</v>
      </c>
      <c r="B205" t="s">
        <v>43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48</v>
      </c>
      <c r="E205" t="s">
        <v>232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0</v>
      </c>
    </row>
    <row r="206" spans="1:7" x14ac:dyDescent="0.25">
      <c r="A206" t="s">
        <v>56</v>
      </c>
      <c r="B206" t="s">
        <v>43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33</v>
      </c>
      <c r="E206" t="s">
        <v>45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0</v>
      </c>
    </row>
    <row r="207" spans="1:7" x14ac:dyDescent="0.25">
      <c r="A207" t="s">
        <v>56</v>
      </c>
      <c r="B207" t="s">
        <v>43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33</v>
      </c>
      <c r="E207" t="s">
        <v>63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0</v>
      </c>
    </row>
    <row r="208" spans="1:7" x14ac:dyDescent="0.25">
      <c r="A208" t="s">
        <v>56</v>
      </c>
      <c r="B208" t="s">
        <v>43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33</v>
      </c>
      <c r="E208" t="s">
        <v>38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0</v>
      </c>
    </row>
    <row r="209" spans="1:7" x14ac:dyDescent="0.25">
      <c r="A209" t="s">
        <v>56</v>
      </c>
      <c r="B209" t="s">
        <v>43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33</v>
      </c>
      <c r="E209" t="s">
        <v>232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0</v>
      </c>
    </row>
    <row r="210" spans="1:7" x14ac:dyDescent="0.25">
      <c r="A210" t="s">
        <v>56</v>
      </c>
      <c r="B210" t="s">
        <v>43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45</v>
      </c>
      <c r="E210" t="s">
        <v>63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0</v>
      </c>
    </row>
    <row r="211" spans="1:7" x14ac:dyDescent="0.25">
      <c r="A211" t="s">
        <v>56</v>
      </c>
      <c r="B211" t="s">
        <v>43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1">
        <f>ScenarioStat1[[#This Row],[team-1-win]]+ScenarioStat1[[#This Row],[team-2-win]]</f>
        <v>0</v>
      </c>
    </row>
    <row r="212" spans="1:7" x14ac:dyDescent="0.25">
      <c r="A212" t="s">
        <v>56</v>
      </c>
      <c r="B212" t="s">
        <v>43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232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0</v>
      </c>
    </row>
    <row r="213" spans="1:7" x14ac:dyDescent="0.25">
      <c r="A213" t="s">
        <v>56</v>
      </c>
      <c r="B213" t="s">
        <v>43</v>
      </c>
      <c r="C2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3" t="s">
        <v>63</v>
      </c>
      <c r="E213" t="s">
        <v>38</v>
      </c>
      <c r="F2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3">
        <f>ScenarioStat1[[#This Row],[team-1-win]]+ScenarioStat1[[#This Row],[team-2-win]]</f>
        <v>0</v>
      </c>
    </row>
    <row r="214" spans="1:7" x14ac:dyDescent="0.25">
      <c r="A214" t="s">
        <v>56</v>
      </c>
      <c r="B214" t="s">
        <v>43</v>
      </c>
      <c r="C2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4" t="s">
        <v>63</v>
      </c>
      <c r="E214" t="s">
        <v>232</v>
      </c>
      <c r="F2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4">
        <f>ScenarioStat1[[#This Row],[team-1-win]]+ScenarioStat1[[#This Row],[team-2-win]]</f>
        <v>0</v>
      </c>
    </row>
    <row r="215" spans="1:7" x14ac:dyDescent="0.25">
      <c r="A215" t="s">
        <v>56</v>
      </c>
      <c r="B215" t="s">
        <v>43</v>
      </c>
      <c r="C2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5" t="s">
        <v>38</v>
      </c>
      <c r="E215" t="s">
        <v>232</v>
      </c>
      <c r="F2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5">
        <f>ScenarioStat1[[#This Row],[team-1-win]]+ScenarioStat1[[#This Row],[team-2-win]]</f>
        <v>0</v>
      </c>
    </row>
    <row r="216" spans="1:7" x14ac:dyDescent="0.25">
      <c r="A216" t="s">
        <v>56</v>
      </c>
      <c r="B216" t="s">
        <v>45</v>
      </c>
      <c r="C2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6" t="s">
        <v>48</v>
      </c>
      <c r="E216" t="s">
        <v>33</v>
      </c>
      <c r="F2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6">
        <f>ScenarioStat1[[#This Row],[team-1-win]]+ScenarioStat1[[#This Row],[team-2-win]]</f>
        <v>0</v>
      </c>
    </row>
    <row r="217" spans="1:7" x14ac:dyDescent="0.25">
      <c r="A217" t="s">
        <v>56</v>
      </c>
      <c r="B217" t="s">
        <v>45</v>
      </c>
      <c r="C2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7" t="s">
        <v>48</v>
      </c>
      <c r="E217" t="s">
        <v>43</v>
      </c>
      <c r="F2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7">
        <f>ScenarioStat1[[#This Row],[team-1-win]]+ScenarioStat1[[#This Row],[team-2-win]]</f>
        <v>0</v>
      </c>
    </row>
    <row r="218" spans="1:7" x14ac:dyDescent="0.25">
      <c r="A218" t="s">
        <v>56</v>
      </c>
      <c r="B218" t="s">
        <v>45</v>
      </c>
      <c r="C2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8" t="s">
        <v>48</v>
      </c>
      <c r="E218" t="s">
        <v>63</v>
      </c>
      <c r="F2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8">
        <f>ScenarioStat1[[#This Row],[team-1-win]]+ScenarioStat1[[#This Row],[team-2-win]]</f>
        <v>0</v>
      </c>
    </row>
    <row r="219" spans="1:7" x14ac:dyDescent="0.25">
      <c r="A219" t="s">
        <v>56</v>
      </c>
      <c r="B219" t="s">
        <v>45</v>
      </c>
      <c r="C2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9" t="s">
        <v>48</v>
      </c>
      <c r="E219" t="s">
        <v>38</v>
      </c>
      <c r="F2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9">
        <f>ScenarioStat1[[#This Row],[team-1-win]]+ScenarioStat1[[#This Row],[team-2-win]]</f>
        <v>0</v>
      </c>
    </row>
    <row r="220" spans="1:7" x14ac:dyDescent="0.25">
      <c r="A220" t="s">
        <v>56</v>
      </c>
      <c r="B220" t="s">
        <v>45</v>
      </c>
      <c r="C2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0" t="s">
        <v>48</v>
      </c>
      <c r="E220" t="s">
        <v>232</v>
      </c>
      <c r="F2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0">
        <f>ScenarioStat1[[#This Row],[team-1-win]]+ScenarioStat1[[#This Row],[team-2-win]]</f>
        <v>0</v>
      </c>
    </row>
    <row r="221" spans="1:7" x14ac:dyDescent="0.25">
      <c r="A221" t="s">
        <v>56</v>
      </c>
      <c r="B221" t="s">
        <v>45</v>
      </c>
      <c r="C2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1" t="s">
        <v>33</v>
      </c>
      <c r="E221" t="s">
        <v>43</v>
      </c>
      <c r="F2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1">
        <f>ScenarioStat1[[#This Row],[team-1-win]]+ScenarioStat1[[#This Row],[team-2-win]]</f>
        <v>0</v>
      </c>
    </row>
    <row r="222" spans="1:7" x14ac:dyDescent="0.25">
      <c r="A222" t="s">
        <v>56</v>
      </c>
      <c r="B222" t="s">
        <v>45</v>
      </c>
      <c r="C2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2" t="s">
        <v>33</v>
      </c>
      <c r="E222" t="s">
        <v>63</v>
      </c>
      <c r="F2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2">
        <f>ScenarioStat1[[#This Row],[team-1-win]]+ScenarioStat1[[#This Row],[team-2-win]]</f>
        <v>0</v>
      </c>
    </row>
    <row r="223" spans="1:7" x14ac:dyDescent="0.25">
      <c r="A223" t="s">
        <v>56</v>
      </c>
      <c r="B223" t="s">
        <v>45</v>
      </c>
      <c r="C2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3" t="s">
        <v>33</v>
      </c>
      <c r="E223" t="s">
        <v>38</v>
      </c>
      <c r="F2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3">
        <f>ScenarioStat1[[#This Row],[team-1-win]]+ScenarioStat1[[#This Row],[team-2-win]]</f>
        <v>0</v>
      </c>
    </row>
    <row r="224" spans="1:7" x14ac:dyDescent="0.25">
      <c r="A224" t="s">
        <v>56</v>
      </c>
      <c r="B224" t="s">
        <v>45</v>
      </c>
      <c r="C2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4" t="s">
        <v>33</v>
      </c>
      <c r="E224" t="s">
        <v>232</v>
      </c>
      <c r="F2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4">
        <f>ScenarioStat1[[#This Row],[team-1-win]]+ScenarioStat1[[#This Row],[team-2-win]]</f>
        <v>0</v>
      </c>
    </row>
    <row r="225" spans="1:7" x14ac:dyDescent="0.25">
      <c r="A225" t="s">
        <v>56</v>
      </c>
      <c r="B225" t="s">
        <v>45</v>
      </c>
      <c r="C2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5" t="s">
        <v>43</v>
      </c>
      <c r="E225" t="s">
        <v>63</v>
      </c>
      <c r="F2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5">
        <f>ScenarioStat1[[#This Row],[team-1-win]]+ScenarioStat1[[#This Row],[team-2-win]]</f>
        <v>0</v>
      </c>
    </row>
    <row r="226" spans="1:7" x14ac:dyDescent="0.25">
      <c r="A226" t="s">
        <v>56</v>
      </c>
      <c r="B226" t="s">
        <v>45</v>
      </c>
      <c r="C2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6" t="s">
        <v>43</v>
      </c>
      <c r="E226" t="s">
        <v>38</v>
      </c>
      <c r="F2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6">
        <f>ScenarioStat1[[#This Row],[team-1-win]]+ScenarioStat1[[#This Row],[team-2-win]]</f>
        <v>0</v>
      </c>
    </row>
    <row r="227" spans="1:7" x14ac:dyDescent="0.25">
      <c r="A227" t="s">
        <v>56</v>
      </c>
      <c r="B227" t="s">
        <v>45</v>
      </c>
      <c r="C2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7" t="s">
        <v>43</v>
      </c>
      <c r="E227" t="s">
        <v>232</v>
      </c>
      <c r="F2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7">
        <f>ScenarioStat1[[#This Row],[team-1-win]]+ScenarioStat1[[#This Row],[team-2-win]]</f>
        <v>0</v>
      </c>
    </row>
    <row r="228" spans="1:7" x14ac:dyDescent="0.25">
      <c r="A228" t="s">
        <v>56</v>
      </c>
      <c r="B228" t="s">
        <v>45</v>
      </c>
      <c r="C2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8" t="s">
        <v>63</v>
      </c>
      <c r="E228" t="s">
        <v>38</v>
      </c>
      <c r="F2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8">
        <f>ScenarioStat1[[#This Row],[team-1-win]]+ScenarioStat1[[#This Row],[team-2-win]]</f>
        <v>0</v>
      </c>
    </row>
    <row r="229" spans="1:7" x14ac:dyDescent="0.25">
      <c r="A229" t="s">
        <v>56</v>
      </c>
      <c r="B229" t="s">
        <v>45</v>
      </c>
      <c r="C2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9" t="s">
        <v>63</v>
      </c>
      <c r="E229" t="s">
        <v>232</v>
      </c>
      <c r="F2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9">
        <f>ScenarioStat1[[#This Row],[team-1-win]]+ScenarioStat1[[#This Row],[team-2-win]]</f>
        <v>0</v>
      </c>
    </row>
    <row r="230" spans="1:7" x14ac:dyDescent="0.25">
      <c r="A230" t="s">
        <v>56</v>
      </c>
      <c r="B230" t="s">
        <v>45</v>
      </c>
      <c r="C2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0" t="s">
        <v>38</v>
      </c>
      <c r="E230" t="s">
        <v>232</v>
      </c>
      <c r="F2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0">
        <f>ScenarioStat1[[#This Row],[team-1-win]]+ScenarioStat1[[#This Row],[team-2-win]]</f>
        <v>0</v>
      </c>
    </row>
    <row r="231" spans="1:7" x14ac:dyDescent="0.25">
      <c r="A231" t="s">
        <v>56</v>
      </c>
      <c r="B231" t="s">
        <v>63</v>
      </c>
      <c r="C2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1" t="s">
        <v>48</v>
      </c>
      <c r="E231" t="s">
        <v>33</v>
      </c>
      <c r="F2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1">
        <f>ScenarioStat1[[#This Row],[team-1-win]]+ScenarioStat1[[#This Row],[team-2-win]]</f>
        <v>0</v>
      </c>
    </row>
    <row r="232" spans="1:7" x14ac:dyDescent="0.25">
      <c r="A232" t="s">
        <v>56</v>
      </c>
      <c r="B232" t="s">
        <v>63</v>
      </c>
      <c r="C2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2" t="s">
        <v>48</v>
      </c>
      <c r="E232" t="s">
        <v>43</v>
      </c>
      <c r="F2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2">
        <f>ScenarioStat1[[#This Row],[team-1-win]]+ScenarioStat1[[#This Row],[team-2-win]]</f>
        <v>0</v>
      </c>
    </row>
    <row r="233" spans="1:7" x14ac:dyDescent="0.25">
      <c r="A233" t="s">
        <v>56</v>
      </c>
      <c r="B233" t="s">
        <v>63</v>
      </c>
      <c r="C2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3" t="s">
        <v>48</v>
      </c>
      <c r="E233" t="s">
        <v>45</v>
      </c>
      <c r="F2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3">
        <f>ScenarioStat1[[#This Row],[team-1-win]]+ScenarioStat1[[#This Row],[team-2-win]]</f>
        <v>0</v>
      </c>
    </row>
    <row r="234" spans="1:7" x14ac:dyDescent="0.25">
      <c r="A234" t="s">
        <v>56</v>
      </c>
      <c r="B234" t="s">
        <v>63</v>
      </c>
      <c r="C2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4" t="s">
        <v>48</v>
      </c>
      <c r="E234" t="s">
        <v>38</v>
      </c>
      <c r="F2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4">
        <f>ScenarioStat1[[#This Row],[team-1-win]]+ScenarioStat1[[#This Row],[team-2-win]]</f>
        <v>0</v>
      </c>
    </row>
    <row r="235" spans="1:7" x14ac:dyDescent="0.25">
      <c r="A235" t="s">
        <v>56</v>
      </c>
      <c r="B235" t="s">
        <v>63</v>
      </c>
      <c r="C2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5" t="s">
        <v>48</v>
      </c>
      <c r="E235" t="s">
        <v>232</v>
      </c>
      <c r="F2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5">
        <f>ScenarioStat1[[#This Row],[team-1-win]]+ScenarioStat1[[#This Row],[team-2-win]]</f>
        <v>0</v>
      </c>
    </row>
    <row r="236" spans="1:7" x14ac:dyDescent="0.25">
      <c r="A236" t="s">
        <v>56</v>
      </c>
      <c r="B236" t="s">
        <v>63</v>
      </c>
      <c r="C2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6" t="s">
        <v>33</v>
      </c>
      <c r="E236" t="s">
        <v>43</v>
      </c>
      <c r="F2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6">
        <f>ScenarioStat1[[#This Row],[team-1-win]]+ScenarioStat1[[#This Row],[team-2-win]]</f>
        <v>0</v>
      </c>
    </row>
    <row r="237" spans="1:7" x14ac:dyDescent="0.25">
      <c r="A237" t="s">
        <v>56</v>
      </c>
      <c r="B237" t="s">
        <v>63</v>
      </c>
      <c r="C2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7" t="s">
        <v>33</v>
      </c>
      <c r="E237" t="s">
        <v>45</v>
      </c>
      <c r="F2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7">
        <f>ScenarioStat1[[#This Row],[team-1-win]]+ScenarioStat1[[#This Row],[team-2-win]]</f>
        <v>0</v>
      </c>
    </row>
    <row r="238" spans="1:7" x14ac:dyDescent="0.25">
      <c r="A238" t="s">
        <v>56</v>
      </c>
      <c r="B238" t="s">
        <v>63</v>
      </c>
      <c r="C2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8" t="s">
        <v>33</v>
      </c>
      <c r="E238" t="s">
        <v>38</v>
      </c>
      <c r="F2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8">
        <f>ScenarioStat1[[#This Row],[team-1-win]]+ScenarioStat1[[#This Row],[team-2-win]]</f>
        <v>0</v>
      </c>
    </row>
    <row r="239" spans="1:7" x14ac:dyDescent="0.25">
      <c r="A239" t="s">
        <v>56</v>
      </c>
      <c r="B239" t="s">
        <v>63</v>
      </c>
      <c r="C2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9" t="s">
        <v>33</v>
      </c>
      <c r="E239" t="s">
        <v>232</v>
      </c>
      <c r="F2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9">
        <f>ScenarioStat1[[#This Row],[team-1-win]]+ScenarioStat1[[#This Row],[team-2-win]]</f>
        <v>0</v>
      </c>
    </row>
    <row r="240" spans="1:7" x14ac:dyDescent="0.25">
      <c r="A240" t="s">
        <v>56</v>
      </c>
      <c r="B240" t="s">
        <v>63</v>
      </c>
      <c r="C2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0" t="s">
        <v>43</v>
      </c>
      <c r="E240" t="s">
        <v>45</v>
      </c>
      <c r="F2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0">
        <f>ScenarioStat1[[#This Row],[team-1-win]]+ScenarioStat1[[#This Row],[team-2-win]]</f>
        <v>0</v>
      </c>
    </row>
    <row r="241" spans="1:7" x14ac:dyDescent="0.25">
      <c r="A241" t="s">
        <v>56</v>
      </c>
      <c r="B241" t="s">
        <v>63</v>
      </c>
      <c r="C2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1" t="s">
        <v>43</v>
      </c>
      <c r="E241" t="s">
        <v>38</v>
      </c>
      <c r="F2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1">
        <f>ScenarioStat1[[#This Row],[team-1-win]]+ScenarioStat1[[#This Row],[team-2-win]]</f>
        <v>0</v>
      </c>
    </row>
    <row r="242" spans="1:7" x14ac:dyDescent="0.25">
      <c r="A242" t="s">
        <v>56</v>
      </c>
      <c r="B242" t="s">
        <v>63</v>
      </c>
      <c r="C2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2" t="s">
        <v>43</v>
      </c>
      <c r="E242" t="s">
        <v>232</v>
      </c>
      <c r="F2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2">
        <f>ScenarioStat1[[#This Row],[team-1-win]]+ScenarioStat1[[#This Row],[team-2-win]]</f>
        <v>0</v>
      </c>
    </row>
    <row r="243" spans="1:7" x14ac:dyDescent="0.25">
      <c r="A243" t="s">
        <v>56</v>
      </c>
      <c r="B243" t="s">
        <v>63</v>
      </c>
      <c r="C2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3" t="s">
        <v>45</v>
      </c>
      <c r="E243" t="s">
        <v>38</v>
      </c>
      <c r="F2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3">
        <f>ScenarioStat1[[#This Row],[team-1-win]]+ScenarioStat1[[#This Row],[team-2-win]]</f>
        <v>0</v>
      </c>
    </row>
    <row r="244" spans="1:7" x14ac:dyDescent="0.25">
      <c r="A244" t="s">
        <v>56</v>
      </c>
      <c r="B244" t="s">
        <v>63</v>
      </c>
      <c r="C2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4" t="s">
        <v>45</v>
      </c>
      <c r="E244" t="s">
        <v>232</v>
      </c>
      <c r="F2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4">
        <f>ScenarioStat1[[#This Row],[team-1-win]]+ScenarioStat1[[#This Row],[team-2-win]]</f>
        <v>0</v>
      </c>
    </row>
    <row r="245" spans="1:7" x14ac:dyDescent="0.25">
      <c r="A245" t="s">
        <v>56</v>
      </c>
      <c r="B245" t="s">
        <v>63</v>
      </c>
      <c r="C2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5" t="s">
        <v>38</v>
      </c>
      <c r="E245" t="s">
        <v>232</v>
      </c>
      <c r="F2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5">
        <f>ScenarioStat1[[#This Row],[team-1-win]]+ScenarioStat1[[#This Row],[team-2-win]]</f>
        <v>0</v>
      </c>
    </row>
    <row r="246" spans="1:7" x14ac:dyDescent="0.25">
      <c r="A246" t="s">
        <v>56</v>
      </c>
      <c r="B246" t="s">
        <v>38</v>
      </c>
      <c r="C2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6" t="s">
        <v>48</v>
      </c>
      <c r="E246" t="s">
        <v>33</v>
      </c>
      <c r="F2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6">
        <f>ScenarioStat1[[#This Row],[team-1-win]]+ScenarioStat1[[#This Row],[team-2-win]]</f>
        <v>0</v>
      </c>
    </row>
    <row r="247" spans="1:7" x14ac:dyDescent="0.25">
      <c r="A247" t="s">
        <v>56</v>
      </c>
      <c r="B247" t="s">
        <v>38</v>
      </c>
      <c r="C2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7" t="s">
        <v>48</v>
      </c>
      <c r="E247" t="s">
        <v>43</v>
      </c>
      <c r="F2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7">
        <f>ScenarioStat1[[#This Row],[team-1-win]]+ScenarioStat1[[#This Row],[team-2-win]]</f>
        <v>0</v>
      </c>
    </row>
    <row r="248" spans="1:7" x14ac:dyDescent="0.25">
      <c r="A248" t="s">
        <v>56</v>
      </c>
      <c r="B248" t="s">
        <v>38</v>
      </c>
      <c r="C2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8" t="s">
        <v>48</v>
      </c>
      <c r="E248" t="s">
        <v>45</v>
      </c>
      <c r="F2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8">
        <f>ScenarioStat1[[#This Row],[team-1-win]]+ScenarioStat1[[#This Row],[team-2-win]]</f>
        <v>0</v>
      </c>
    </row>
    <row r="249" spans="1:7" x14ac:dyDescent="0.25">
      <c r="A249" t="s">
        <v>56</v>
      </c>
      <c r="B249" t="s">
        <v>38</v>
      </c>
      <c r="C2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9" t="s">
        <v>48</v>
      </c>
      <c r="E249" t="s">
        <v>63</v>
      </c>
      <c r="F2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9">
        <f>ScenarioStat1[[#This Row],[team-1-win]]+ScenarioStat1[[#This Row],[team-2-win]]</f>
        <v>0</v>
      </c>
    </row>
    <row r="250" spans="1:7" x14ac:dyDescent="0.25">
      <c r="A250" t="s">
        <v>56</v>
      </c>
      <c r="B250" t="s">
        <v>38</v>
      </c>
      <c r="C2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0" t="s">
        <v>48</v>
      </c>
      <c r="E250" t="s">
        <v>232</v>
      </c>
      <c r="F2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0">
        <f>ScenarioStat1[[#This Row],[team-1-win]]+ScenarioStat1[[#This Row],[team-2-win]]</f>
        <v>0</v>
      </c>
    </row>
    <row r="251" spans="1:7" x14ac:dyDescent="0.25">
      <c r="A251" t="s">
        <v>56</v>
      </c>
      <c r="B251" t="s">
        <v>38</v>
      </c>
      <c r="C2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1" t="s">
        <v>33</v>
      </c>
      <c r="E251" t="s">
        <v>43</v>
      </c>
      <c r="F2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1">
        <f>ScenarioStat1[[#This Row],[team-1-win]]+ScenarioStat1[[#This Row],[team-2-win]]</f>
        <v>0</v>
      </c>
    </row>
    <row r="252" spans="1:7" x14ac:dyDescent="0.25">
      <c r="A252" t="s">
        <v>56</v>
      </c>
      <c r="B252" t="s">
        <v>38</v>
      </c>
      <c r="C2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2" t="s">
        <v>33</v>
      </c>
      <c r="E252" t="s">
        <v>45</v>
      </c>
      <c r="F2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2">
        <f>ScenarioStat1[[#This Row],[team-1-win]]+ScenarioStat1[[#This Row],[team-2-win]]</f>
        <v>0</v>
      </c>
    </row>
    <row r="253" spans="1:7" x14ac:dyDescent="0.25">
      <c r="A253" t="s">
        <v>56</v>
      </c>
      <c r="B253" t="s">
        <v>38</v>
      </c>
      <c r="C2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3" t="s">
        <v>33</v>
      </c>
      <c r="E253" t="s">
        <v>63</v>
      </c>
      <c r="F2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3">
        <f>ScenarioStat1[[#This Row],[team-1-win]]+ScenarioStat1[[#This Row],[team-2-win]]</f>
        <v>0</v>
      </c>
    </row>
    <row r="254" spans="1:7" x14ac:dyDescent="0.25">
      <c r="A254" t="s">
        <v>56</v>
      </c>
      <c r="B254" t="s">
        <v>38</v>
      </c>
      <c r="C2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4" t="s">
        <v>33</v>
      </c>
      <c r="E254" t="s">
        <v>232</v>
      </c>
      <c r="F2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4">
        <f>ScenarioStat1[[#This Row],[team-1-win]]+ScenarioStat1[[#This Row],[team-2-win]]</f>
        <v>0</v>
      </c>
    </row>
    <row r="255" spans="1:7" x14ac:dyDescent="0.25">
      <c r="A255" t="s">
        <v>56</v>
      </c>
      <c r="B255" t="s">
        <v>38</v>
      </c>
      <c r="C2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5" t="s">
        <v>43</v>
      </c>
      <c r="E255" t="s">
        <v>45</v>
      </c>
      <c r="F2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5">
        <f>ScenarioStat1[[#This Row],[team-1-win]]+ScenarioStat1[[#This Row],[team-2-win]]</f>
        <v>0</v>
      </c>
    </row>
    <row r="256" spans="1:7" x14ac:dyDescent="0.25">
      <c r="A256" t="s">
        <v>56</v>
      </c>
      <c r="B256" t="s">
        <v>38</v>
      </c>
      <c r="C2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6" t="s">
        <v>43</v>
      </c>
      <c r="E256" t="s">
        <v>63</v>
      </c>
      <c r="F2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6">
        <f>ScenarioStat1[[#This Row],[team-1-win]]+ScenarioStat1[[#This Row],[team-2-win]]</f>
        <v>0</v>
      </c>
    </row>
    <row r="257" spans="1:7" x14ac:dyDescent="0.25">
      <c r="A257" t="s">
        <v>56</v>
      </c>
      <c r="B257" t="s">
        <v>38</v>
      </c>
      <c r="C2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7" t="s">
        <v>43</v>
      </c>
      <c r="E257" t="s">
        <v>232</v>
      </c>
      <c r="F2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7">
        <f>ScenarioStat1[[#This Row],[team-1-win]]+ScenarioStat1[[#This Row],[team-2-win]]</f>
        <v>0</v>
      </c>
    </row>
    <row r="258" spans="1:7" x14ac:dyDescent="0.25">
      <c r="A258" t="s">
        <v>56</v>
      </c>
      <c r="B258" t="s">
        <v>38</v>
      </c>
      <c r="C2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8" t="s">
        <v>45</v>
      </c>
      <c r="E258" t="s">
        <v>63</v>
      </c>
      <c r="F2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8">
        <f>ScenarioStat1[[#This Row],[team-1-win]]+ScenarioStat1[[#This Row],[team-2-win]]</f>
        <v>0</v>
      </c>
    </row>
    <row r="259" spans="1:7" x14ac:dyDescent="0.25">
      <c r="A259" t="s">
        <v>56</v>
      </c>
      <c r="B259" t="s">
        <v>38</v>
      </c>
      <c r="C2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9" t="s">
        <v>45</v>
      </c>
      <c r="E259" t="s">
        <v>232</v>
      </c>
      <c r="F2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9">
        <f>ScenarioStat1[[#This Row],[team-1-win]]+ScenarioStat1[[#This Row],[team-2-win]]</f>
        <v>0</v>
      </c>
    </row>
    <row r="260" spans="1:7" x14ac:dyDescent="0.25">
      <c r="A260" t="s">
        <v>56</v>
      </c>
      <c r="B260" t="s">
        <v>38</v>
      </c>
      <c r="C2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0" t="s">
        <v>63</v>
      </c>
      <c r="E260" t="s">
        <v>232</v>
      </c>
      <c r="F2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0">
        <f>ScenarioStat1[[#This Row],[team-1-win]]+ScenarioStat1[[#This Row],[team-2-win]]</f>
        <v>0</v>
      </c>
    </row>
    <row r="261" spans="1:7" x14ac:dyDescent="0.25">
      <c r="A261" t="s">
        <v>56</v>
      </c>
      <c r="B261" t="s">
        <v>232</v>
      </c>
      <c r="C2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1" t="s">
        <v>48</v>
      </c>
      <c r="E261" t="s">
        <v>33</v>
      </c>
      <c r="F2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1">
        <f>ScenarioStat1[[#This Row],[team-1-win]]+ScenarioStat1[[#This Row],[team-2-win]]</f>
        <v>0</v>
      </c>
    </row>
    <row r="262" spans="1:7" x14ac:dyDescent="0.25">
      <c r="A262" t="s">
        <v>56</v>
      </c>
      <c r="B262" t="s">
        <v>232</v>
      </c>
      <c r="C2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2" t="s">
        <v>48</v>
      </c>
      <c r="E262" t="s">
        <v>43</v>
      </c>
      <c r="F2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2">
        <f>ScenarioStat1[[#This Row],[team-1-win]]+ScenarioStat1[[#This Row],[team-2-win]]</f>
        <v>0</v>
      </c>
    </row>
    <row r="263" spans="1:7" x14ac:dyDescent="0.25">
      <c r="A263" t="s">
        <v>56</v>
      </c>
      <c r="B263" t="s">
        <v>232</v>
      </c>
      <c r="C2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3" t="s">
        <v>48</v>
      </c>
      <c r="E263" t="s">
        <v>45</v>
      </c>
      <c r="F2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3">
        <f>ScenarioStat1[[#This Row],[team-1-win]]+ScenarioStat1[[#This Row],[team-2-win]]</f>
        <v>0</v>
      </c>
    </row>
    <row r="264" spans="1:7" x14ac:dyDescent="0.25">
      <c r="A264" t="s">
        <v>56</v>
      </c>
      <c r="B264" t="s">
        <v>232</v>
      </c>
      <c r="C2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4" t="s">
        <v>48</v>
      </c>
      <c r="E264" t="s">
        <v>63</v>
      </c>
      <c r="F2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4">
        <f>ScenarioStat1[[#This Row],[team-1-win]]+ScenarioStat1[[#This Row],[team-2-win]]</f>
        <v>0</v>
      </c>
    </row>
    <row r="265" spans="1:7" x14ac:dyDescent="0.25">
      <c r="A265" t="s">
        <v>56</v>
      </c>
      <c r="B265" t="s">
        <v>232</v>
      </c>
      <c r="C2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5" t="s">
        <v>48</v>
      </c>
      <c r="E265" t="s">
        <v>38</v>
      </c>
      <c r="F2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5">
        <f>ScenarioStat1[[#This Row],[team-1-win]]+ScenarioStat1[[#This Row],[team-2-win]]</f>
        <v>0</v>
      </c>
    </row>
    <row r="266" spans="1:7" x14ac:dyDescent="0.25">
      <c r="A266" t="s">
        <v>56</v>
      </c>
      <c r="B266" t="s">
        <v>232</v>
      </c>
      <c r="C2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6" t="s">
        <v>33</v>
      </c>
      <c r="E266" t="s">
        <v>43</v>
      </c>
      <c r="F2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6">
        <f>ScenarioStat1[[#This Row],[team-1-win]]+ScenarioStat1[[#This Row],[team-2-win]]</f>
        <v>0</v>
      </c>
    </row>
    <row r="267" spans="1:7" x14ac:dyDescent="0.25">
      <c r="A267" t="s">
        <v>56</v>
      </c>
      <c r="B267" t="s">
        <v>232</v>
      </c>
      <c r="C2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7" t="s">
        <v>33</v>
      </c>
      <c r="E267" t="s">
        <v>45</v>
      </c>
      <c r="F2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7">
        <f>ScenarioStat1[[#This Row],[team-1-win]]+ScenarioStat1[[#This Row],[team-2-win]]</f>
        <v>0</v>
      </c>
    </row>
    <row r="268" spans="1:7" x14ac:dyDescent="0.25">
      <c r="A268" t="s">
        <v>56</v>
      </c>
      <c r="B268" t="s">
        <v>232</v>
      </c>
      <c r="C2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8" t="s">
        <v>33</v>
      </c>
      <c r="E268" t="s">
        <v>63</v>
      </c>
      <c r="F2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8">
        <f>ScenarioStat1[[#This Row],[team-1-win]]+ScenarioStat1[[#This Row],[team-2-win]]</f>
        <v>0</v>
      </c>
    </row>
    <row r="269" spans="1:7" x14ac:dyDescent="0.25">
      <c r="A269" t="s">
        <v>56</v>
      </c>
      <c r="B269" t="s">
        <v>232</v>
      </c>
      <c r="C2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9" t="s">
        <v>33</v>
      </c>
      <c r="E269" t="s">
        <v>38</v>
      </c>
      <c r="F2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9">
        <f>ScenarioStat1[[#This Row],[team-1-win]]+ScenarioStat1[[#This Row],[team-2-win]]</f>
        <v>0</v>
      </c>
    </row>
    <row r="270" spans="1:7" x14ac:dyDescent="0.25">
      <c r="A270" t="s">
        <v>56</v>
      </c>
      <c r="B270" t="s">
        <v>232</v>
      </c>
      <c r="C2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0" t="s">
        <v>43</v>
      </c>
      <c r="E270" t="s">
        <v>45</v>
      </c>
      <c r="F2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0">
        <f>ScenarioStat1[[#This Row],[team-1-win]]+ScenarioStat1[[#This Row],[team-2-win]]</f>
        <v>0</v>
      </c>
    </row>
    <row r="271" spans="1:7" x14ac:dyDescent="0.25">
      <c r="A271" t="s">
        <v>56</v>
      </c>
      <c r="B271" t="s">
        <v>232</v>
      </c>
      <c r="C2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1" t="s">
        <v>43</v>
      </c>
      <c r="E271" t="s">
        <v>63</v>
      </c>
      <c r="F2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1">
        <f>ScenarioStat1[[#This Row],[team-1-win]]+ScenarioStat1[[#This Row],[team-2-win]]</f>
        <v>0</v>
      </c>
    </row>
    <row r="272" spans="1:7" x14ac:dyDescent="0.25">
      <c r="A272" t="s">
        <v>56</v>
      </c>
      <c r="B272" t="s">
        <v>232</v>
      </c>
      <c r="C2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2" t="s">
        <v>43</v>
      </c>
      <c r="E272" t="s">
        <v>38</v>
      </c>
      <c r="F2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2">
        <f>ScenarioStat1[[#This Row],[team-1-win]]+ScenarioStat1[[#This Row],[team-2-win]]</f>
        <v>0</v>
      </c>
    </row>
    <row r="273" spans="1:7" x14ac:dyDescent="0.25">
      <c r="A273" t="s">
        <v>56</v>
      </c>
      <c r="B273" t="s">
        <v>232</v>
      </c>
      <c r="C2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3" t="s">
        <v>45</v>
      </c>
      <c r="E273" t="s">
        <v>63</v>
      </c>
      <c r="F2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3">
        <f>ScenarioStat1[[#This Row],[team-1-win]]+ScenarioStat1[[#This Row],[team-2-win]]</f>
        <v>0</v>
      </c>
    </row>
    <row r="274" spans="1:7" x14ac:dyDescent="0.25">
      <c r="A274" t="s">
        <v>56</v>
      </c>
      <c r="B274" t="s">
        <v>232</v>
      </c>
      <c r="C2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4" t="s">
        <v>45</v>
      </c>
      <c r="E274" t="s">
        <v>38</v>
      </c>
      <c r="F2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4">
        <f>ScenarioStat1[[#This Row],[team-1-win]]+ScenarioStat1[[#This Row],[team-2-win]]</f>
        <v>0</v>
      </c>
    </row>
    <row r="275" spans="1:7" x14ac:dyDescent="0.25">
      <c r="A275" t="s">
        <v>56</v>
      </c>
      <c r="B275" t="s">
        <v>232</v>
      </c>
      <c r="C2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5" t="s">
        <v>63</v>
      </c>
      <c r="E275" t="s">
        <v>38</v>
      </c>
      <c r="F2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5">
        <f>ScenarioStat1[[#This Row],[team-1-win]]+ScenarioStat1[[#This Row],[team-2-win]]</f>
        <v>0</v>
      </c>
    </row>
    <row r="276" spans="1:7" x14ac:dyDescent="0.25">
      <c r="A276" t="s">
        <v>48</v>
      </c>
      <c r="B276" t="s">
        <v>33</v>
      </c>
      <c r="C2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6" t="s">
        <v>43</v>
      </c>
      <c r="E276" t="s">
        <v>45</v>
      </c>
      <c r="F2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6">
        <f>ScenarioStat1[[#This Row],[team-1-win]]+ScenarioStat1[[#This Row],[team-2-win]]</f>
        <v>0</v>
      </c>
    </row>
    <row r="277" spans="1:7" x14ac:dyDescent="0.25">
      <c r="A277" t="s">
        <v>48</v>
      </c>
      <c r="B277" t="s">
        <v>33</v>
      </c>
      <c r="C2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7" t="s">
        <v>43</v>
      </c>
      <c r="E277" t="s">
        <v>63</v>
      </c>
      <c r="F2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7">
        <f>ScenarioStat1[[#This Row],[team-1-win]]+ScenarioStat1[[#This Row],[team-2-win]]</f>
        <v>0</v>
      </c>
    </row>
    <row r="278" spans="1:7" x14ac:dyDescent="0.25">
      <c r="A278" t="s">
        <v>48</v>
      </c>
      <c r="B278" t="s">
        <v>33</v>
      </c>
      <c r="C2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8" t="s">
        <v>43</v>
      </c>
      <c r="E278" t="s">
        <v>38</v>
      </c>
      <c r="F2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8">
        <f>ScenarioStat1[[#This Row],[team-1-win]]+ScenarioStat1[[#This Row],[team-2-win]]</f>
        <v>0</v>
      </c>
    </row>
    <row r="279" spans="1:7" x14ac:dyDescent="0.25">
      <c r="A279" t="s">
        <v>48</v>
      </c>
      <c r="B279" t="s">
        <v>33</v>
      </c>
      <c r="C2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9" t="s">
        <v>43</v>
      </c>
      <c r="E279" t="s">
        <v>232</v>
      </c>
      <c r="F2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9">
        <f>ScenarioStat1[[#This Row],[team-1-win]]+ScenarioStat1[[#This Row],[team-2-win]]</f>
        <v>0</v>
      </c>
    </row>
    <row r="280" spans="1:7" x14ac:dyDescent="0.25">
      <c r="A280" t="s">
        <v>48</v>
      </c>
      <c r="B280" t="s">
        <v>33</v>
      </c>
      <c r="C2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0" t="s">
        <v>45</v>
      </c>
      <c r="E280" t="s">
        <v>63</v>
      </c>
      <c r="F2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0">
        <f>ScenarioStat1[[#This Row],[team-1-win]]+ScenarioStat1[[#This Row],[team-2-win]]</f>
        <v>0</v>
      </c>
    </row>
    <row r="281" spans="1:7" x14ac:dyDescent="0.25">
      <c r="A281" t="s">
        <v>48</v>
      </c>
      <c r="B281" t="s">
        <v>33</v>
      </c>
      <c r="C2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1" t="s">
        <v>45</v>
      </c>
      <c r="E281" t="s">
        <v>38</v>
      </c>
      <c r="F2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1">
        <f>ScenarioStat1[[#This Row],[team-1-win]]+ScenarioStat1[[#This Row],[team-2-win]]</f>
        <v>0</v>
      </c>
    </row>
    <row r="282" spans="1:7" x14ac:dyDescent="0.25">
      <c r="A282" t="s">
        <v>48</v>
      </c>
      <c r="B282" t="s">
        <v>33</v>
      </c>
      <c r="C2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2" t="s">
        <v>45</v>
      </c>
      <c r="E282" t="s">
        <v>232</v>
      </c>
      <c r="F2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2">
        <f>ScenarioStat1[[#This Row],[team-1-win]]+ScenarioStat1[[#This Row],[team-2-win]]</f>
        <v>0</v>
      </c>
    </row>
    <row r="283" spans="1:7" x14ac:dyDescent="0.25">
      <c r="A283" t="s">
        <v>48</v>
      </c>
      <c r="B283" t="s">
        <v>33</v>
      </c>
      <c r="C2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3" t="s">
        <v>63</v>
      </c>
      <c r="E283" t="s">
        <v>38</v>
      </c>
      <c r="F2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3">
        <f>ScenarioStat1[[#This Row],[team-1-win]]+ScenarioStat1[[#This Row],[team-2-win]]</f>
        <v>0</v>
      </c>
    </row>
    <row r="284" spans="1:7" x14ac:dyDescent="0.25">
      <c r="A284" t="s">
        <v>48</v>
      </c>
      <c r="B284" t="s">
        <v>33</v>
      </c>
      <c r="C2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4" t="s">
        <v>63</v>
      </c>
      <c r="E284" t="s">
        <v>232</v>
      </c>
      <c r="F2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4">
        <f>ScenarioStat1[[#This Row],[team-1-win]]+ScenarioStat1[[#This Row],[team-2-win]]</f>
        <v>0</v>
      </c>
    </row>
    <row r="285" spans="1:7" x14ac:dyDescent="0.25">
      <c r="A285" t="s">
        <v>48</v>
      </c>
      <c r="B285" t="s">
        <v>33</v>
      </c>
      <c r="C2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5" t="s">
        <v>38</v>
      </c>
      <c r="E285" t="s">
        <v>232</v>
      </c>
      <c r="F2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5">
        <f>ScenarioStat1[[#This Row],[team-1-win]]+ScenarioStat1[[#This Row],[team-2-win]]</f>
        <v>0</v>
      </c>
    </row>
    <row r="286" spans="1:7" x14ac:dyDescent="0.25">
      <c r="A286" t="s">
        <v>48</v>
      </c>
      <c r="B286" t="s">
        <v>43</v>
      </c>
      <c r="C2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6" t="s">
        <v>33</v>
      </c>
      <c r="E286" t="s">
        <v>45</v>
      </c>
      <c r="F2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6">
        <f>ScenarioStat1[[#This Row],[team-1-win]]+ScenarioStat1[[#This Row],[team-2-win]]</f>
        <v>0</v>
      </c>
    </row>
    <row r="287" spans="1:7" x14ac:dyDescent="0.25">
      <c r="A287" t="s">
        <v>48</v>
      </c>
      <c r="B287" t="s">
        <v>43</v>
      </c>
      <c r="C2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7" t="s">
        <v>33</v>
      </c>
      <c r="E287" t="s">
        <v>63</v>
      </c>
      <c r="F2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7">
        <f>ScenarioStat1[[#This Row],[team-1-win]]+ScenarioStat1[[#This Row],[team-2-win]]</f>
        <v>0</v>
      </c>
    </row>
    <row r="288" spans="1:7" x14ac:dyDescent="0.25">
      <c r="A288" t="s">
        <v>48</v>
      </c>
      <c r="B288" t="s">
        <v>43</v>
      </c>
      <c r="C2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8" t="s">
        <v>33</v>
      </c>
      <c r="E288" t="s">
        <v>38</v>
      </c>
      <c r="F2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8">
        <f>ScenarioStat1[[#This Row],[team-1-win]]+ScenarioStat1[[#This Row],[team-2-win]]</f>
        <v>0</v>
      </c>
    </row>
    <row r="289" spans="1:7" x14ac:dyDescent="0.25">
      <c r="A289" t="s">
        <v>48</v>
      </c>
      <c r="B289" t="s">
        <v>43</v>
      </c>
      <c r="C2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9" t="s">
        <v>33</v>
      </c>
      <c r="E289" t="s">
        <v>232</v>
      </c>
      <c r="F2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9">
        <f>ScenarioStat1[[#This Row],[team-1-win]]+ScenarioStat1[[#This Row],[team-2-win]]</f>
        <v>0</v>
      </c>
    </row>
    <row r="290" spans="1:7" x14ac:dyDescent="0.25">
      <c r="A290" t="s">
        <v>48</v>
      </c>
      <c r="B290" t="s">
        <v>43</v>
      </c>
      <c r="C2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0" t="s">
        <v>45</v>
      </c>
      <c r="E290" t="s">
        <v>63</v>
      </c>
      <c r="F2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0">
        <f>ScenarioStat1[[#This Row],[team-1-win]]+ScenarioStat1[[#This Row],[team-2-win]]</f>
        <v>0</v>
      </c>
    </row>
    <row r="291" spans="1:7" x14ac:dyDescent="0.25">
      <c r="A291" t="s">
        <v>48</v>
      </c>
      <c r="B291" t="s">
        <v>43</v>
      </c>
      <c r="C2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1" t="s">
        <v>45</v>
      </c>
      <c r="E291" t="s">
        <v>38</v>
      </c>
      <c r="F2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1">
        <f>ScenarioStat1[[#This Row],[team-1-win]]+ScenarioStat1[[#This Row],[team-2-win]]</f>
        <v>0</v>
      </c>
    </row>
    <row r="292" spans="1:7" x14ac:dyDescent="0.25">
      <c r="A292" t="s">
        <v>48</v>
      </c>
      <c r="B292" t="s">
        <v>43</v>
      </c>
      <c r="C2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2" t="s">
        <v>45</v>
      </c>
      <c r="E292" t="s">
        <v>232</v>
      </c>
      <c r="F2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2">
        <f>ScenarioStat1[[#This Row],[team-1-win]]+ScenarioStat1[[#This Row],[team-2-win]]</f>
        <v>0</v>
      </c>
    </row>
    <row r="293" spans="1:7" x14ac:dyDescent="0.25">
      <c r="A293" t="s">
        <v>48</v>
      </c>
      <c r="B293" t="s">
        <v>43</v>
      </c>
      <c r="C2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3" t="s">
        <v>63</v>
      </c>
      <c r="E293" t="s">
        <v>38</v>
      </c>
      <c r="F2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3">
        <f>ScenarioStat1[[#This Row],[team-1-win]]+ScenarioStat1[[#This Row],[team-2-win]]</f>
        <v>0</v>
      </c>
    </row>
    <row r="294" spans="1:7" x14ac:dyDescent="0.25">
      <c r="A294" t="s">
        <v>48</v>
      </c>
      <c r="B294" t="s">
        <v>43</v>
      </c>
      <c r="C2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4" t="s">
        <v>63</v>
      </c>
      <c r="E294" t="s">
        <v>232</v>
      </c>
      <c r="F2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4">
        <f>ScenarioStat1[[#This Row],[team-1-win]]+ScenarioStat1[[#This Row],[team-2-win]]</f>
        <v>0</v>
      </c>
    </row>
    <row r="295" spans="1:7" x14ac:dyDescent="0.25">
      <c r="A295" t="s">
        <v>48</v>
      </c>
      <c r="B295" t="s">
        <v>43</v>
      </c>
      <c r="C2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5" t="s">
        <v>38</v>
      </c>
      <c r="E295" t="s">
        <v>232</v>
      </c>
      <c r="F2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5">
        <f>ScenarioStat1[[#This Row],[team-1-win]]+ScenarioStat1[[#This Row],[team-2-win]]</f>
        <v>0</v>
      </c>
    </row>
    <row r="296" spans="1:7" x14ac:dyDescent="0.25">
      <c r="A296" t="s">
        <v>48</v>
      </c>
      <c r="B296" t="s">
        <v>45</v>
      </c>
      <c r="C2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6" t="s">
        <v>33</v>
      </c>
      <c r="E296" t="s">
        <v>43</v>
      </c>
      <c r="F2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6">
        <f>ScenarioStat1[[#This Row],[team-1-win]]+ScenarioStat1[[#This Row],[team-2-win]]</f>
        <v>0</v>
      </c>
    </row>
    <row r="297" spans="1:7" x14ac:dyDescent="0.25">
      <c r="A297" t="s">
        <v>48</v>
      </c>
      <c r="B297" t="s">
        <v>45</v>
      </c>
      <c r="C2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7" t="s">
        <v>33</v>
      </c>
      <c r="E297" t="s">
        <v>63</v>
      </c>
      <c r="F2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7">
        <f>ScenarioStat1[[#This Row],[team-1-win]]+ScenarioStat1[[#This Row],[team-2-win]]</f>
        <v>0</v>
      </c>
    </row>
    <row r="298" spans="1:7" x14ac:dyDescent="0.25">
      <c r="A298" t="s">
        <v>48</v>
      </c>
      <c r="B298" t="s">
        <v>45</v>
      </c>
      <c r="C2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8" t="s">
        <v>33</v>
      </c>
      <c r="E298" t="s">
        <v>38</v>
      </c>
      <c r="F2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8">
        <f>ScenarioStat1[[#This Row],[team-1-win]]+ScenarioStat1[[#This Row],[team-2-win]]</f>
        <v>0</v>
      </c>
    </row>
    <row r="299" spans="1:7" x14ac:dyDescent="0.25">
      <c r="A299" t="s">
        <v>48</v>
      </c>
      <c r="B299" t="s">
        <v>45</v>
      </c>
      <c r="C2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9" t="s">
        <v>33</v>
      </c>
      <c r="E299" t="s">
        <v>232</v>
      </c>
      <c r="F2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9">
        <f>ScenarioStat1[[#This Row],[team-1-win]]+ScenarioStat1[[#This Row],[team-2-win]]</f>
        <v>0</v>
      </c>
    </row>
    <row r="300" spans="1:7" x14ac:dyDescent="0.25">
      <c r="A300" t="s">
        <v>48</v>
      </c>
      <c r="B300" t="s">
        <v>45</v>
      </c>
      <c r="C3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0" t="s">
        <v>43</v>
      </c>
      <c r="E300" t="s">
        <v>63</v>
      </c>
      <c r="F3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0">
        <f>ScenarioStat1[[#This Row],[team-1-win]]+ScenarioStat1[[#This Row],[team-2-win]]</f>
        <v>0</v>
      </c>
    </row>
    <row r="301" spans="1:7" x14ac:dyDescent="0.25">
      <c r="A301" t="s">
        <v>48</v>
      </c>
      <c r="B301" t="s">
        <v>45</v>
      </c>
      <c r="C3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1" t="s">
        <v>43</v>
      </c>
      <c r="E301" t="s">
        <v>38</v>
      </c>
      <c r="F3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1">
        <f>ScenarioStat1[[#This Row],[team-1-win]]+ScenarioStat1[[#This Row],[team-2-win]]</f>
        <v>0</v>
      </c>
    </row>
    <row r="302" spans="1:7" x14ac:dyDescent="0.25">
      <c r="A302" t="s">
        <v>48</v>
      </c>
      <c r="B302" t="s">
        <v>45</v>
      </c>
      <c r="C3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2" t="s">
        <v>43</v>
      </c>
      <c r="E302" t="s">
        <v>232</v>
      </c>
      <c r="F3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2">
        <f>ScenarioStat1[[#This Row],[team-1-win]]+ScenarioStat1[[#This Row],[team-2-win]]</f>
        <v>0</v>
      </c>
    </row>
    <row r="303" spans="1:7" x14ac:dyDescent="0.25">
      <c r="A303" t="s">
        <v>48</v>
      </c>
      <c r="B303" t="s">
        <v>45</v>
      </c>
      <c r="C3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3" t="s">
        <v>63</v>
      </c>
      <c r="E303" t="s">
        <v>38</v>
      </c>
      <c r="F3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3">
        <f>ScenarioStat1[[#This Row],[team-1-win]]+ScenarioStat1[[#This Row],[team-2-win]]</f>
        <v>0</v>
      </c>
    </row>
    <row r="304" spans="1:7" x14ac:dyDescent="0.25">
      <c r="A304" t="s">
        <v>48</v>
      </c>
      <c r="B304" t="s">
        <v>45</v>
      </c>
      <c r="C3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4" t="s">
        <v>63</v>
      </c>
      <c r="E304" t="s">
        <v>232</v>
      </c>
      <c r="F3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4">
        <f>ScenarioStat1[[#This Row],[team-1-win]]+ScenarioStat1[[#This Row],[team-2-win]]</f>
        <v>0</v>
      </c>
    </row>
    <row r="305" spans="1:7" x14ac:dyDescent="0.25">
      <c r="A305" t="s">
        <v>48</v>
      </c>
      <c r="B305" t="s">
        <v>45</v>
      </c>
      <c r="C3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5" t="s">
        <v>38</v>
      </c>
      <c r="E305" t="s">
        <v>232</v>
      </c>
      <c r="F3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5">
        <f>ScenarioStat1[[#This Row],[team-1-win]]+ScenarioStat1[[#This Row],[team-2-win]]</f>
        <v>0</v>
      </c>
    </row>
    <row r="306" spans="1:7" x14ac:dyDescent="0.25">
      <c r="A306" t="s">
        <v>48</v>
      </c>
      <c r="B306" t="s">
        <v>63</v>
      </c>
      <c r="C3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6" t="s">
        <v>33</v>
      </c>
      <c r="E306" t="s">
        <v>43</v>
      </c>
      <c r="F3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6">
        <f>ScenarioStat1[[#This Row],[team-1-win]]+ScenarioStat1[[#This Row],[team-2-win]]</f>
        <v>0</v>
      </c>
    </row>
    <row r="307" spans="1:7" x14ac:dyDescent="0.25">
      <c r="A307" t="s">
        <v>48</v>
      </c>
      <c r="B307" t="s">
        <v>63</v>
      </c>
      <c r="C3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7" t="s">
        <v>33</v>
      </c>
      <c r="E307" t="s">
        <v>45</v>
      </c>
      <c r="F3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7">
        <f>ScenarioStat1[[#This Row],[team-1-win]]+ScenarioStat1[[#This Row],[team-2-win]]</f>
        <v>0</v>
      </c>
    </row>
    <row r="308" spans="1:7" x14ac:dyDescent="0.25">
      <c r="A308" t="s">
        <v>48</v>
      </c>
      <c r="B308" t="s">
        <v>63</v>
      </c>
      <c r="C3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8" t="s">
        <v>33</v>
      </c>
      <c r="E308" t="s">
        <v>38</v>
      </c>
      <c r="F3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8">
        <f>ScenarioStat1[[#This Row],[team-1-win]]+ScenarioStat1[[#This Row],[team-2-win]]</f>
        <v>0</v>
      </c>
    </row>
    <row r="309" spans="1:7" x14ac:dyDescent="0.25">
      <c r="A309" t="s">
        <v>48</v>
      </c>
      <c r="B309" t="s">
        <v>63</v>
      </c>
      <c r="C3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9" t="s">
        <v>33</v>
      </c>
      <c r="E309" t="s">
        <v>232</v>
      </c>
      <c r="F3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9">
        <f>ScenarioStat1[[#This Row],[team-1-win]]+ScenarioStat1[[#This Row],[team-2-win]]</f>
        <v>0</v>
      </c>
    </row>
    <row r="310" spans="1:7" x14ac:dyDescent="0.25">
      <c r="A310" t="s">
        <v>48</v>
      </c>
      <c r="B310" t="s">
        <v>63</v>
      </c>
      <c r="C3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0" t="s">
        <v>43</v>
      </c>
      <c r="E310" t="s">
        <v>45</v>
      </c>
      <c r="F3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0">
        <f>ScenarioStat1[[#This Row],[team-1-win]]+ScenarioStat1[[#This Row],[team-2-win]]</f>
        <v>0</v>
      </c>
    </row>
    <row r="311" spans="1:7" x14ac:dyDescent="0.25">
      <c r="A311" t="s">
        <v>48</v>
      </c>
      <c r="B311" t="s">
        <v>63</v>
      </c>
      <c r="C3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1" t="s">
        <v>43</v>
      </c>
      <c r="E311" t="s">
        <v>38</v>
      </c>
      <c r="F3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1">
        <f>ScenarioStat1[[#This Row],[team-1-win]]+ScenarioStat1[[#This Row],[team-2-win]]</f>
        <v>0</v>
      </c>
    </row>
    <row r="312" spans="1:7" x14ac:dyDescent="0.25">
      <c r="A312" t="s">
        <v>48</v>
      </c>
      <c r="B312" t="s">
        <v>63</v>
      </c>
      <c r="C3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2" t="s">
        <v>43</v>
      </c>
      <c r="E312" t="s">
        <v>232</v>
      </c>
      <c r="F3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2">
        <f>ScenarioStat1[[#This Row],[team-1-win]]+ScenarioStat1[[#This Row],[team-2-win]]</f>
        <v>0</v>
      </c>
    </row>
    <row r="313" spans="1:7" x14ac:dyDescent="0.25">
      <c r="A313" t="s">
        <v>48</v>
      </c>
      <c r="B313" t="s">
        <v>63</v>
      </c>
      <c r="C3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3" t="s">
        <v>45</v>
      </c>
      <c r="E313" t="s">
        <v>38</v>
      </c>
      <c r="F3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3">
        <f>ScenarioStat1[[#This Row],[team-1-win]]+ScenarioStat1[[#This Row],[team-2-win]]</f>
        <v>0</v>
      </c>
    </row>
    <row r="314" spans="1:7" x14ac:dyDescent="0.25">
      <c r="A314" t="s">
        <v>48</v>
      </c>
      <c r="B314" t="s">
        <v>63</v>
      </c>
      <c r="C3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4" t="s">
        <v>45</v>
      </c>
      <c r="E314" t="s">
        <v>232</v>
      </c>
      <c r="F3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4">
        <f>ScenarioStat1[[#This Row],[team-1-win]]+ScenarioStat1[[#This Row],[team-2-win]]</f>
        <v>0</v>
      </c>
    </row>
    <row r="315" spans="1:7" x14ac:dyDescent="0.25">
      <c r="A315" t="s">
        <v>48</v>
      </c>
      <c r="B315" t="s">
        <v>63</v>
      </c>
      <c r="C3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5" t="s">
        <v>38</v>
      </c>
      <c r="E315" t="s">
        <v>232</v>
      </c>
      <c r="F3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5">
        <f>ScenarioStat1[[#This Row],[team-1-win]]+ScenarioStat1[[#This Row],[team-2-win]]</f>
        <v>0</v>
      </c>
    </row>
    <row r="316" spans="1:7" x14ac:dyDescent="0.25">
      <c r="A316" t="s">
        <v>48</v>
      </c>
      <c r="B316" t="s">
        <v>38</v>
      </c>
      <c r="C3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6" t="s">
        <v>33</v>
      </c>
      <c r="E316" t="s">
        <v>43</v>
      </c>
      <c r="F3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6">
        <f>ScenarioStat1[[#This Row],[team-1-win]]+ScenarioStat1[[#This Row],[team-2-win]]</f>
        <v>0</v>
      </c>
    </row>
    <row r="317" spans="1:7" x14ac:dyDescent="0.25">
      <c r="A317" t="s">
        <v>48</v>
      </c>
      <c r="B317" t="s">
        <v>38</v>
      </c>
      <c r="C3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7" t="s">
        <v>33</v>
      </c>
      <c r="E317" t="s">
        <v>45</v>
      </c>
      <c r="F3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7">
        <f>ScenarioStat1[[#This Row],[team-1-win]]+ScenarioStat1[[#This Row],[team-2-win]]</f>
        <v>0</v>
      </c>
    </row>
    <row r="318" spans="1:7" x14ac:dyDescent="0.25">
      <c r="A318" t="s">
        <v>48</v>
      </c>
      <c r="B318" t="s">
        <v>38</v>
      </c>
      <c r="C3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8" t="s">
        <v>33</v>
      </c>
      <c r="E318" t="s">
        <v>63</v>
      </c>
      <c r="F3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8">
        <f>ScenarioStat1[[#This Row],[team-1-win]]+ScenarioStat1[[#This Row],[team-2-win]]</f>
        <v>0</v>
      </c>
    </row>
    <row r="319" spans="1:7" x14ac:dyDescent="0.25">
      <c r="A319" t="s">
        <v>48</v>
      </c>
      <c r="B319" t="s">
        <v>38</v>
      </c>
      <c r="C3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9" t="s">
        <v>33</v>
      </c>
      <c r="E319" t="s">
        <v>232</v>
      </c>
      <c r="F3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9">
        <f>ScenarioStat1[[#This Row],[team-1-win]]+ScenarioStat1[[#This Row],[team-2-win]]</f>
        <v>0</v>
      </c>
    </row>
    <row r="320" spans="1:7" x14ac:dyDescent="0.25">
      <c r="A320" t="s">
        <v>48</v>
      </c>
      <c r="B320" t="s">
        <v>38</v>
      </c>
      <c r="C3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0" t="s">
        <v>43</v>
      </c>
      <c r="E320" t="s">
        <v>45</v>
      </c>
      <c r="F3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0">
        <f>ScenarioStat1[[#This Row],[team-1-win]]+ScenarioStat1[[#This Row],[team-2-win]]</f>
        <v>0</v>
      </c>
    </row>
    <row r="321" spans="1:7" x14ac:dyDescent="0.25">
      <c r="A321" t="s">
        <v>48</v>
      </c>
      <c r="B321" t="s">
        <v>38</v>
      </c>
      <c r="C3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1" t="s">
        <v>43</v>
      </c>
      <c r="E321" t="s">
        <v>63</v>
      </c>
      <c r="F3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1">
        <f>ScenarioStat1[[#This Row],[team-1-win]]+ScenarioStat1[[#This Row],[team-2-win]]</f>
        <v>0</v>
      </c>
    </row>
    <row r="322" spans="1:7" x14ac:dyDescent="0.25">
      <c r="A322" t="s">
        <v>48</v>
      </c>
      <c r="B322" t="s">
        <v>38</v>
      </c>
      <c r="C3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2" t="s">
        <v>43</v>
      </c>
      <c r="E322" t="s">
        <v>232</v>
      </c>
      <c r="F3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2">
        <f>ScenarioStat1[[#This Row],[team-1-win]]+ScenarioStat1[[#This Row],[team-2-win]]</f>
        <v>0</v>
      </c>
    </row>
    <row r="323" spans="1:7" x14ac:dyDescent="0.25">
      <c r="A323" t="s">
        <v>48</v>
      </c>
      <c r="B323" t="s">
        <v>38</v>
      </c>
      <c r="C3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3" t="s">
        <v>45</v>
      </c>
      <c r="E323" t="s">
        <v>63</v>
      </c>
      <c r="F3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3">
        <f>ScenarioStat1[[#This Row],[team-1-win]]+ScenarioStat1[[#This Row],[team-2-win]]</f>
        <v>0</v>
      </c>
    </row>
    <row r="324" spans="1:7" x14ac:dyDescent="0.25">
      <c r="A324" t="s">
        <v>48</v>
      </c>
      <c r="B324" t="s">
        <v>38</v>
      </c>
      <c r="C3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4" t="s">
        <v>45</v>
      </c>
      <c r="E324" t="s">
        <v>232</v>
      </c>
      <c r="F3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4">
        <f>ScenarioStat1[[#This Row],[team-1-win]]+ScenarioStat1[[#This Row],[team-2-win]]</f>
        <v>0</v>
      </c>
    </row>
    <row r="325" spans="1:7" x14ac:dyDescent="0.25">
      <c r="A325" t="s">
        <v>48</v>
      </c>
      <c r="B325" t="s">
        <v>38</v>
      </c>
      <c r="C3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5" t="s">
        <v>63</v>
      </c>
      <c r="E325" t="s">
        <v>232</v>
      </c>
      <c r="F3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5">
        <f>ScenarioStat1[[#This Row],[team-1-win]]+ScenarioStat1[[#This Row],[team-2-win]]</f>
        <v>0</v>
      </c>
    </row>
    <row r="326" spans="1:7" x14ac:dyDescent="0.25">
      <c r="A326" t="s">
        <v>48</v>
      </c>
      <c r="B326" t="s">
        <v>232</v>
      </c>
      <c r="C3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6" t="s">
        <v>33</v>
      </c>
      <c r="E326" t="s">
        <v>43</v>
      </c>
      <c r="F3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6">
        <f>ScenarioStat1[[#This Row],[team-1-win]]+ScenarioStat1[[#This Row],[team-2-win]]</f>
        <v>0</v>
      </c>
    </row>
    <row r="327" spans="1:7" x14ac:dyDescent="0.25">
      <c r="A327" t="s">
        <v>48</v>
      </c>
      <c r="B327" t="s">
        <v>232</v>
      </c>
      <c r="C3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7" t="s">
        <v>33</v>
      </c>
      <c r="E327" t="s">
        <v>45</v>
      </c>
      <c r="F3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7">
        <f>ScenarioStat1[[#This Row],[team-1-win]]+ScenarioStat1[[#This Row],[team-2-win]]</f>
        <v>0</v>
      </c>
    </row>
    <row r="328" spans="1:7" x14ac:dyDescent="0.25">
      <c r="A328" t="s">
        <v>48</v>
      </c>
      <c r="B328" t="s">
        <v>232</v>
      </c>
      <c r="C3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8" t="s">
        <v>33</v>
      </c>
      <c r="E328" t="s">
        <v>63</v>
      </c>
      <c r="F3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8">
        <f>ScenarioStat1[[#This Row],[team-1-win]]+ScenarioStat1[[#This Row],[team-2-win]]</f>
        <v>0</v>
      </c>
    </row>
    <row r="329" spans="1:7" x14ac:dyDescent="0.25">
      <c r="A329" t="s">
        <v>48</v>
      </c>
      <c r="B329" t="s">
        <v>232</v>
      </c>
      <c r="C3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9" t="s">
        <v>33</v>
      </c>
      <c r="E329" t="s">
        <v>38</v>
      </c>
      <c r="F3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9">
        <f>ScenarioStat1[[#This Row],[team-1-win]]+ScenarioStat1[[#This Row],[team-2-win]]</f>
        <v>0</v>
      </c>
    </row>
    <row r="330" spans="1:7" x14ac:dyDescent="0.25">
      <c r="A330" t="s">
        <v>48</v>
      </c>
      <c r="B330" t="s">
        <v>232</v>
      </c>
      <c r="C3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0" t="s">
        <v>43</v>
      </c>
      <c r="E330" t="s">
        <v>45</v>
      </c>
      <c r="F3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0">
        <f>ScenarioStat1[[#This Row],[team-1-win]]+ScenarioStat1[[#This Row],[team-2-win]]</f>
        <v>0</v>
      </c>
    </row>
    <row r="331" spans="1:7" x14ac:dyDescent="0.25">
      <c r="A331" t="s">
        <v>48</v>
      </c>
      <c r="B331" t="s">
        <v>232</v>
      </c>
      <c r="C3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1" t="s">
        <v>43</v>
      </c>
      <c r="E331" t="s">
        <v>63</v>
      </c>
      <c r="F3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1">
        <f>ScenarioStat1[[#This Row],[team-1-win]]+ScenarioStat1[[#This Row],[team-2-win]]</f>
        <v>0</v>
      </c>
    </row>
    <row r="332" spans="1:7" x14ac:dyDescent="0.25">
      <c r="A332" t="s">
        <v>48</v>
      </c>
      <c r="B332" t="s">
        <v>232</v>
      </c>
      <c r="C3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2" t="s">
        <v>43</v>
      </c>
      <c r="E332" t="s">
        <v>38</v>
      </c>
      <c r="F3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2">
        <f>ScenarioStat1[[#This Row],[team-1-win]]+ScenarioStat1[[#This Row],[team-2-win]]</f>
        <v>0</v>
      </c>
    </row>
    <row r="333" spans="1:7" x14ac:dyDescent="0.25">
      <c r="A333" t="s">
        <v>48</v>
      </c>
      <c r="B333" t="s">
        <v>232</v>
      </c>
      <c r="C3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3" t="s">
        <v>45</v>
      </c>
      <c r="E333" t="s">
        <v>63</v>
      </c>
      <c r="F3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3">
        <f>ScenarioStat1[[#This Row],[team-1-win]]+ScenarioStat1[[#This Row],[team-2-win]]</f>
        <v>0</v>
      </c>
    </row>
    <row r="334" spans="1:7" x14ac:dyDescent="0.25">
      <c r="A334" t="s">
        <v>48</v>
      </c>
      <c r="B334" t="s">
        <v>232</v>
      </c>
      <c r="C3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4" t="s">
        <v>45</v>
      </c>
      <c r="E334" t="s">
        <v>38</v>
      </c>
      <c r="F3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4">
        <f>ScenarioStat1[[#This Row],[team-1-win]]+ScenarioStat1[[#This Row],[team-2-win]]</f>
        <v>0</v>
      </c>
    </row>
    <row r="335" spans="1:7" x14ac:dyDescent="0.25">
      <c r="A335" t="s">
        <v>48</v>
      </c>
      <c r="B335" t="s">
        <v>232</v>
      </c>
      <c r="C3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5" t="s">
        <v>63</v>
      </c>
      <c r="E335" t="s">
        <v>38</v>
      </c>
      <c r="F3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5">
        <f>ScenarioStat1[[#This Row],[team-1-win]]+ScenarioStat1[[#This Row],[team-2-win]]</f>
        <v>0</v>
      </c>
    </row>
    <row r="336" spans="1:7" x14ac:dyDescent="0.25">
      <c r="A336" t="s">
        <v>33</v>
      </c>
      <c r="B336" t="s">
        <v>43</v>
      </c>
      <c r="C3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6" t="s">
        <v>45</v>
      </c>
      <c r="E336" t="s">
        <v>63</v>
      </c>
      <c r="F3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6">
        <f>ScenarioStat1[[#This Row],[team-1-win]]+ScenarioStat1[[#This Row],[team-2-win]]</f>
        <v>0</v>
      </c>
    </row>
    <row r="337" spans="1:7" x14ac:dyDescent="0.25">
      <c r="A337" t="s">
        <v>33</v>
      </c>
      <c r="B337" t="s">
        <v>43</v>
      </c>
      <c r="C3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7" t="s">
        <v>45</v>
      </c>
      <c r="E337" t="s">
        <v>38</v>
      </c>
      <c r="F3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7">
        <f>ScenarioStat1[[#This Row],[team-1-win]]+ScenarioStat1[[#This Row],[team-2-win]]</f>
        <v>0</v>
      </c>
    </row>
    <row r="338" spans="1:7" x14ac:dyDescent="0.25">
      <c r="A338" t="s">
        <v>33</v>
      </c>
      <c r="B338" t="s">
        <v>43</v>
      </c>
      <c r="C3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8" t="s">
        <v>45</v>
      </c>
      <c r="E338" t="s">
        <v>232</v>
      </c>
      <c r="F3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8">
        <f>ScenarioStat1[[#This Row],[team-1-win]]+ScenarioStat1[[#This Row],[team-2-win]]</f>
        <v>0</v>
      </c>
    </row>
    <row r="339" spans="1:7" x14ac:dyDescent="0.25">
      <c r="A339" t="s">
        <v>33</v>
      </c>
      <c r="B339" t="s">
        <v>43</v>
      </c>
      <c r="C3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9" t="s">
        <v>63</v>
      </c>
      <c r="E339" t="s">
        <v>38</v>
      </c>
      <c r="F3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9">
        <f>ScenarioStat1[[#This Row],[team-1-win]]+ScenarioStat1[[#This Row],[team-2-win]]</f>
        <v>0</v>
      </c>
    </row>
    <row r="340" spans="1:7" x14ac:dyDescent="0.25">
      <c r="A340" t="s">
        <v>33</v>
      </c>
      <c r="B340" t="s">
        <v>43</v>
      </c>
      <c r="C3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0" t="s">
        <v>63</v>
      </c>
      <c r="E340" t="s">
        <v>232</v>
      </c>
      <c r="F3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0">
        <f>ScenarioStat1[[#This Row],[team-1-win]]+ScenarioStat1[[#This Row],[team-2-win]]</f>
        <v>0</v>
      </c>
    </row>
    <row r="341" spans="1:7" x14ac:dyDescent="0.25">
      <c r="A341" t="s">
        <v>33</v>
      </c>
      <c r="B341" t="s">
        <v>43</v>
      </c>
      <c r="C3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1" t="s">
        <v>38</v>
      </c>
      <c r="E341" t="s">
        <v>232</v>
      </c>
      <c r="F3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1">
        <f>ScenarioStat1[[#This Row],[team-1-win]]+ScenarioStat1[[#This Row],[team-2-win]]</f>
        <v>0</v>
      </c>
    </row>
    <row r="342" spans="1:7" x14ac:dyDescent="0.25">
      <c r="A342" t="s">
        <v>33</v>
      </c>
      <c r="B342" t="s">
        <v>45</v>
      </c>
      <c r="C3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2" t="s">
        <v>43</v>
      </c>
      <c r="E342" t="s">
        <v>63</v>
      </c>
      <c r="F3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2">
        <f>ScenarioStat1[[#This Row],[team-1-win]]+ScenarioStat1[[#This Row],[team-2-win]]</f>
        <v>0</v>
      </c>
    </row>
    <row r="343" spans="1:7" x14ac:dyDescent="0.25">
      <c r="A343" t="s">
        <v>33</v>
      </c>
      <c r="B343" t="s">
        <v>45</v>
      </c>
      <c r="C3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3" t="s">
        <v>43</v>
      </c>
      <c r="E343" t="s">
        <v>38</v>
      </c>
      <c r="F3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3">
        <f>ScenarioStat1[[#This Row],[team-1-win]]+ScenarioStat1[[#This Row],[team-2-win]]</f>
        <v>0</v>
      </c>
    </row>
    <row r="344" spans="1:7" x14ac:dyDescent="0.25">
      <c r="A344" t="s">
        <v>33</v>
      </c>
      <c r="B344" t="s">
        <v>45</v>
      </c>
      <c r="C3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4" t="s">
        <v>43</v>
      </c>
      <c r="E344" t="s">
        <v>232</v>
      </c>
      <c r="F3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4">
        <f>ScenarioStat1[[#This Row],[team-1-win]]+ScenarioStat1[[#This Row],[team-2-win]]</f>
        <v>0</v>
      </c>
    </row>
    <row r="345" spans="1:7" x14ac:dyDescent="0.25">
      <c r="A345" t="s">
        <v>33</v>
      </c>
      <c r="B345" t="s">
        <v>45</v>
      </c>
      <c r="C3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5" t="s">
        <v>63</v>
      </c>
      <c r="E345" t="s">
        <v>38</v>
      </c>
      <c r="F3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5">
        <f>ScenarioStat1[[#This Row],[team-1-win]]+ScenarioStat1[[#This Row],[team-2-win]]</f>
        <v>0</v>
      </c>
    </row>
    <row r="346" spans="1:7" x14ac:dyDescent="0.25">
      <c r="A346" t="s">
        <v>33</v>
      </c>
      <c r="B346" t="s">
        <v>45</v>
      </c>
      <c r="C3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6" t="s">
        <v>63</v>
      </c>
      <c r="E346" t="s">
        <v>232</v>
      </c>
      <c r="F3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6">
        <f>ScenarioStat1[[#This Row],[team-1-win]]+ScenarioStat1[[#This Row],[team-2-win]]</f>
        <v>0</v>
      </c>
    </row>
    <row r="347" spans="1:7" x14ac:dyDescent="0.25">
      <c r="A347" t="s">
        <v>33</v>
      </c>
      <c r="B347" t="s">
        <v>45</v>
      </c>
      <c r="C3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7" t="s">
        <v>38</v>
      </c>
      <c r="E347" t="s">
        <v>232</v>
      </c>
      <c r="F3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7">
        <f>ScenarioStat1[[#This Row],[team-1-win]]+ScenarioStat1[[#This Row],[team-2-win]]</f>
        <v>0</v>
      </c>
    </row>
    <row r="348" spans="1:7" x14ac:dyDescent="0.25">
      <c r="A348" t="s">
        <v>33</v>
      </c>
      <c r="B348" t="s">
        <v>63</v>
      </c>
      <c r="C3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8" t="s">
        <v>43</v>
      </c>
      <c r="E348" t="s">
        <v>45</v>
      </c>
      <c r="F3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8">
        <f>ScenarioStat1[[#This Row],[team-1-win]]+ScenarioStat1[[#This Row],[team-2-win]]</f>
        <v>0</v>
      </c>
    </row>
    <row r="349" spans="1:7" x14ac:dyDescent="0.25">
      <c r="A349" t="s">
        <v>33</v>
      </c>
      <c r="B349" t="s">
        <v>63</v>
      </c>
      <c r="C3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9" t="s">
        <v>43</v>
      </c>
      <c r="E349" t="s">
        <v>38</v>
      </c>
      <c r="F3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9">
        <f>ScenarioStat1[[#This Row],[team-1-win]]+ScenarioStat1[[#This Row],[team-2-win]]</f>
        <v>0</v>
      </c>
    </row>
    <row r="350" spans="1:7" x14ac:dyDescent="0.25">
      <c r="A350" t="s">
        <v>33</v>
      </c>
      <c r="B350" t="s">
        <v>63</v>
      </c>
      <c r="C3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0" t="s">
        <v>43</v>
      </c>
      <c r="E350" t="s">
        <v>232</v>
      </c>
      <c r="F3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0">
        <f>ScenarioStat1[[#This Row],[team-1-win]]+ScenarioStat1[[#This Row],[team-2-win]]</f>
        <v>0</v>
      </c>
    </row>
    <row r="351" spans="1:7" x14ac:dyDescent="0.25">
      <c r="A351" t="s">
        <v>33</v>
      </c>
      <c r="B351" t="s">
        <v>63</v>
      </c>
      <c r="C3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1" t="s">
        <v>45</v>
      </c>
      <c r="E351" t="s">
        <v>38</v>
      </c>
      <c r="F3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1">
        <f>ScenarioStat1[[#This Row],[team-1-win]]+ScenarioStat1[[#This Row],[team-2-win]]</f>
        <v>0</v>
      </c>
    </row>
    <row r="352" spans="1:7" x14ac:dyDescent="0.25">
      <c r="A352" t="s">
        <v>33</v>
      </c>
      <c r="B352" t="s">
        <v>63</v>
      </c>
      <c r="C3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2" t="s">
        <v>45</v>
      </c>
      <c r="E352" t="s">
        <v>232</v>
      </c>
      <c r="F3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2">
        <f>ScenarioStat1[[#This Row],[team-1-win]]+ScenarioStat1[[#This Row],[team-2-win]]</f>
        <v>0</v>
      </c>
    </row>
    <row r="353" spans="1:7" x14ac:dyDescent="0.25">
      <c r="A353" t="s">
        <v>33</v>
      </c>
      <c r="B353" t="s">
        <v>63</v>
      </c>
      <c r="C3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3" t="s">
        <v>38</v>
      </c>
      <c r="E353" t="s">
        <v>232</v>
      </c>
      <c r="F3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3">
        <f>ScenarioStat1[[#This Row],[team-1-win]]+ScenarioStat1[[#This Row],[team-2-win]]</f>
        <v>0</v>
      </c>
    </row>
    <row r="354" spans="1:7" x14ac:dyDescent="0.25">
      <c r="A354" t="s">
        <v>33</v>
      </c>
      <c r="B354" t="s">
        <v>38</v>
      </c>
      <c r="C3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4" t="s">
        <v>43</v>
      </c>
      <c r="E354" t="s">
        <v>45</v>
      </c>
      <c r="F3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4">
        <f>ScenarioStat1[[#This Row],[team-1-win]]+ScenarioStat1[[#This Row],[team-2-win]]</f>
        <v>0</v>
      </c>
    </row>
    <row r="355" spans="1:7" x14ac:dyDescent="0.25">
      <c r="A355" t="s">
        <v>33</v>
      </c>
      <c r="B355" t="s">
        <v>38</v>
      </c>
      <c r="C3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5" t="s">
        <v>43</v>
      </c>
      <c r="E355" t="s">
        <v>63</v>
      </c>
      <c r="F3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5">
        <f>ScenarioStat1[[#This Row],[team-1-win]]+ScenarioStat1[[#This Row],[team-2-win]]</f>
        <v>0</v>
      </c>
    </row>
    <row r="356" spans="1:7" x14ac:dyDescent="0.25">
      <c r="A356" t="s">
        <v>33</v>
      </c>
      <c r="B356" t="s">
        <v>38</v>
      </c>
      <c r="C3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6" t="s">
        <v>43</v>
      </c>
      <c r="E356" t="s">
        <v>232</v>
      </c>
      <c r="F3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6">
        <f>ScenarioStat1[[#This Row],[team-1-win]]+ScenarioStat1[[#This Row],[team-2-win]]</f>
        <v>0</v>
      </c>
    </row>
    <row r="357" spans="1:7" x14ac:dyDescent="0.25">
      <c r="A357" t="s">
        <v>33</v>
      </c>
      <c r="B357" t="s">
        <v>38</v>
      </c>
      <c r="C3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7" t="s">
        <v>45</v>
      </c>
      <c r="E357" t="s">
        <v>63</v>
      </c>
      <c r="F3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7">
        <f>ScenarioStat1[[#This Row],[team-1-win]]+ScenarioStat1[[#This Row],[team-2-win]]</f>
        <v>0</v>
      </c>
    </row>
    <row r="358" spans="1:7" x14ac:dyDescent="0.25">
      <c r="A358" t="s">
        <v>33</v>
      </c>
      <c r="B358" t="s">
        <v>38</v>
      </c>
      <c r="C3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8" t="s">
        <v>45</v>
      </c>
      <c r="E358" t="s">
        <v>232</v>
      </c>
      <c r="F3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8">
        <f>ScenarioStat1[[#This Row],[team-1-win]]+ScenarioStat1[[#This Row],[team-2-win]]</f>
        <v>0</v>
      </c>
    </row>
    <row r="359" spans="1:7" x14ac:dyDescent="0.25">
      <c r="A359" t="s">
        <v>33</v>
      </c>
      <c r="B359" t="s">
        <v>38</v>
      </c>
      <c r="C3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9" t="s">
        <v>63</v>
      </c>
      <c r="E359" t="s">
        <v>232</v>
      </c>
      <c r="F3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9">
        <f>ScenarioStat1[[#This Row],[team-1-win]]+ScenarioStat1[[#This Row],[team-2-win]]</f>
        <v>0</v>
      </c>
    </row>
    <row r="360" spans="1:7" x14ac:dyDescent="0.25">
      <c r="A360" t="s">
        <v>33</v>
      </c>
      <c r="B360" t="s">
        <v>232</v>
      </c>
      <c r="C3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0" t="s">
        <v>43</v>
      </c>
      <c r="E360" t="s">
        <v>45</v>
      </c>
      <c r="F3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0">
        <f>ScenarioStat1[[#This Row],[team-1-win]]+ScenarioStat1[[#This Row],[team-2-win]]</f>
        <v>0</v>
      </c>
    </row>
    <row r="361" spans="1:7" x14ac:dyDescent="0.25">
      <c r="A361" t="s">
        <v>33</v>
      </c>
      <c r="B361" t="s">
        <v>232</v>
      </c>
      <c r="C3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1" t="s">
        <v>43</v>
      </c>
      <c r="E361" t="s">
        <v>63</v>
      </c>
      <c r="F3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1">
        <f>ScenarioStat1[[#This Row],[team-1-win]]+ScenarioStat1[[#This Row],[team-2-win]]</f>
        <v>0</v>
      </c>
    </row>
    <row r="362" spans="1:7" x14ac:dyDescent="0.25">
      <c r="A362" t="s">
        <v>33</v>
      </c>
      <c r="B362" t="s">
        <v>232</v>
      </c>
      <c r="C3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2" t="s">
        <v>43</v>
      </c>
      <c r="E362" t="s">
        <v>38</v>
      </c>
      <c r="F3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2">
        <f>ScenarioStat1[[#This Row],[team-1-win]]+ScenarioStat1[[#This Row],[team-2-win]]</f>
        <v>0</v>
      </c>
    </row>
    <row r="363" spans="1:7" x14ac:dyDescent="0.25">
      <c r="A363" t="s">
        <v>33</v>
      </c>
      <c r="B363" t="s">
        <v>232</v>
      </c>
      <c r="C3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3" t="s">
        <v>45</v>
      </c>
      <c r="E363" t="s">
        <v>63</v>
      </c>
      <c r="F3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3">
        <f>ScenarioStat1[[#This Row],[team-1-win]]+ScenarioStat1[[#This Row],[team-2-win]]</f>
        <v>0</v>
      </c>
    </row>
    <row r="364" spans="1:7" x14ac:dyDescent="0.25">
      <c r="A364" t="s">
        <v>33</v>
      </c>
      <c r="B364" t="s">
        <v>232</v>
      </c>
      <c r="C3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4" t="s">
        <v>45</v>
      </c>
      <c r="E364" t="s">
        <v>38</v>
      </c>
      <c r="F3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4">
        <f>ScenarioStat1[[#This Row],[team-1-win]]+ScenarioStat1[[#This Row],[team-2-win]]</f>
        <v>0</v>
      </c>
    </row>
    <row r="365" spans="1:7" x14ac:dyDescent="0.25">
      <c r="A365" t="s">
        <v>33</v>
      </c>
      <c r="B365" t="s">
        <v>232</v>
      </c>
      <c r="C3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5" t="s">
        <v>63</v>
      </c>
      <c r="E365" t="s">
        <v>38</v>
      </c>
      <c r="F3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5">
        <f>ScenarioStat1[[#This Row],[team-1-win]]+ScenarioStat1[[#This Row],[team-2-win]]</f>
        <v>0</v>
      </c>
    </row>
    <row r="366" spans="1:7" x14ac:dyDescent="0.25">
      <c r="A366" t="s">
        <v>43</v>
      </c>
      <c r="B366" t="s">
        <v>45</v>
      </c>
      <c r="C3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6" t="s">
        <v>63</v>
      </c>
      <c r="E366" t="s">
        <v>38</v>
      </c>
      <c r="F3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6">
        <f>ScenarioStat1[[#This Row],[team-1-win]]+ScenarioStat1[[#This Row],[team-2-win]]</f>
        <v>0</v>
      </c>
    </row>
    <row r="367" spans="1:7" x14ac:dyDescent="0.25">
      <c r="A367" t="s">
        <v>43</v>
      </c>
      <c r="B367" t="s">
        <v>45</v>
      </c>
      <c r="C3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7" t="s">
        <v>63</v>
      </c>
      <c r="E367" t="s">
        <v>232</v>
      </c>
      <c r="F3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7">
        <f>ScenarioStat1[[#This Row],[team-1-win]]+ScenarioStat1[[#This Row],[team-2-win]]</f>
        <v>0</v>
      </c>
    </row>
    <row r="368" spans="1:7" x14ac:dyDescent="0.25">
      <c r="A368" t="s">
        <v>43</v>
      </c>
      <c r="B368" t="s">
        <v>45</v>
      </c>
      <c r="C3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8" t="s">
        <v>38</v>
      </c>
      <c r="E368" t="s">
        <v>232</v>
      </c>
      <c r="F3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8">
        <f>ScenarioStat1[[#This Row],[team-1-win]]+ScenarioStat1[[#This Row],[team-2-win]]</f>
        <v>0</v>
      </c>
    </row>
    <row r="369" spans="1:7" x14ac:dyDescent="0.25">
      <c r="A369" t="s">
        <v>43</v>
      </c>
      <c r="B369" t="s">
        <v>63</v>
      </c>
      <c r="C3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9" t="s">
        <v>45</v>
      </c>
      <c r="E369" t="s">
        <v>38</v>
      </c>
      <c r="F3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9">
        <f>ScenarioStat1[[#This Row],[team-1-win]]+ScenarioStat1[[#This Row],[team-2-win]]</f>
        <v>0</v>
      </c>
    </row>
    <row r="370" spans="1:7" x14ac:dyDescent="0.25">
      <c r="A370" t="s">
        <v>43</v>
      </c>
      <c r="B370" t="s">
        <v>63</v>
      </c>
      <c r="C3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0" t="s">
        <v>45</v>
      </c>
      <c r="E370" t="s">
        <v>232</v>
      </c>
      <c r="F3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0">
        <f>ScenarioStat1[[#This Row],[team-1-win]]+ScenarioStat1[[#This Row],[team-2-win]]</f>
        <v>0</v>
      </c>
    </row>
    <row r="371" spans="1:7" x14ac:dyDescent="0.25">
      <c r="A371" t="s">
        <v>43</v>
      </c>
      <c r="B371" t="s">
        <v>63</v>
      </c>
      <c r="C3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1" t="s">
        <v>38</v>
      </c>
      <c r="E371" t="s">
        <v>232</v>
      </c>
      <c r="F3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1">
        <f>ScenarioStat1[[#This Row],[team-1-win]]+ScenarioStat1[[#This Row],[team-2-win]]</f>
        <v>0</v>
      </c>
    </row>
    <row r="372" spans="1:7" x14ac:dyDescent="0.25">
      <c r="A372" t="s">
        <v>43</v>
      </c>
      <c r="B372" t="s">
        <v>38</v>
      </c>
      <c r="C3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2" t="s">
        <v>45</v>
      </c>
      <c r="E372" t="s">
        <v>63</v>
      </c>
      <c r="F3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2">
        <f>ScenarioStat1[[#This Row],[team-1-win]]+ScenarioStat1[[#This Row],[team-2-win]]</f>
        <v>0</v>
      </c>
    </row>
    <row r="373" spans="1:7" x14ac:dyDescent="0.25">
      <c r="A373" t="s">
        <v>43</v>
      </c>
      <c r="B373" t="s">
        <v>38</v>
      </c>
      <c r="C3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3" t="s">
        <v>45</v>
      </c>
      <c r="E373" t="s">
        <v>232</v>
      </c>
      <c r="F3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3">
        <f>ScenarioStat1[[#This Row],[team-1-win]]+ScenarioStat1[[#This Row],[team-2-win]]</f>
        <v>0</v>
      </c>
    </row>
    <row r="374" spans="1:7" x14ac:dyDescent="0.25">
      <c r="A374" t="s">
        <v>43</v>
      </c>
      <c r="B374" t="s">
        <v>38</v>
      </c>
      <c r="C3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4" t="s">
        <v>63</v>
      </c>
      <c r="E374" t="s">
        <v>232</v>
      </c>
      <c r="F3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4">
        <f>ScenarioStat1[[#This Row],[team-1-win]]+ScenarioStat1[[#This Row],[team-2-win]]</f>
        <v>0</v>
      </c>
    </row>
    <row r="375" spans="1:7" x14ac:dyDescent="0.25">
      <c r="A375" t="s">
        <v>43</v>
      </c>
      <c r="B375" t="s">
        <v>232</v>
      </c>
      <c r="C3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5" t="s">
        <v>45</v>
      </c>
      <c r="E375" t="s">
        <v>63</v>
      </c>
      <c r="F3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5">
        <f>ScenarioStat1[[#This Row],[team-1-win]]+ScenarioStat1[[#This Row],[team-2-win]]</f>
        <v>0</v>
      </c>
    </row>
    <row r="376" spans="1:7" x14ac:dyDescent="0.25">
      <c r="A376" t="s">
        <v>43</v>
      </c>
      <c r="B376" t="s">
        <v>232</v>
      </c>
      <c r="C3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6" t="s">
        <v>45</v>
      </c>
      <c r="E376" t="s">
        <v>38</v>
      </c>
      <c r="F3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6">
        <f>ScenarioStat1[[#This Row],[team-1-win]]+ScenarioStat1[[#This Row],[team-2-win]]</f>
        <v>0</v>
      </c>
    </row>
    <row r="377" spans="1:7" x14ac:dyDescent="0.25">
      <c r="A377" t="s">
        <v>43</v>
      </c>
      <c r="B377" t="s">
        <v>232</v>
      </c>
      <c r="C3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7" t="s">
        <v>63</v>
      </c>
      <c r="E377" t="s">
        <v>38</v>
      </c>
      <c r="F3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7">
        <f>ScenarioStat1[[#This Row],[team-1-win]]+ScenarioStat1[[#This Row],[team-2-win]]</f>
        <v>0</v>
      </c>
    </row>
    <row r="378" spans="1:7" x14ac:dyDescent="0.25">
      <c r="A378" t="s">
        <v>45</v>
      </c>
      <c r="B378" t="s">
        <v>63</v>
      </c>
      <c r="C3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8" t="s">
        <v>38</v>
      </c>
      <c r="E378" t="s">
        <v>232</v>
      </c>
      <c r="F3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8">
        <f>ScenarioStat1[[#This Row],[team-1-win]]+ScenarioStat1[[#This Row],[team-2-win]]</f>
        <v>0</v>
      </c>
    </row>
    <row r="379" spans="1:7" x14ac:dyDescent="0.25">
      <c r="A379" t="s">
        <v>45</v>
      </c>
      <c r="B379" t="s">
        <v>38</v>
      </c>
      <c r="C3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9" t="s">
        <v>63</v>
      </c>
      <c r="E379" t="s">
        <v>232</v>
      </c>
      <c r="F3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9">
        <f>ScenarioStat1[[#This Row],[team-1-win]]+ScenarioStat1[[#This Row],[team-2-win]]</f>
        <v>0</v>
      </c>
    </row>
    <row r="380" spans="1:7" x14ac:dyDescent="0.25">
      <c r="A380" t="s">
        <v>45</v>
      </c>
      <c r="B380" t="s">
        <v>232</v>
      </c>
      <c r="C3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0" t="s">
        <v>63</v>
      </c>
      <c r="E380" t="s">
        <v>38</v>
      </c>
      <c r="F3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0">
        <f>ScenarioStat1[[#This Row],[team-1-win]]+ScenarioStat1[[#This Row],[team-2-win]]</f>
        <v>0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73"/>
  <sheetViews>
    <sheetView topLeftCell="A25" workbookViewId="0">
      <selection activeCell="A2" sqref="A2:T73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251</v>
      </c>
      <c r="B2">
        <v>0</v>
      </c>
      <c r="C2" t="s">
        <v>56</v>
      </c>
      <c r="D2">
        <v>3</v>
      </c>
      <c r="F2">
        <v>3</v>
      </c>
      <c r="G2" t="s">
        <v>57</v>
      </c>
      <c r="H2" t="s">
        <v>121</v>
      </c>
      <c r="I2" t="s">
        <v>123</v>
      </c>
      <c r="J2" t="s">
        <v>88</v>
      </c>
      <c r="K2" t="s">
        <v>53</v>
      </c>
      <c r="L2">
        <v>2</v>
      </c>
      <c r="M2">
        <v>3</v>
      </c>
      <c r="N2">
        <v>3</v>
      </c>
      <c r="O2" t="s">
        <v>112</v>
      </c>
      <c r="P2" t="s">
        <v>83</v>
      </c>
      <c r="Q2" t="s">
        <v>97</v>
      </c>
      <c r="S2">
        <v>0</v>
      </c>
      <c r="T2">
        <v>16</v>
      </c>
    </row>
    <row r="3" spans="1:20" x14ac:dyDescent="0.25">
      <c r="A3" t="s">
        <v>252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55</v>
      </c>
      <c r="I3" t="s">
        <v>105</v>
      </c>
      <c r="J3" t="s">
        <v>98</v>
      </c>
      <c r="K3" t="s">
        <v>48</v>
      </c>
      <c r="L3">
        <v>3</v>
      </c>
      <c r="N3">
        <v>3</v>
      </c>
      <c r="O3" t="s">
        <v>49</v>
      </c>
      <c r="P3" t="s">
        <v>84</v>
      </c>
      <c r="Q3" t="s">
        <v>90</v>
      </c>
      <c r="R3" t="s">
        <v>52</v>
      </c>
      <c r="S3">
        <v>0</v>
      </c>
      <c r="T3">
        <v>33</v>
      </c>
    </row>
    <row r="4" spans="1:20" x14ac:dyDescent="0.25">
      <c r="A4" t="s">
        <v>253</v>
      </c>
      <c r="B4">
        <v>2</v>
      </c>
      <c r="C4" t="s">
        <v>33</v>
      </c>
      <c r="D4">
        <v>2</v>
      </c>
      <c r="F4">
        <v>1</v>
      </c>
      <c r="G4" t="s">
        <v>34</v>
      </c>
      <c r="H4" t="s">
        <v>130</v>
      </c>
      <c r="I4" t="s">
        <v>36</v>
      </c>
      <c r="K4" t="s">
        <v>53</v>
      </c>
      <c r="L4">
        <v>1</v>
      </c>
      <c r="M4">
        <v>3</v>
      </c>
      <c r="N4">
        <v>1</v>
      </c>
      <c r="O4" t="s">
        <v>112</v>
      </c>
      <c r="S4">
        <v>0</v>
      </c>
      <c r="T4">
        <v>7</v>
      </c>
    </row>
    <row r="5" spans="1:20" x14ac:dyDescent="0.25">
      <c r="A5" t="s">
        <v>254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98</v>
      </c>
      <c r="K5" t="s">
        <v>43</v>
      </c>
      <c r="L5">
        <v>3</v>
      </c>
      <c r="N5">
        <v>3</v>
      </c>
      <c r="O5" t="s">
        <v>135</v>
      </c>
      <c r="P5" t="s">
        <v>136</v>
      </c>
      <c r="Q5" t="s">
        <v>137</v>
      </c>
      <c r="R5" t="s">
        <v>138</v>
      </c>
      <c r="S5">
        <v>0</v>
      </c>
      <c r="T5">
        <v>30</v>
      </c>
    </row>
    <row r="6" spans="1:20" x14ac:dyDescent="0.25">
      <c r="A6" t="s">
        <v>255</v>
      </c>
      <c r="B6">
        <v>4</v>
      </c>
      <c r="C6" t="s">
        <v>53</v>
      </c>
      <c r="D6">
        <v>2</v>
      </c>
      <c r="E6">
        <v>3</v>
      </c>
      <c r="F6">
        <v>3</v>
      </c>
      <c r="G6" t="s">
        <v>112</v>
      </c>
      <c r="H6" t="s">
        <v>83</v>
      </c>
      <c r="I6" t="s">
        <v>114</v>
      </c>
      <c r="J6" t="s">
        <v>98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94</v>
      </c>
      <c r="S6">
        <v>0</v>
      </c>
      <c r="T6">
        <v>18</v>
      </c>
    </row>
    <row r="7" spans="1:20" x14ac:dyDescent="0.25">
      <c r="A7" t="s">
        <v>256</v>
      </c>
      <c r="B7">
        <v>5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83</v>
      </c>
      <c r="I7" t="s">
        <v>114</v>
      </c>
      <c r="J7" t="s">
        <v>98</v>
      </c>
      <c r="K7" t="s">
        <v>63</v>
      </c>
      <c r="L7">
        <v>3</v>
      </c>
      <c r="N7">
        <v>3</v>
      </c>
      <c r="O7" t="s">
        <v>103</v>
      </c>
      <c r="P7" t="s">
        <v>91</v>
      </c>
      <c r="Q7" t="s">
        <v>148</v>
      </c>
      <c r="R7" t="s">
        <v>151</v>
      </c>
      <c r="S7">
        <v>0</v>
      </c>
      <c r="T7">
        <v>29</v>
      </c>
    </row>
    <row r="8" spans="1:20" x14ac:dyDescent="0.25">
      <c r="A8" t="s">
        <v>257</v>
      </c>
      <c r="B8">
        <v>6</v>
      </c>
      <c r="C8" t="s">
        <v>53</v>
      </c>
      <c r="D8">
        <v>2</v>
      </c>
      <c r="E8">
        <v>3</v>
      </c>
      <c r="F8">
        <v>2</v>
      </c>
      <c r="G8" t="s">
        <v>112</v>
      </c>
      <c r="K8" t="s">
        <v>38</v>
      </c>
      <c r="L8">
        <v>1</v>
      </c>
      <c r="M8">
        <v>2</v>
      </c>
      <c r="N8">
        <v>2</v>
      </c>
      <c r="O8" t="s">
        <v>152</v>
      </c>
      <c r="P8" t="s">
        <v>40</v>
      </c>
      <c r="Q8" t="s">
        <v>154</v>
      </c>
      <c r="R8" t="s">
        <v>42</v>
      </c>
      <c r="S8">
        <v>0</v>
      </c>
      <c r="T8">
        <v>12</v>
      </c>
    </row>
    <row r="9" spans="1:20" x14ac:dyDescent="0.25">
      <c r="A9" t="s">
        <v>258</v>
      </c>
      <c r="B9">
        <v>7</v>
      </c>
      <c r="C9" t="s">
        <v>232</v>
      </c>
      <c r="D9">
        <v>3</v>
      </c>
      <c r="E9">
        <v>1</v>
      </c>
      <c r="F9">
        <v>2</v>
      </c>
      <c r="G9" t="s">
        <v>233</v>
      </c>
      <c r="H9" t="s">
        <v>236</v>
      </c>
      <c r="I9" t="s">
        <v>241</v>
      </c>
      <c r="J9" t="s">
        <v>243</v>
      </c>
      <c r="K9" t="s">
        <v>53</v>
      </c>
      <c r="L9">
        <v>2</v>
      </c>
      <c r="M9">
        <v>1</v>
      </c>
      <c r="N9">
        <v>2</v>
      </c>
      <c r="O9" t="s">
        <v>112</v>
      </c>
      <c r="P9" t="s">
        <v>83</v>
      </c>
      <c r="Q9" t="s">
        <v>97</v>
      </c>
      <c r="R9" t="s">
        <v>98</v>
      </c>
      <c r="S9">
        <v>0</v>
      </c>
      <c r="T9">
        <v>13</v>
      </c>
    </row>
    <row r="10" spans="1:20" x14ac:dyDescent="0.25">
      <c r="A10" t="s">
        <v>259</v>
      </c>
      <c r="B10">
        <v>8</v>
      </c>
      <c r="C10" t="s">
        <v>48</v>
      </c>
      <c r="D10">
        <v>2</v>
      </c>
      <c r="F10">
        <v>1</v>
      </c>
      <c r="G10" t="s">
        <v>49</v>
      </c>
      <c r="H10" t="s">
        <v>84</v>
      </c>
      <c r="I10" t="s">
        <v>90</v>
      </c>
      <c r="J10" t="s">
        <v>52</v>
      </c>
      <c r="K10" t="s">
        <v>56</v>
      </c>
      <c r="L10">
        <v>3</v>
      </c>
      <c r="N10">
        <v>1</v>
      </c>
      <c r="O10" t="s">
        <v>120</v>
      </c>
      <c r="P10" t="s">
        <v>121</v>
      </c>
      <c r="S10">
        <v>0</v>
      </c>
      <c r="T10">
        <v>9</v>
      </c>
    </row>
    <row r="11" spans="1:20" x14ac:dyDescent="0.25">
      <c r="A11" t="s">
        <v>260</v>
      </c>
      <c r="B11">
        <v>9</v>
      </c>
      <c r="C11" t="s">
        <v>56</v>
      </c>
      <c r="D11">
        <v>3</v>
      </c>
      <c r="F11">
        <v>1</v>
      </c>
      <c r="G11" t="s">
        <v>120</v>
      </c>
      <c r="K11" t="s">
        <v>33</v>
      </c>
      <c r="L11">
        <v>1</v>
      </c>
      <c r="N11">
        <v>2</v>
      </c>
      <c r="O11" t="s">
        <v>65</v>
      </c>
      <c r="P11" t="s">
        <v>130</v>
      </c>
      <c r="S11">
        <v>0</v>
      </c>
      <c r="T11">
        <v>6</v>
      </c>
    </row>
    <row r="12" spans="1:20" x14ac:dyDescent="0.25">
      <c r="A12" t="s">
        <v>261</v>
      </c>
      <c r="B12">
        <v>10</v>
      </c>
      <c r="C12" t="s">
        <v>43</v>
      </c>
      <c r="D12">
        <v>2</v>
      </c>
      <c r="F12">
        <v>1</v>
      </c>
      <c r="G12" t="s">
        <v>135</v>
      </c>
      <c r="H12" t="s">
        <v>136</v>
      </c>
      <c r="I12" t="s">
        <v>137</v>
      </c>
      <c r="K12" t="s">
        <v>56</v>
      </c>
      <c r="L12">
        <v>2</v>
      </c>
      <c r="N12">
        <v>1</v>
      </c>
      <c r="O12" t="s">
        <v>120</v>
      </c>
      <c r="P12" t="s">
        <v>122</v>
      </c>
      <c r="S12">
        <v>0</v>
      </c>
      <c r="T12">
        <v>7</v>
      </c>
    </row>
    <row r="13" spans="1:20" x14ac:dyDescent="0.25">
      <c r="A13" t="s">
        <v>262</v>
      </c>
      <c r="B13">
        <v>11</v>
      </c>
      <c r="C13" t="s">
        <v>45</v>
      </c>
      <c r="D13">
        <v>3</v>
      </c>
      <c r="F13">
        <v>1</v>
      </c>
      <c r="G13" t="s">
        <v>140</v>
      </c>
      <c r="H13" t="s">
        <v>76</v>
      </c>
      <c r="K13" t="s">
        <v>56</v>
      </c>
      <c r="L13">
        <v>3</v>
      </c>
      <c r="N13">
        <v>1</v>
      </c>
      <c r="O13" t="s">
        <v>68</v>
      </c>
      <c r="S13">
        <v>0</v>
      </c>
      <c r="T13">
        <v>7</v>
      </c>
    </row>
    <row r="14" spans="1:20" x14ac:dyDescent="0.25">
      <c r="A14" t="s">
        <v>263</v>
      </c>
      <c r="B14">
        <v>12</v>
      </c>
      <c r="C14" t="s">
        <v>56</v>
      </c>
      <c r="D14">
        <v>3</v>
      </c>
      <c r="F14">
        <v>2</v>
      </c>
      <c r="G14" t="s">
        <v>57</v>
      </c>
      <c r="H14" t="s">
        <v>122</v>
      </c>
      <c r="K14" t="s">
        <v>63</v>
      </c>
      <c r="L14">
        <v>1</v>
      </c>
      <c r="N14">
        <v>2</v>
      </c>
      <c r="O14" t="s">
        <v>103</v>
      </c>
      <c r="P14" t="s">
        <v>146</v>
      </c>
      <c r="Q14" t="s">
        <v>104</v>
      </c>
      <c r="S14">
        <v>0</v>
      </c>
      <c r="T14">
        <v>9</v>
      </c>
    </row>
    <row r="15" spans="1:20" x14ac:dyDescent="0.25">
      <c r="A15" t="s">
        <v>264</v>
      </c>
      <c r="B15">
        <v>13</v>
      </c>
      <c r="C15" t="s">
        <v>56</v>
      </c>
      <c r="D15">
        <v>1</v>
      </c>
      <c r="F15">
        <v>1</v>
      </c>
      <c r="G15" t="s">
        <v>57</v>
      </c>
      <c r="H15" t="s">
        <v>122</v>
      </c>
      <c r="I15" t="s">
        <v>85</v>
      </c>
      <c r="J15" t="s">
        <v>125</v>
      </c>
      <c r="K15" t="s">
        <v>38</v>
      </c>
      <c r="L15">
        <v>1</v>
      </c>
      <c r="M15">
        <v>1</v>
      </c>
      <c r="N15">
        <v>2</v>
      </c>
      <c r="O15" t="s">
        <v>39</v>
      </c>
      <c r="P15" t="s">
        <v>96</v>
      </c>
      <c r="Q15" t="s">
        <v>153</v>
      </c>
      <c r="S15">
        <v>0</v>
      </c>
      <c r="T15">
        <v>8</v>
      </c>
    </row>
    <row r="16" spans="1:20" x14ac:dyDescent="0.25">
      <c r="A16" t="s">
        <v>265</v>
      </c>
      <c r="B16">
        <v>14</v>
      </c>
      <c r="C16" t="s">
        <v>56</v>
      </c>
      <c r="D16">
        <v>3</v>
      </c>
      <c r="F16">
        <v>1</v>
      </c>
      <c r="G16" t="s">
        <v>57</v>
      </c>
      <c r="K16" t="s">
        <v>232</v>
      </c>
      <c r="L16">
        <v>1</v>
      </c>
      <c r="M16">
        <v>1</v>
      </c>
      <c r="N16">
        <v>3</v>
      </c>
      <c r="O16" t="s">
        <v>233</v>
      </c>
      <c r="P16" t="s">
        <v>236</v>
      </c>
      <c r="S16">
        <v>0</v>
      </c>
      <c r="T16">
        <v>8</v>
      </c>
    </row>
    <row r="17" spans="1:20" x14ac:dyDescent="0.25">
      <c r="A17" t="s">
        <v>266</v>
      </c>
      <c r="B17">
        <v>15</v>
      </c>
      <c r="C17" t="s">
        <v>48</v>
      </c>
      <c r="D17">
        <v>2</v>
      </c>
      <c r="F17">
        <v>1</v>
      </c>
      <c r="G17" t="s">
        <v>89</v>
      </c>
      <c r="H17" t="s">
        <v>71</v>
      </c>
      <c r="K17" t="s">
        <v>33</v>
      </c>
      <c r="L17">
        <v>1</v>
      </c>
      <c r="N17">
        <v>3</v>
      </c>
      <c r="O17" t="s">
        <v>34</v>
      </c>
      <c r="S17">
        <v>0</v>
      </c>
      <c r="T17">
        <v>6</v>
      </c>
    </row>
    <row r="18" spans="1:20" x14ac:dyDescent="0.25">
      <c r="A18" t="s">
        <v>267</v>
      </c>
      <c r="B18">
        <v>16</v>
      </c>
      <c r="C18" t="s">
        <v>48</v>
      </c>
      <c r="D18">
        <v>3</v>
      </c>
      <c r="F18">
        <v>3</v>
      </c>
      <c r="G18" t="s">
        <v>126</v>
      </c>
      <c r="H18" t="s">
        <v>84</v>
      </c>
      <c r="I18" t="s">
        <v>90</v>
      </c>
      <c r="J18" t="s">
        <v>128</v>
      </c>
      <c r="K18" t="s">
        <v>43</v>
      </c>
      <c r="L18">
        <v>3</v>
      </c>
      <c r="N18">
        <v>3</v>
      </c>
      <c r="O18" t="s">
        <v>135</v>
      </c>
      <c r="P18" t="s">
        <v>74</v>
      </c>
      <c r="Q18" t="s">
        <v>137</v>
      </c>
      <c r="R18" t="s">
        <v>138</v>
      </c>
      <c r="S18">
        <v>0</v>
      </c>
      <c r="T18">
        <v>22</v>
      </c>
    </row>
    <row r="19" spans="1:20" x14ac:dyDescent="0.25">
      <c r="A19" t="s">
        <v>268</v>
      </c>
      <c r="B19">
        <v>17</v>
      </c>
      <c r="C19" t="s">
        <v>48</v>
      </c>
      <c r="D19">
        <v>3</v>
      </c>
      <c r="F19">
        <v>3</v>
      </c>
      <c r="G19" t="s">
        <v>126</v>
      </c>
      <c r="H19" t="s">
        <v>84</v>
      </c>
      <c r="I19" t="s">
        <v>90</v>
      </c>
      <c r="J19" t="s">
        <v>128</v>
      </c>
      <c r="K19" t="s">
        <v>45</v>
      </c>
      <c r="L19">
        <v>3</v>
      </c>
      <c r="N19">
        <v>3</v>
      </c>
      <c r="O19" t="s">
        <v>86</v>
      </c>
      <c r="P19" t="s">
        <v>141</v>
      </c>
      <c r="Q19" t="s">
        <v>93</v>
      </c>
      <c r="R19" t="s">
        <v>144</v>
      </c>
      <c r="S19">
        <v>0</v>
      </c>
      <c r="T19">
        <v>26</v>
      </c>
    </row>
    <row r="20" spans="1:20" x14ac:dyDescent="0.25">
      <c r="A20" t="s">
        <v>269</v>
      </c>
      <c r="B20">
        <v>18</v>
      </c>
      <c r="C20" t="s">
        <v>48</v>
      </c>
      <c r="D20">
        <v>2</v>
      </c>
      <c r="F20">
        <v>1</v>
      </c>
      <c r="G20" t="s">
        <v>49</v>
      </c>
      <c r="H20" t="s">
        <v>84</v>
      </c>
      <c r="I20" t="s">
        <v>127</v>
      </c>
      <c r="J20" t="s">
        <v>128</v>
      </c>
      <c r="K20" t="s">
        <v>63</v>
      </c>
      <c r="L20">
        <v>1</v>
      </c>
      <c r="N20">
        <v>1</v>
      </c>
      <c r="O20" t="s">
        <v>103</v>
      </c>
      <c r="P20" t="s">
        <v>91</v>
      </c>
      <c r="Q20" t="s">
        <v>148</v>
      </c>
      <c r="R20" t="s">
        <v>151</v>
      </c>
      <c r="S20">
        <v>0</v>
      </c>
      <c r="T20">
        <v>9</v>
      </c>
    </row>
    <row r="21" spans="1:20" x14ac:dyDescent="0.25">
      <c r="A21" t="s">
        <v>270</v>
      </c>
      <c r="B21">
        <v>19</v>
      </c>
      <c r="C21" t="s">
        <v>48</v>
      </c>
      <c r="D21">
        <v>3</v>
      </c>
      <c r="F21">
        <v>2</v>
      </c>
      <c r="G21" t="s">
        <v>49</v>
      </c>
      <c r="H21" t="s">
        <v>84</v>
      </c>
      <c r="I21" t="s">
        <v>127</v>
      </c>
      <c r="J21" t="s">
        <v>52</v>
      </c>
      <c r="K21" t="s">
        <v>38</v>
      </c>
      <c r="L21">
        <v>2</v>
      </c>
      <c r="M21">
        <v>1</v>
      </c>
      <c r="N21">
        <v>3</v>
      </c>
      <c r="O21" t="s">
        <v>39</v>
      </c>
      <c r="P21" t="s">
        <v>96</v>
      </c>
      <c r="Q21" t="s">
        <v>153</v>
      </c>
      <c r="R21" t="s">
        <v>42</v>
      </c>
      <c r="S21">
        <v>0</v>
      </c>
      <c r="T21">
        <v>14</v>
      </c>
    </row>
    <row r="22" spans="1:20" x14ac:dyDescent="0.25">
      <c r="A22" t="s">
        <v>271</v>
      </c>
      <c r="B22">
        <v>20</v>
      </c>
      <c r="C22" t="s">
        <v>48</v>
      </c>
      <c r="D22">
        <v>2</v>
      </c>
      <c r="F22">
        <v>1</v>
      </c>
      <c r="G22" t="s">
        <v>89</v>
      </c>
      <c r="H22" t="s">
        <v>84</v>
      </c>
      <c r="I22" t="s">
        <v>127</v>
      </c>
      <c r="J22" t="s">
        <v>128</v>
      </c>
      <c r="K22" t="s">
        <v>232</v>
      </c>
      <c r="L22">
        <v>1</v>
      </c>
      <c r="M22">
        <v>1</v>
      </c>
      <c r="N22">
        <v>2</v>
      </c>
      <c r="O22" t="s">
        <v>234</v>
      </c>
      <c r="P22" t="s">
        <v>236</v>
      </c>
      <c r="Q22" t="s">
        <v>240</v>
      </c>
      <c r="R22" t="s">
        <v>243</v>
      </c>
      <c r="S22">
        <v>0</v>
      </c>
      <c r="T22">
        <v>10</v>
      </c>
    </row>
    <row r="23" spans="1:20" x14ac:dyDescent="0.25">
      <c r="A23" t="s">
        <v>272</v>
      </c>
      <c r="B23">
        <v>21</v>
      </c>
      <c r="C23" t="s">
        <v>43</v>
      </c>
      <c r="D23">
        <v>3</v>
      </c>
      <c r="F23">
        <v>1</v>
      </c>
      <c r="G23" t="s">
        <v>135</v>
      </c>
      <c r="K23" t="s">
        <v>33</v>
      </c>
      <c r="L23">
        <v>2</v>
      </c>
      <c r="N23">
        <v>2</v>
      </c>
      <c r="O23" t="s">
        <v>34</v>
      </c>
      <c r="S23">
        <v>0</v>
      </c>
      <c r="T23">
        <v>6</v>
      </c>
    </row>
    <row r="24" spans="1:20" x14ac:dyDescent="0.25">
      <c r="A24" t="s">
        <v>273</v>
      </c>
      <c r="B24">
        <v>22</v>
      </c>
      <c r="C24" t="s">
        <v>45</v>
      </c>
      <c r="D24">
        <v>3</v>
      </c>
      <c r="F24">
        <v>1</v>
      </c>
      <c r="G24" t="s">
        <v>140</v>
      </c>
      <c r="K24" t="s">
        <v>33</v>
      </c>
      <c r="L24">
        <v>2</v>
      </c>
      <c r="N24">
        <v>2</v>
      </c>
      <c r="O24" t="s">
        <v>34</v>
      </c>
      <c r="S24">
        <v>0</v>
      </c>
      <c r="T24">
        <v>6</v>
      </c>
    </row>
    <row r="25" spans="1:20" x14ac:dyDescent="0.25">
      <c r="A25" t="s">
        <v>274</v>
      </c>
      <c r="B25">
        <v>23</v>
      </c>
      <c r="C25" t="s">
        <v>33</v>
      </c>
      <c r="D25">
        <v>2</v>
      </c>
      <c r="F25">
        <v>1</v>
      </c>
      <c r="G25" t="s">
        <v>34</v>
      </c>
      <c r="H25" t="s">
        <v>66</v>
      </c>
      <c r="I25" t="s">
        <v>132</v>
      </c>
      <c r="K25" t="s">
        <v>63</v>
      </c>
      <c r="L25">
        <v>1</v>
      </c>
      <c r="N25">
        <v>1</v>
      </c>
      <c r="O25" t="s">
        <v>145</v>
      </c>
      <c r="P25" t="s">
        <v>91</v>
      </c>
      <c r="Q25" t="s">
        <v>104</v>
      </c>
      <c r="S25">
        <v>0</v>
      </c>
      <c r="T25">
        <v>7</v>
      </c>
    </row>
    <row r="26" spans="1:20" x14ac:dyDescent="0.25">
      <c r="A26" t="s">
        <v>275</v>
      </c>
      <c r="B26">
        <v>24</v>
      </c>
      <c r="C26" t="s">
        <v>33</v>
      </c>
      <c r="D26">
        <v>2</v>
      </c>
      <c r="F26">
        <v>1</v>
      </c>
      <c r="G26" t="s">
        <v>65</v>
      </c>
      <c r="H26" t="s">
        <v>66</v>
      </c>
      <c r="K26" t="s">
        <v>38</v>
      </c>
      <c r="L26">
        <v>1</v>
      </c>
      <c r="M26">
        <v>1</v>
      </c>
      <c r="N26">
        <v>2</v>
      </c>
      <c r="O26" t="s">
        <v>39</v>
      </c>
      <c r="P26" t="s">
        <v>96</v>
      </c>
      <c r="S26">
        <v>0</v>
      </c>
      <c r="T26">
        <v>6</v>
      </c>
    </row>
    <row r="27" spans="1:20" x14ac:dyDescent="0.25">
      <c r="A27" t="s">
        <v>276</v>
      </c>
      <c r="B27">
        <v>25</v>
      </c>
      <c r="C27" t="s">
        <v>232</v>
      </c>
      <c r="D27">
        <v>2</v>
      </c>
      <c r="E27">
        <v>1</v>
      </c>
      <c r="F27">
        <v>1</v>
      </c>
      <c r="G27" t="s">
        <v>233</v>
      </c>
      <c r="H27" t="s">
        <v>236</v>
      </c>
      <c r="K27" t="s">
        <v>33</v>
      </c>
      <c r="L27">
        <v>2</v>
      </c>
      <c r="N27">
        <v>2</v>
      </c>
      <c r="O27" t="s">
        <v>34</v>
      </c>
      <c r="S27">
        <v>0</v>
      </c>
      <c r="T27">
        <v>6</v>
      </c>
    </row>
    <row r="28" spans="1:20" x14ac:dyDescent="0.25">
      <c r="A28" t="s">
        <v>277</v>
      </c>
      <c r="B28">
        <v>26</v>
      </c>
      <c r="C28" t="s">
        <v>45</v>
      </c>
      <c r="D28">
        <v>3</v>
      </c>
      <c r="F28">
        <v>1</v>
      </c>
      <c r="G28" t="s">
        <v>140</v>
      </c>
      <c r="H28" t="s">
        <v>92</v>
      </c>
      <c r="K28" t="s">
        <v>43</v>
      </c>
      <c r="L28">
        <v>1</v>
      </c>
      <c r="N28">
        <v>1</v>
      </c>
      <c r="O28" t="s">
        <v>135</v>
      </c>
      <c r="P28" t="s">
        <v>136</v>
      </c>
      <c r="Q28" t="s">
        <v>137</v>
      </c>
      <c r="R28" t="s">
        <v>138</v>
      </c>
      <c r="S28">
        <v>0</v>
      </c>
      <c r="T28">
        <v>9</v>
      </c>
    </row>
    <row r="29" spans="1:20" x14ac:dyDescent="0.25">
      <c r="A29" t="s">
        <v>278</v>
      </c>
      <c r="B29">
        <v>27</v>
      </c>
      <c r="C29" t="s">
        <v>43</v>
      </c>
      <c r="D29">
        <v>3</v>
      </c>
      <c r="F29">
        <v>3</v>
      </c>
      <c r="G29" t="s">
        <v>135</v>
      </c>
      <c r="H29" t="s">
        <v>74</v>
      </c>
      <c r="I29" t="s">
        <v>137</v>
      </c>
      <c r="J29" t="s">
        <v>139</v>
      </c>
      <c r="K29" t="s">
        <v>63</v>
      </c>
      <c r="L29">
        <v>3</v>
      </c>
      <c r="N29">
        <v>3</v>
      </c>
      <c r="O29" t="s">
        <v>145</v>
      </c>
      <c r="P29" t="s">
        <v>146</v>
      </c>
      <c r="Q29" t="s">
        <v>148</v>
      </c>
      <c r="R29" t="s">
        <v>150</v>
      </c>
      <c r="S29">
        <v>0</v>
      </c>
      <c r="T29">
        <v>17</v>
      </c>
    </row>
    <row r="30" spans="1:20" x14ac:dyDescent="0.25">
      <c r="A30" t="s">
        <v>279</v>
      </c>
      <c r="B30">
        <v>28</v>
      </c>
      <c r="C30" t="s">
        <v>38</v>
      </c>
      <c r="D30">
        <v>1</v>
      </c>
      <c r="E30">
        <v>1</v>
      </c>
      <c r="F30">
        <v>2</v>
      </c>
      <c r="G30" t="s">
        <v>39</v>
      </c>
      <c r="H30" t="s">
        <v>70</v>
      </c>
      <c r="I30" t="s">
        <v>41</v>
      </c>
      <c r="K30" t="s">
        <v>43</v>
      </c>
      <c r="L30">
        <v>2</v>
      </c>
      <c r="N30">
        <v>1</v>
      </c>
      <c r="O30" t="s">
        <v>135</v>
      </c>
      <c r="P30" t="s">
        <v>136</v>
      </c>
      <c r="S30">
        <v>0</v>
      </c>
      <c r="T30">
        <v>7</v>
      </c>
    </row>
    <row r="31" spans="1:20" x14ac:dyDescent="0.25">
      <c r="A31" t="s">
        <v>280</v>
      </c>
      <c r="B31">
        <v>29</v>
      </c>
      <c r="C31" t="s">
        <v>43</v>
      </c>
      <c r="D31">
        <v>3</v>
      </c>
      <c r="F31">
        <v>2</v>
      </c>
      <c r="G31" t="s">
        <v>135</v>
      </c>
      <c r="H31" t="s">
        <v>74</v>
      </c>
      <c r="K31" t="s">
        <v>232</v>
      </c>
      <c r="L31">
        <v>2</v>
      </c>
      <c r="M31">
        <v>1</v>
      </c>
      <c r="N31">
        <v>3</v>
      </c>
      <c r="O31" t="s">
        <v>234</v>
      </c>
      <c r="P31" t="s">
        <v>236</v>
      </c>
      <c r="S31">
        <v>0</v>
      </c>
      <c r="T31">
        <v>10</v>
      </c>
    </row>
    <row r="32" spans="1:20" x14ac:dyDescent="0.25">
      <c r="A32" t="s">
        <v>281</v>
      </c>
      <c r="B32">
        <v>30</v>
      </c>
      <c r="C32" t="s">
        <v>63</v>
      </c>
      <c r="D32">
        <v>1</v>
      </c>
      <c r="F32">
        <v>3</v>
      </c>
      <c r="G32" t="s">
        <v>145</v>
      </c>
      <c r="H32" t="s">
        <v>146</v>
      </c>
      <c r="I32" t="s">
        <v>104</v>
      </c>
      <c r="K32" t="s">
        <v>45</v>
      </c>
      <c r="L32">
        <v>3</v>
      </c>
      <c r="N32">
        <v>1</v>
      </c>
      <c r="O32" t="s">
        <v>86</v>
      </c>
      <c r="P32" t="s">
        <v>141</v>
      </c>
      <c r="Q32" t="s">
        <v>93</v>
      </c>
      <c r="S32">
        <v>0</v>
      </c>
      <c r="T32">
        <v>10</v>
      </c>
    </row>
    <row r="33" spans="1:20" x14ac:dyDescent="0.25">
      <c r="A33" t="s">
        <v>282</v>
      </c>
      <c r="B33">
        <v>31</v>
      </c>
      <c r="C33" t="s">
        <v>38</v>
      </c>
      <c r="D33">
        <v>1</v>
      </c>
      <c r="E33">
        <v>1</v>
      </c>
      <c r="F33">
        <v>2</v>
      </c>
      <c r="G33" t="s">
        <v>39</v>
      </c>
      <c r="H33" t="s">
        <v>96</v>
      </c>
      <c r="I33" t="s">
        <v>153</v>
      </c>
      <c r="J33" t="s">
        <v>42</v>
      </c>
      <c r="K33" t="s">
        <v>45</v>
      </c>
      <c r="L33">
        <v>3</v>
      </c>
      <c r="N33">
        <v>1</v>
      </c>
      <c r="O33" t="s">
        <v>140</v>
      </c>
      <c r="P33" t="s">
        <v>76</v>
      </c>
      <c r="S33">
        <v>0</v>
      </c>
      <c r="T33">
        <v>9</v>
      </c>
    </row>
    <row r="34" spans="1:20" x14ac:dyDescent="0.25">
      <c r="A34" t="s">
        <v>283</v>
      </c>
      <c r="B34">
        <v>32</v>
      </c>
      <c r="C34" t="s">
        <v>232</v>
      </c>
      <c r="D34">
        <v>2</v>
      </c>
      <c r="E34">
        <v>1</v>
      </c>
      <c r="F34">
        <v>3</v>
      </c>
      <c r="G34" t="s">
        <v>234</v>
      </c>
      <c r="H34" t="s">
        <v>236</v>
      </c>
      <c r="K34" t="s">
        <v>45</v>
      </c>
      <c r="L34">
        <v>3</v>
      </c>
      <c r="N34">
        <v>1</v>
      </c>
      <c r="O34" t="s">
        <v>86</v>
      </c>
      <c r="P34" t="s">
        <v>141</v>
      </c>
      <c r="S34">
        <v>0</v>
      </c>
      <c r="T34">
        <v>9</v>
      </c>
    </row>
    <row r="35" spans="1:20" x14ac:dyDescent="0.25">
      <c r="A35" t="s">
        <v>284</v>
      </c>
      <c r="B35">
        <v>33</v>
      </c>
      <c r="C35" t="s">
        <v>63</v>
      </c>
      <c r="D35">
        <v>3</v>
      </c>
      <c r="F35">
        <v>3</v>
      </c>
      <c r="G35" t="s">
        <v>103</v>
      </c>
      <c r="H35" t="s">
        <v>91</v>
      </c>
      <c r="I35" t="s">
        <v>147</v>
      </c>
      <c r="J35" t="s">
        <v>151</v>
      </c>
      <c r="K35" t="s">
        <v>38</v>
      </c>
      <c r="L35">
        <v>3</v>
      </c>
      <c r="M35">
        <v>3</v>
      </c>
      <c r="N35">
        <v>3</v>
      </c>
      <c r="O35" t="s">
        <v>39</v>
      </c>
      <c r="P35" t="s">
        <v>96</v>
      </c>
      <c r="Q35" t="s">
        <v>154</v>
      </c>
      <c r="R35" t="s">
        <v>42</v>
      </c>
      <c r="S35">
        <v>0</v>
      </c>
      <c r="T35">
        <v>22</v>
      </c>
    </row>
    <row r="36" spans="1:20" x14ac:dyDescent="0.25">
      <c r="A36" t="s">
        <v>285</v>
      </c>
      <c r="B36">
        <v>34</v>
      </c>
      <c r="C36" t="s">
        <v>63</v>
      </c>
      <c r="D36">
        <v>3</v>
      </c>
      <c r="F36">
        <v>1</v>
      </c>
      <c r="G36" t="s">
        <v>103</v>
      </c>
      <c r="H36" t="s">
        <v>91</v>
      </c>
      <c r="I36" t="s">
        <v>148</v>
      </c>
      <c r="K36" t="s">
        <v>232</v>
      </c>
      <c r="L36">
        <v>2</v>
      </c>
      <c r="M36">
        <v>1</v>
      </c>
      <c r="N36">
        <v>3</v>
      </c>
      <c r="O36" t="s">
        <v>234</v>
      </c>
      <c r="P36" t="s">
        <v>236</v>
      </c>
      <c r="Q36" t="s">
        <v>240</v>
      </c>
      <c r="S36">
        <v>0</v>
      </c>
      <c r="T36">
        <v>12</v>
      </c>
    </row>
    <row r="37" spans="1:20" x14ac:dyDescent="0.25">
      <c r="A37" t="s">
        <v>286</v>
      </c>
      <c r="B37">
        <v>35</v>
      </c>
      <c r="C37" t="s">
        <v>38</v>
      </c>
      <c r="D37">
        <v>3</v>
      </c>
      <c r="E37">
        <v>3</v>
      </c>
      <c r="F37">
        <v>3</v>
      </c>
      <c r="G37" t="s">
        <v>39</v>
      </c>
      <c r="H37" t="s">
        <v>70</v>
      </c>
      <c r="I37" t="s">
        <v>153</v>
      </c>
      <c r="J37" t="s">
        <v>42</v>
      </c>
      <c r="K37" t="s">
        <v>232</v>
      </c>
      <c r="L37">
        <v>3</v>
      </c>
      <c r="M37">
        <v>3</v>
      </c>
      <c r="N37">
        <v>3</v>
      </c>
      <c r="O37" t="s">
        <v>233</v>
      </c>
      <c r="P37" t="s">
        <v>236</v>
      </c>
      <c r="Q37" t="s">
        <v>240</v>
      </c>
      <c r="R37" t="s">
        <v>244</v>
      </c>
      <c r="S37">
        <v>0</v>
      </c>
      <c r="T37">
        <v>29</v>
      </c>
    </row>
    <row r="38" spans="1:20" x14ac:dyDescent="0.25">
      <c r="A38" t="s">
        <v>287</v>
      </c>
      <c r="B38">
        <v>0</v>
      </c>
      <c r="C38" t="s">
        <v>53</v>
      </c>
      <c r="D38">
        <v>2</v>
      </c>
      <c r="E38">
        <v>3</v>
      </c>
      <c r="F38">
        <v>3</v>
      </c>
      <c r="G38" t="s">
        <v>112</v>
      </c>
      <c r="H38" t="s">
        <v>83</v>
      </c>
      <c r="I38" t="s">
        <v>97</v>
      </c>
      <c r="J38" t="s">
        <v>115</v>
      </c>
      <c r="K38" t="s">
        <v>56</v>
      </c>
      <c r="L38">
        <v>3</v>
      </c>
      <c r="N38">
        <v>3</v>
      </c>
      <c r="O38" t="s">
        <v>57</v>
      </c>
      <c r="P38" t="s">
        <v>122</v>
      </c>
      <c r="Q38" t="s">
        <v>123</v>
      </c>
      <c r="R38" t="s">
        <v>124</v>
      </c>
      <c r="S38">
        <v>0</v>
      </c>
      <c r="T38">
        <v>17</v>
      </c>
    </row>
    <row r="39" spans="1:20" x14ac:dyDescent="0.25">
      <c r="A39" t="s">
        <v>288</v>
      </c>
      <c r="B39">
        <v>1</v>
      </c>
      <c r="C39" t="s">
        <v>53</v>
      </c>
      <c r="D39">
        <v>3</v>
      </c>
      <c r="E39">
        <v>3</v>
      </c>
      <c r="F39">
        <v>3</v>
      </c>
      <c r="G39" t="s">
        <v>112</v>
      </c>
      <c r="H39" t="s">
        <v>55</v>
      </c>
      <c r="I39" t="s">
        <v>114</v>
      </c>
      <c r="J39" t="s">
        <v>98</v>
      </c>
      <c r="K39" t="s">
        <v>48</v>
      </c>
      <c r="L39">
        <v>3</v>
      </c>
      <c r="N39">
        <v>3</v>
      </c>
      <c r="O39" t="s">
        <v>49</v>
      </c>
      <c r="P39" t="s">
        <v>84</v>
      </c>
      <c r="Q39" t="s">
        <v>90</v>
      </c>
      <c r="R39" t="s">
        <v>52</v>
      </c>
      <c r="S39">
        <v>0</v>
      </c>
      <c r="T39">
        <v>25</v>
      </c>
    </row>
    <row r="40" spans="1:20" x14ac:dyDescent="0.25">
      <c r="A40" t="s">
        <v>289</v>
      </c>
      <c r="B40">
        <v>2</v>
      </c>
      <c r="C40" t="s">
        <v>33</v>
      </c>
      <c r="D40">
        <v>2</v>
      </c>
      <c r="F40">
        <v>3</v>
      </c>
      <c r="G40" t="s">
        <v>34</v>
      </c>
      <c r="K40" t="s">
        <v>53</v>
      </c>
      <c r="L40">
        <v>3</v>
      </c>
      <c r="M40">
        <v>1</v>
      </c>
      <c r="N40">
        <v>1</v>
      </c>
      <c r="O40" t="s">
        <v>111</v>
      </c>
      <c r="S40">
        <v>0</v>
      </c>
      <c r="T40">
        <v>7</v>
      </c>
    </row>
    <row r="41" spans="1:20" x14ac:dyDescent="0.25">
      <c r="A41" t="s">
        <v>290</v>
      </c>
      <c r="B41">
        <v>3</v>
      </c>
      <c r="C41" t="s">
        <v>53</v>
      </c>
      <c r="D41">
        <v>3</v>
      </c>
      <c r="E41">
        <v>3</v>
      </c>
      <c r="F41">
        <v>3</v>
      </c>
      <c r="G41" t="s">
        <v>112</v>
      </c>
      <c r="H41" t="s">
        <v>83</v>
      </c>
      <c r="I41" t="s">
        <v>97</v>
      </c>
      <c r="J41" t="s">
        <v>115</v>
      </c>
      <c r="K41" t="s">
        <v>43</v>
      </c>
      <c r="L41">
        <v>3</v>
      </c>
      <c r="N41">
        <v>3</v>
      </c>
      <c r="O41" t="s">
        <v>135</v>
      </c>
      <c r="P41" t="s">
        <v>136</v>
      </c>
      <c r="Q41" t="s">
        <v>137</v>
      </c>
      <c r="R41" t="s">
        <v>138</v>
      </c>
      <c r="S41">
        <v>0</v>
      </c>
      <c r="T41">
        <v>24</v>
      </c>
    </row>
    <row r="42" spans="1:20" x14ac:dyDescent="0.25">
      <c r="A42" t="s">
        <v>291</v>
      </c>
      <c r="B42">
        <v>4</v>
      </c>
      <c r="C42" t="s">
        <v>53</v>
      </c>
      <c r="D42">
        <v>2</v>
      </c>
      <c r="E42">
        <v>2</v>
      </c>
      <c r="F42">
        <v>3</v>
      </c>
      <c r="G42" t="s">
        <v>112</v>
      </c>
      <c r="H42" t="s">
        <v>55</v>
      </c>
      <c r="K42" t="s">
        <v>45</v>
      </c>
      <c r="L42">
        <v>3</v>
      </c>
      <c r="N42">
        <v>1</v>
      </c>
      <c r="O42" t="s">
        <v>86</v>
      </c>
      <c r="P42" t="s">
        <v>76</v>
      </c>
      <c r="Q42" t="s">
        <v>93</v>
      </c>
      <c r="R42" t="s">
        <v>143</v>
      </c>
      <c r="S42">
        <v>0</v>
      </c>
      <c r="T42">
        <v>12</v>
      </c>
    </row>
    <row r="43" spans="1:20" x14ac:dyDescent="0.25">
      <c r="A43" t="s">
        <v>292</v>
      </c>
      <c r="B43">
        <v>5</v>
      </c>
      <c r="C43" t="s">
        <v>53</v>
      </c>
      <c r="D43">
        <v>3</v>
      </c>
      <c r="E43">
        <v>3</v>
      </c>
      <c r="F43">
        <v>3</v>
      </c>
      <c r="G43" t="s">
        <v>112</v>
      </c>
      <c r="H43" t="s">
        <v>55</v>
      </c>
      <c r="I43" t="s">
        <v>114</v>
      </c>
      <c r="J43" t="s">
        <v>98</v>
      </c>
      <c r="K43" t="s">
        <v>63</v>
      </c>
      <c r="L43">
        <v>3</v>
      </c>
      <c r="N43">
        <v>3</v>
      </c>
      <c r="O43" t="s">
        <v>103</v>
      </c>
      <c r="P43" t="s">
        <v>91</v>
      </c>
      <c r="Q43" t="s">
        <v>148</v>
      </c>
      <c r="R43" t="s">
        <v>151</v>
      </c>
      <c r="S43">
        <v>0</v>
      </c>
      <c r="T43">
        <v>31</v>
      </c>
    </row>
    <row r="44" spans="1:20" x14ac:dyDescent="0.25">
      <c r="A44" t="s">
        <v>293</v>
      </c>
      <c r="B44">
        <v>6</v>
      </c>
      <c r="C44" t="s">
        <v>53</v>
      </c>
      <c r="D44">
        <v>3</v>
      </c>
      <c r="E44">
        <v>3</v>
      </c>
      <c r="F44">
        <v>3</v>
      </c>
      <c r="G44" t="s">
        <v>112</v>
      </c>
      <c r="H44" t="s">
        <v>55</v>
      </c>
      <c r="I44" t="s">
        <v>97</v>
      </c>
      <c r="J44" t="s">
        <v>98</v>
      </c>
      <c r="K44" t="s">
        <v>38</v>
      </c>
      <c r="L44">
        <v>3</v>
      </c>
      <c r="M44">
        <v>3</v>
      </c>
      <c r="N44">
        <v>3</v>
      </c>
      <c r="O44" t="s">
        <v>152</v>
      </c>
      <c r="P44" t="s">
        <v>40</v>
      </c>
      <c r="Q44" t="s">
        <v>154</v>
      </c>
      <c r="R44" t="s">
        <v>42</v>
      </c>
      <c r="S44">
        <v>0</v>
      </c>
      <c r="T44">
        <v>22</v>
      </c>
    </row>
    <row r="45" spans="1:20" x14ac:dyDescent="0.25">
      <c r="A45" t="s">
        <v>294</v>
      </c>
      <c r="B45">
        <v>7</v>
      </c>
      <c r="C45" t="s">
        <v>53</v>
      </c>
      <c r="D45">
        <v>2</v>
      </c>
      <c r="E45">
        <v>1</v>
      </c>
      <c r="F45">
        <v>2</v>
      </c>
      <c r="G45" t="s">
        <v>112</v>
      </c>
      <c r="H45" t="s">
        <v>83</v>
      </c>
      <c r="I45" t="s">
        <v>105</v>
      </c>
      <c r="J45" t="s">
        <v>98</v>
      </c>
      <c r="K45" t="s">
        <v>232</v>
      </c>
      <c r="L45">
        <v>3</v>
      </c>
      <c r="M45">
        <v>1</v>
      </c>
      <c r="N45">
        <v>1</v>
      </c>
      <c r="O45" t="s">
        <v>233</v>
      </c>
      <c r="P45" t="s">
        <v>236</v>
      </c>
      <c r="Q45" t="s">
        <v>240</v>
      </c>
      <c r="R45" t="s">
        <v>243</v>
      </c>
      <c r="S45">
        <v>0</v>
      </c>
      <c r="T45">
        <v>12</v>
      </c>
    </row>
    <row r="46" spans="1:20" x14ac:dyDescent="0.25">
      <c r="A46" t="s">
        <v>295</v>
      </c>
      <c r="B46">
        <v>8</v>
      </c>
      <c r="C46" t="s">
        <v>56</v>
      </c>
      <c r="D46">
        <v>1</v>
      </c>
      <c r="F46">
        <v>2</v>
      </c>
      <c r="G46" t="s">
        <v>120</v>
      </c>
      <c r="H46" t="s">
        <v>121</v>
      </c>
      <c r="I46" t="s">
        <v>123</v>
      </c>
      <c r="J46" t="s">
        <v>124</v>
      </c>
      <c r="K46" t="s">
        <v>48</v>
      </c>
      <c r="L46">
        <v>1</v>
      </c>
      <c r="N46">
        <v>2</v>
      </c>
      <c r="O46" t="s">
        <v>49</v>
      </c>
      <c r="P46" t="s">
        <v>84</v>
      </c>
      <c r="Q46" t="s">
        <v>90</v>
      </c>
      <c r="R46" t="s">
        <v>52</v>
      </c>
      <c r="S46">
        <v>0</v>
      </c>
      <c r="T46">
        <v>10</v>
      </c>
    </row>
    <row r="47" spans="1:20" x14ac:dyDescent="0.25">
      <c r="A47" t="s">
        <v>296</v>
      </c>
      <c r="B47">
        <v>9</v>
      </c>
      <c r="C47" t="s">
        <v>33</v>
      </c>
      <c r="D47">
        <v>2</v>
      </c>
      <c r="F47">
        <v>2</v>
      </c>
      <c r="G47" t="s">
        <v>65</v>
      </c>
      <c r="H47" t="s">
        <v>130</v>
      </c>
      <c r="I47" t="s">
        <v>132</v>
      </c>
      <c r="J47" t="s">
        <v>134</v>
      </c>
      <c r="K47" t="s">
        <v>56</v>
      </c>
      <c r="L47">
        <v>3</v>
      </c>
      <c r="N47">
        <v>1</v>
      </c>
      <c r="O47" t="s">
        <v>120</v>
      </c>
      <c r="P47" t="s">
        <v>121</v>
      </c>
      <c r="Q47" t="s">
        <v>87</v>
      </c>
      <c r="S47">
        <v>0</v>
      </c>
      <c r="T47">
        <v>11</v>
      </c>
    </row>
    <row r="48" spans="1:20" x14ac:dyDescent="0.25">
      <c r="A48" t="s">
        <v>297</v>
      </c>
      <c r="B48">
        <v>10</v>
      </c>
      <c r="C48" t="s">
        <v>43</v>
      </c>
      <c r="D48">
        <v>2</v>
      </c>
      <c r="F48">
        <v>1</v>
      </c>
      <c r="G48" t="s">
        <v>135</v>
      </c>
      <c r="H48" t="s">
        <v>136</v>
      </c>
      <c r="I48" t="s">
        <v>137</v>
      </c>
      <c r="K48" t="s">
        <v>56</v>
      </c>
      <c r="L48">
        <v>2</v>
      </c>
      <c r="N48">
        <v>1</v>
      </c>
      <c r="O48" t="s">
        <v>120</v>
      </c>
      <c r="P48" t="s">
        <v>122</v>
      </c>
      <c r="S48">
        <v>0</v>
      </c>
      <c r="T48">
        <v>7</v>
      </c>
    </row>
    <row r="49" spans="1:20" x14ac:dyDescent="0.25">
      <c r="A49" t="s">
        <v>298</v>
      </c>
      <c r="B49">
        <v>11</v>
      </c>
      <c r="C49" t="s">
        <v>56</v>
      </c>
      <c r="D49">
        <v>3</v>
      </c>
      <c r="F49">
        <v>1</v>
      </c>
      <c r="G49" t="s">
        <v>68</v>
      </c>
      <c r="H49" t="s">
        <v>122</v>
      </c>
      <c r="K49" t="s">
        <v>45</v>
      </c>
      <c r="L49">
        <v>3</v>
      </c>
      <c r="N49">
        <v>2</v>
      </c>
      <c r="O49" t="s">
        <v>140</v>
      </c>
      <c r="S49">
        <v>0</v>
      </c>
      <c r="T49">
        <v>8</v>
      </c>
    </row>
    <row r="50" spans="1:20" x14ac:dyDescent="0.25">
      <c r="A50" t="s">
        <v>299</v>
      </c>
      <c r="B50">
        <v>12</v>
      </c>
      <c r="C50" t="s">
        <v>56</v>
      </c>
      <c r="D50">
        <v>3</v>
      </c>
      <c r="F50">
        <v>2</v>
      </c>
      <c r="G50" t="s">
        <v>57</v>
      </c>
      <c r="H50" t="s">
        <v>122</v>
      </c>
      <c r="I50" t="s">
        <v>123</v>
      </c>
      <c r="J50" t="s">
        <v>124</v>
      </c>
      <c r="K50" t="s">
        <v>63</v>
      </c>
      <c r="L50">
        <v>2</v>
      </c>
      <c r="N50">
        <v>3</v>
      </c>
      <c r="O50" t="s">
        <v>103</v>
      </c>
      <c r="P50" t="s">
        <v>146</v>
      </c>
      <c r="Q50" t="s">
        <v>147</v>
      </c>
      <c r="R50" t="s">
        <v>150</v>
      </c>
      <c r="S50">
        <v>0</v>
      </c>
      <c r="T50">
        <v>15</v>
      </c>
    </row>
    <row r="51" spans="1:20" x14ac:dyDescent="0.25">
      <c r="A51" t="s">
        <v>300</v>
      </c>
      <c r="B51">
        <v>13</v>
      </c>
      <c r="C51" t="s">
        <v>38</v>
      </c>
      <c r="D51">
        <v>3</v>
      </c>
      <c r="E51">
        <v>3</v>
      </c>
      <c r="F51">
        <v>3</v>
      </c>
      <c r="G51" t="s">
        <v>39</v>
      </c>
      <c r="H51" t="s">
        <v>96</v>
      </c>
      <c r="I51" t="s">
        <v>153</v>
      </c>
      <c r="J51" t="s">
        <v>156</v>
      </c>
      <c r="K51" t="s">
        <v>56</v>
      </c>
      <c r="L51">
        <v>3</v>
      </c>
      <c r="N51">
        <v>3</v>
      </c>
      <c r="O51" t="s">
        <v>57</v>
      </c>
      <c r="P51" t="s">
        <v>122</v>
      </c>
      <c r="Q51" t="s">
        <v>85</v>
      </c>
      <c r="R51" t="s">
        <v>125</v>
      </c>
      <c r="S51">
        <v>0</v>
      </c>
      <c r="T51">
        <v>29</v>
      </c>
    </row>
    <row r="52" spans="1:20" x14ac:dyDescent="0.25">
      <c r="A52" t="s">
        <v>301</v>
      </c>
      <c r="B52">
        <v>14</v>
      </c>
      <c r="C52" t="s">
        <v>56</v>
      </c>
      <c r="D52">
        <v>3</v>
      </c>
      <c r="F52">
        <v>1</v>
      </c>
      <c r="G52" t="s">
        <v>57</v>
      </c>
      <c r="H52" t="s">
        <v>122</v>
      </c>
      <c r="K52" t="s">
        <v>232</v>
      </c>
      <c r="L52">
        <v>2</v>
      </c>
      <c r="M52">
        <v>1</v>
      </c>
      <c r="N52">
        <v>3</v>
      </c>
      <c r="O52" t="s">
        <v>233</v>
      </c>
      <c r="S52">
        <v>0</v>
      </c>
      <c r="T52">
        <v>8</v>
      </c>
    </row>
    <row r="53" spans="1:20" x14ac:dyDescent="0.25">
      <c r="A53" t="s">
        <v>302</v>
      </c>
      <c r="B53">
        <v>15</v>
      </c>
      <c r="C53" t="s">
        <v>48</v>
      </c>
      <c r="D53">
        <v>1</v>
      </c>
      <c r="F53">
        <v>1</v>
      </c>
      <c r="G53" t="s">
        <v>89</v>
      </c>
      <c r="H53" t="s">
        <v>84</v>
      </c>
      <c r="I53" t="s">
        <v>51</v>
      </c>
      <c r="J53" t="s">
        <v>128</v>
      </c>
      <c r="K53" t="s">
        <v>33</v>
      </c>
      <c r="L53">
        <v>2</v>
      </c>
      <c r="N53">
        <v>2</v>
      </c>
      <c r="O53" t="s">
        <v>34</v>
      </c>
      <c r="P53" t="s">
        <v>130</v>
      </c>
      <c r="S53">
        <v>0</v>
      </c>
      <c r="T53">
        <v>8</v>
      </c>
    </row>
    <row r="54" spans="1:20" x14ac:dyDescent="0.25">
      <c r="A54" t="s">
        <v>303</v>
      </c>
      <c r="B54">
        <v>16</v>
      </c>
      <c r="C54" t="s">
        <v>48</v>
      </c>
      <c r="D54">
        <v>3</v>
      </c>
      <c r="F54">
        <v>3</v>
      </c>
      <c r="G54" t="s">
        <v>126</v>
      </c>
      <c r="H54" t="s">
        <v>84</v>
      </c>
      <c r="I54" t="s">
        <v>90</v>
      </c>
      <c r="J54" t="s">
        <v>128</v>
      </c>
      <c r="K54" t="s">
        <v>43</v>
      </c>
      <c r="L54">
        <v>3</v>
      </c>
      <c r="N54">
        <v>3</v>
      </c>
      <c r="O54" t="s">
        <v>135</v>
      </c>
      <c r="P54" t="s">
        <v>74</v>
      </c>
      <c r="Q54" t="s">
        <v>137</v>
      </c>
      <c r="R54" t="s">
        <v>138</v>
      </c>
      <c r="S54">
        <v>0</v>
      </c>
      <c r="T54">
        <v>18</v>
      </c>
    </row>
    <row r="55" spans="1:20" x14ac:dyDescent="0.25">
      <c r="A55" t="s">
        <v>304</v>
      </c>
      <c r="B55">
        <v>17</v>
      </c>
      <c r="C55" t="s">
        <v>48</v>
      </c>
      <c r="D55">
        <v>3</v>
      </c>
      <c r="F55">
        <v>3</v>
      </c>
      <c r="G55" t="s">
        <v>126</v>
      </c>
      <c r="H55" t="s">
        <v>84</v>
      </c>
      <c r="I55" t="s">
        <v>90</v>
      </c>
      <c r="J55" t="s">
        <v>128</v>
      </c>
      <c r="K55" t="s">
        <v>45</v>
      </c>
      <c r="L55">
        <v>3</v>
      </c>
      <c r="N55">
        <v>3</v>
      </c>
      <c r="O55" t="s">
        <v>86</v>
      </c>
      <c r="P55" t="s">
        <v>141</v>
      </c>
      <c r="Q55" t="s">
        <v>93</v>
      </c>
      <c r="R55" t="s">
        <v>143</v>
      </c>
      <c r="S55">
        <v>0</v>
      </c>
      <c r="T55">
        <v>20</v>
      </c>
    </row>
    <row r="56" spans="1:20" x14ac:dyDescent="0.25">
      <c r="A56" t="s">
        <v>305</v>
      </c>
      <c r="B56">
        <v>18</v>
      </c>
      <c r="C56" t="s">
        <v>48</v>
      </c>
      <c r="D56">
        <v>2</v>
      </c>
      <c r="F56">
        <v>1</v>
      </c>
      <c r="G56" t="s">
        <v>49</v>
      </c>
      <c r="H56" t="s">
        <v>84</v>
      </c>
      <c r="I56" t="s">
        <v>127</v>
      </c>
      <c r="J56" t="s">
        <v>128</v>
      </c>
      <c r="K56" t="s">
        <v>63</v>
      </c>
      <c r="L56">
        <v>1</v>
      </c>
      <c r="N56">
        <v>1</v>
      </c>
      <c r="O56" t="s">
        <v>103</v>
      </c>
      <c r="P56" t="s">
        <v>91</v>
      </c>
      <c r="Q56" t="s">
        <v>148</v>
      </c>
      <c r="R56" t="s">
        <v>151</v>
      </c>
      <c r="S56">
        <v>0</v>
      </c>
      <c r="T56">
        <v>9</v>
      </c>
    </row>
    <row r="57" spans="1:20" x14ac:dyDescent="0.25">
      <c r="A57" t="s">
        <v>306</v>
      </c>
      <c r="B57">
        <v>19</v>
      </c>
      <c r="C57" t="s">
        <v>48</v>
      </c>
      <c r="D57">
        <v>2</v>
      </c>
      <c r="F57">
        <v>1</v>
      </c>
      <c r="G57" t="s">
        <v>49</v>
      </c>
      <c r="H57" t="s">
        <v>84</v>
      </c>
      <c r="I57" t="s">
        <v>127</v>
      </c>
      <c r="J57" t="s">
        <v>128</v>
      </c>
      <c r="K57" t="s">
        <v>38</v>
      </c>
      <c r="L57">
        <v>1</v>
      </c>
      <c r="M57">
        <v>1</v>
      </c>
      <c r="N57">
        <v>3</v>
      </c>
      <c r="O57" t="s">
        <v>39</v>
      </c>
      <c r="P57" t="s">
        <v>96</v>
      </c>
      <c r="Q57" t="s">
        <v>153</v>
      </c>
      <c r="R57" t="s">
        <v>42</v>
      </c>
      <c r="S57">
        <v>0</v>
      </c>
      <c r="T57">
        <v>12</v>
      </c>
    </row>
    <row r="58" spans="1:20" x14ac:dyDescent="0.25">
      <c r="A58" t="s">
        <v>307</v>
      </c>
      <c r="B58">
        <v>20</v>
      </c>
      <c r="C58" t="s">
        <v>48</v>
      </c>
      <c r="D58">
        <v>3</v>
      </c>
      <c r="F58">
        <v>1</v>
      </c>
      <c r="G58" t="s">
        <v>89</v>
      </c>
      <c r="H58" t="s">
        <v>84</v>
      </c>
      <c r="I58" t="s">
        <v>127</v>
      </c>
      <c r="J58" t="s">
        <v>128</v>
      </c>
      <c r="K58" t="s">
        <v>232</v>
      </c>
      <c r="L58">
        <v>1</v>
      </c>
      <c r="M58">
        <v>1</v>
      </c>
      <c r="N58">
        <v>3</v>
      </c>
      <c r="O58" t="s">
        <v>234</v>
      </c>
      <c r="P58" t="s">
        <v>236</v>
      </c>
      <c r="Q58" t="s">
        <v>240</v>
      </c>
      <c r="R58" t="s">
        <v>243</v>
      </c>
      <c r="S58">
        <v>0</v>
      </c>
      <c r="T58">
        <v>12</v>
      </c>
    </row>
    <row r="59" spans="1:20" x14ac:dyDescent="0.25">
      <c r="A59" t="s">
        <v>308</v>
      </c>
      <c r="B59">
        <v>21</v>
      </c>
      <c r="C59" t="s">
        <v>43</v>
      </c>
      <c r="D59">
        <v>3</v>
      </c>
      <c r="F59">
        <v>1</v>
      </c>
      <c r="G59" t="s">
        <v>135</v>
      </c>
      <c r="K59" t="s">
        <v>33</v>
      </c>
      <c r="L59">
        <v>2</v>
      </c>
      <c r="N59">
        <v>2</v>
      </c>
      <c r="O59" t="s">
        <v>34</v>
      </c>
      <c r="S59">
        <v>0</v>
      </c>
      <c r="T59">
        <v>6</v>
      </c>
    </row>
    <row r="60" spans="1:20" x14ac:dyDescent="0.25">
      <c r="A60" t="s">
        <v>309</v>
      </c>
      <c r="B60">
        <v>22</v>
      </c>
      <c r="C60" t="s">
        <v>45</v>
      </c>
      <c r="D60">
        <v>3</v>
      </c>
      <c r="F60">
        <v>1</v>
      </c>
      <c r="G60" t="s">
        <v>140</v>
      </c>
      <c r="H60" t="s">
        <v>141</v>
      </c>
      <c r="K60" t="s">
        <v>33</v>
      </c>
      <c r="L60">
        <v>2</v>
      </c>
      <c r="N60">
        <v>3</v>
      </c>
      <c r="O60" t="s">
        <v>34</v>
      </c>
      <c r="S60">
        <v>0</v>
      </c>
      <c r="T60">
        <v>8</v>
      </c>
    </row>
    <row r="61" spans="1:20" x14ac:dyDescent="0.25">
      <c r="A61" t="s">
        <v>310</v>
      </c>
      <c r="B61">
        <v>23</v>
      </c>
      <c r="C61" t="s">
        <v>63</v>
      </c>
      <c r="D61">
        <v>2</v>
      </c>
      <c r="F61">
        <v>1</v>
      </c>
      <c r="G61" t="s">
        <v>145</v>
      </c>
      <c r="K61" t="s">
        <v>33</v>
      </c>
      <c r="L61">
        <v>2</v>
      </c>
      <c r="N61">
        <v>1</v>
      </c>
      <c r="O61" t="s">
        <v>34</v>
      </c>
      <c r="P61" t="s">
        <v>66</v>
      </c>
      <c r="S61">
        <v>0</v>
      </c>
      <c r="T61">
        <v>6</v>
      </c>
    </row>
    <row r="62" spans="1:20" x14ac:dyDescent="0.25">
      <c r="A62" t="s">
        <v>311</v>
      </c>
      <c r="B62">
        <v>24</v>
      </c>
      <c r="C62" t="s">
        <v>38</v>
      </c>
      <c r="D62">
        <v>1</v>
      </c>
      <c r="E62">
        <v>2</v>
      </c>
      <c r="F62">
        <v>2</v>
      </c>
      <c r="G62" t="s">
        <v>39</v>
      </c>
      <c r="H62" t="s">
        <v>40</v>
      </c>
      <c r="K62" t="s">
        <v>33</v>
      </c>
      <c r="L62">
        <v>1</v>
      </c>
      <c r="N62">
        <v>1</v>
      </c>
      <c r="O62" t="s">
        <v>65</v>
      </c>
      <c r="P62" t="s">
        <v>66</v>
      </c>
      <c r="Q62" t="s">
        <v>36</v>
      </c>
      <c r="S62">
        <v>0</v>
      </c>
      <c r="T62">
        <v>7</v>
      </c>
    </row>
    <row r="63" spans="1:20" x14ac:dyDescent="0.25">
      <c r="A63" t="s">
        <v>312</v>
      </c>
      <c r="B63">
        <v>25</v>
      </c>
      <c r="C63" t="s">
        <v>232</v>
      </c>
      <c r="D63">
        <v>2</v>
      </c>
      <c r="E63">
        <v>1</v>
      </c>
      <c r="F63">
        <v>1</v>
      </c>
      <c r="G63" t="s">
        <v>233</v>
      </c>
      <c r="H63" t="s">
        <v>236</v>
      </c>
      <c r="K63" t="s">
        <v>33</v>
      </c>
      <c r="L63">
        <v>2</v>
      </c>
      <c r="N63">
        <v>2</v>
      </c>
      <c r="O63" t="s">
        <v>34</v>
      </c>
      <c r="S63">
        <v>0</v>
      </c>
      <c r="T63">
        <v>6</v>
      </c>
    </row>
    <row r="64" spans="1:20" x14ac:dyDescent="0.25">
      <c r="A64" t="s">
        <v>313</v>
      </c>
      <c r="B64">
        <v>26</v>
      </c>
      <c r="C64" t="s">
        <v>45</v>
      </c>
      <c r="D64">
        <v>3</v>
      </c>
      <c r="F64">
        <v>1</v>
      </c>
      <c r="G64" t="s">
        <v>140</v>
      </c>
      <c r="H64" t="s">
        <v>141</v>
      </c>
      <c r="K64" t="s">
        <v>43</v>
      </c>
      <c r="L64">
        <v>3</v>
      </c>
      <c r="N64">
        <v>1</v>
      </c>
      <c r="O64" t="s">
        <v>135</v>
      </c>
      <c r="S64">
        <v>0</v>
      </c>
      <c r="T64">
        <v>7</v>
      </c>
    </row>
    <row r="65" spans="1:20" x14ac:dyDescent="0.25">
      <c r="A65" t="s">
        <v>314</v>
      </c>
      <c r="B65">
        <v>27</v>
      </c>
      <c r="C65" t="s">
        <v>43</v>
      </c>
      <c r="D65">
        <v>3</v>
      </c>
      <c r="F65">
        <v>2</v>
      </c>
      <c r="G65" t="s">
        <v>135</v>
      </c>
      <c r="H65" t="s">
        <v>136</v>
      </c>
      <c r="I65" t="s">
        <v>137</v>
      </c>
      <c r="K65" t="s">
        <v>63</v>
      </c>
      <c r="L65">
        <v>1</v>
      </c>
      <c r="N65">
        <v>2</v>
      </c>
      <c r="O65" t="s">
        <v>145</v>
      </c>
      <c r="P65" t="s">
        <v>146</v>
      </c>
      <c r="Q65" t="s">
        <v>104</v>
      </c>
      <c r="S65">
        <v>0</v>
      </c>
      <c r="T65">
        <v>11</v>
      </c>
    </row>
    <row r="66" spans="1:20" x14ac:dyDescent="0.25">
      <c r="A66" t="s">
        <v>315</v>
      </c>
      <c r="B66">
        <v>28</v>
      </c>
      <c r="C66" t="s">
        <v>38</v>
      </c>
      <c r="D66">
        <v>1</v>
      </c>
      <c r="E66">
        <v>1</v>
      </c>
      <c r="F66">
        <v>2</v>
      </c>
      <c r="G66" t="s">
        <v>39</v>
      </c>
      <c r="H66" t="s">
        <v>70</v>
      </c>
      <c r="I66" t="s">
        <v>41</v>
      </c>
      <c r="K66" t="s">
        <v>43</v>
      </c>
      <c r="L66">
        <v>2</v>
      </c>
      <c r="N66">
        <v>1</v>
      </c>
      <c r="O66" t="s">
        <v>135</v>
      </c>
      <c r="P66" t="s">
        <v>74</v>
      </c>
      <c r="S66">
        <v>0</v>
      </c>
      <c r="T66">
        <v>7</v>
      </c>
    </row>
    <row r="67" spans="1:20" x14ac:dyDescent="0.25">
      <c r="A67" t="s">
        <v>316</v>
      </c>
      <c r="B67">
        <v>29</v>
      </c>
      <c r="C67" t="s">
        <v>43</v>
      </c>
      <c r="D67">
        <v>3</v>
      </c>
      <c r="F67">
        <v>1</v>
      </c>
      <c r="G67" t="s">
        <v>135</v>
      </c>
      <c r="H67" t="s">
        <v>136</v>
      </c>
      <c r="I67" t="s">
        <v>75</v>
      </c>
      <c r="K67" t="s">
        <v>232</v>
      </c>
      <c r="L67">
        <v>2</v>
      </c>
      <c r="M67">
        <v>1</v>
      </c>
      <c r="N67">
        <v>3</v>
      </c>
      <c r="O67" t="s">
        <v>234</v>
      </c>
      <c r="P67" t="s">
        <v>236</v>
      </c>
      <c r="S67">
        <v>0</v>
      </c>
      <c r="T67">
        <v>10</v>
      </c>
    </row>
    <row r="68" spans="1:20" x14ac:dyDescent="0.25">
      <c r="A68" t="s">
        <v>317</v>
      </c>
      <c r="B68">
        <v>30</v>
      </c>
      <c r="C68" t="s">
        <v>63</v>
      </c>
      <c r="D68">
        <v>1</v>
      </c>
      <c r="F68">
        <v>3</v>
      </c>
      <c r="G68" t="s">
        <v>145</v>
      </c>
      <c r="H68" t="s">
        <v>146</v>
      </c>
      <c r="I68" t="s">
        <v>104</v>
      </c>
      <c r="K68" t="s">
        <v>45</v>
      </c>
      <c r="L68">
        <v>3</v>
      </c>
      <c r="N68">
        <v>1</v>
      </c>
      <c r="O68" t="s">
        <v>86</v>
      </c>
      <c r="P68" t="s">
        <v>141</v>
      </c>
      <c r="Q68" t="s">
        <v>93</v>
      </c>
      <c r="R68" t="s">
        <v>143</v>
      </c>
      <c r="S68">
        <v>0</v>
      </c>
      <c r="T68">
        <v>12</v>
      </c>
    </row>
    <row r="69" spans="1:20" x14ac:dyDescent="0.25">
      <c r="A69" t="s">
        <v>318</v>
      </c>
      <c r="B69">
        <v>31</v>
      </c>
      <c r="C69" t="s">
        <v>38</v>
      </c>
      <c r="D69">
        <v>2</v>
      </c>
      <c r="E69">
        <v>1</v>
      </c>
      <c r="F69">
        <v>2</v>
      </c>
      <c r="G69" t="s">
        <v>39</v>
      </c>
      <c r="H69" t="s">
        <v>96</v>
      </c>
      <c r="I69" t="s">
        <v>153</v>
      </c>
      <c r="J69" t="s">
        <v>42</v>
      </c>
      <c r="K69" t="s">
        <v>45</v>
      </c>
      <c r="L69">
        <v>3</v>
      </c>
      <c r="N69">
        <v>1</v>
      </c>
      <c r="O69" t="s">
        <v>140</v>
      </c>
      <c r="P69" t="s">
        <v>76</v>
      </c>
      <c r="Q69" t="s">
        <v>102</v>
      </c>
      <c r="S69">
        <v>0</v>
      </c>
      <c r="T69">
        <v>11</v>
      </c>
    </row>
    <row r="70" spans="1:20" x14ac:dyDescent="0.25">
      <c r="A70" t="s">
        <v>319</v>
      </c>
      <c r="B70">
        <v>32</v>
      </c>
      <c r="C70" t="s">
        <v>232</v>
      </c>
      <c r="D70">
        <v>2</v>
      </c>
      <c r="E70">
        <v>1</v>
      </c>
      <c r="F70">
        <v>2</v>
      </c>
      <c r="G70" t="s">
        <v>234</v>
      </c>
      <c r="H70" t="s">
        <v>236</v>
      </c>
      <c r="I70" t="s">
        <v>240</v>
      </c>
      <c r="K70" t="s">
        <v>45</v>
      </c>
      <c r="L70">
        <v>3</v>
      </c>
      <c r="N70">
        <v>1</v>
      </c>
      <c r="O70" t="s">
        <v>86</v>
      </c>
      <c r="P70" t="s">
        <v>76</v>
      </c>
      <c r="S70">
        <v>0</v>
      </c>
      <c r="T70">
        <v>9</v>
      </c>
    </row>
    <row r="71" spans="1:20" x14ac:dyDescent="0.25">
      <c r="A71" t="s">
        <v>320</v>
      </c>
      <c r="B71">
        <v>33</v>
      </c>
      <c r="C71" t="s">
        <v>63</v>
      </c>
      <c r="D71">
        <v>2</v>
      </c>
      <c r="F71">
        <v>1</v>
      </c>
      <c r="G71" t="s">
        <v>103</v>
      </c>
      <c r="H71" t="s">
        <v>91</v>
      </c>
      <c r="I71" t="s">
        <v>147</v>
      </c>
      <c r="J71" t="s">
        <v>151</v>
      </c>
      <c r="K71" t="s">
        <v>38</v>
      </c>
      <c r="L71">
        <v>1</v>
      </c>
      <c r="M71">
        <v>1</v>
      </c>
      <c r="N71">
        <v>3</v>
      </c>
      <c r="O71" t="s">
        <v>39</v>
      </c>
      <c r="P71" t="s">
        <v>96</v>
      </c>
      <c r="Q71" t="s">
        <v>154</v>
      </c>
      <c r="S71">
        <v>0</v>
      </c>
      <c r="T71">
        <v>10</v>
      </c>
    </row>
    <row r="72" spans="1:20" x14ac:dyDescent="0.25">
      <c r="A72" t="s">
        <v>321</v>
      </c>
      <c r="B72">
        <v>34</v>
      </c>
      <c r="C72" t="s">
        <v>63</v>
      </c>
      <c r="D72">
        <v>2</v>
      </c>
      <c r="F72">
        <v>1</v>
      </c>
      <c r="G72" t="s">
        <v>103</v>
      </c>
      <c r="H72" t="s">
        <v>91</v>
      </c>
      <c r="I72" t="s">
        <v>148</v>
      </c>
      <c r="J72" t="s">
        <v>151</v>
      </c>
      <c r="K72" t="s">
        <v>232</v>
      </c>
      <c r="L72">
        <v>1</v>
      </c>
      <c r="M72">
        <v>2</v>
      </c>
      <c r="N72">
        <v>2</v>
      </c>
      <c r="O72" t="s">
        <v>234</v>
      </c>
      <c r="P72" t="s">
        <v>236</v>
      </c>
      <c r="Q72" t="s">
        <v>240</v>
      </c>
      <c r="R72" t="s">
        <v>243</v>
      </c>
      <c r="S72">
        <v>0</v>
      </c>
      <c r="T72">
        <v>12</v>
      </c>
    </row>
    <row r="73" spans="1:20" x14ac:dyDescent="0.25">
      <c r="A73" t="s">
        <v>322</v>
      </c>
      <c r="B73">
        <v>35</v>
      </c>
      <c r="C73" t="s">
        <v>38</v>
      </c>
      <c r="D73">
        <v>3</v>
      </c>
      <c r="E73">
        <v>3</v>
      </c>
      <c r="F73">
        <v>3</v>
      </c>
      <c r="G73" t="s">
        <v>39</v>
      </c>
      <c r="H73" t="s">
        <v>70</v>
      </c>
      <c r="I73" t="s">
        <v>153</v>
      </c>
      <c r="J73" t="s">
        <v>42</v>
      </c>
      <c r="K73" t="s">
        <v>232</v>
      </c>
      <c r="L73">
        <v>3</v>
      </c>
      <c r="M73">
        <v>2</v>
      </c>
      <c r="N73">
        <v>3</v>
      </c>
      <c r="O73" t="s">
        <v>233</v>
      </c>
      <c r="P73" t="s">
        <v>236</v>
      </c>
      <c r="Q73" t="s">
        <v>240</v>
      </c>
      <c r="R73" t="s">
        <v>242</v>
      </c>
      <c r="S73">
        <v>0</v>
      </c>
      <c r="T73">
        <v>21</v>
      </c>
    </row>
  </sheetData>
  <phoneticPr fontId="3" type="noConversion"/>
  <conditionalFormatting sqref="B1:B1048576">
    <cfRule type="duplicateValues" dxfId="2019" priority="2"/>
  </conditionalFormatting>
  <conditionalFormatting sqref="A2:B73">
    <cfRule type="duplicateValues" dxfId="2018" priority="284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8"/>
  <sheetViews>
    <sheetView workbookViewId="0">
      <selection activeCell="L22" sqref="L22"/>
    </sheetView>
  </sheetViews>
  <sheetFormatPr defaultRowHeight="15" x14ac:dyDescent="0.25"/>
  <cols>
    <col min="1" max="1" width="11.42578125" bestFit="1" customWidth="1"/>
    <col min="2" max="2" width="13.5703125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6" t="s">
        <v>78</v>
      </c>
      <c r="B1" s="37"/>
      <c r="C1" s="37"/>
      <c r="D1" s="37"/>
      <c r="E1" s="38"/>
      <c r="G1" s="36" t="s">
        <v>82</v>
      </c>
      <c r="H1" s="37"/>
      <c r="I1" s="37"/>
      <c r="J1" s="38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16</v>
      </c>
      <c r="I3">
        <f>SUMIFS(ScenarioStat2[team-1-win],ScenarioStat2[hero-1],ScenarioTeams2[[#This Row],[hero]])+SUMIFS(ScenarioStat2[team-2-win],ScenarioStat2[hero-2],ScenarioTeams2[[#This Row],[hero]])</f>
        <v>12</v>
      </c>
      <c r="J3" s="3">
        <f>IF(ScenarioTeams2[[#This Row],[battles]],ScenarioTeams2[[#This Row],[wins]]/ScenarioTeams2[[#This Row],[battles]],0)</f>
        <v>0.75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16</v>
      </c>
      <c r="I4">
        <f>SUMIFS(ScenarioStat2[team-1-win],ScenarioStat2[hero-1],ScenarioTeams2[[#This Row],[hero]])+SUMIFS(ScenarioStat2[team-2-win],ScenarioStat2[hero-2],ScenarioTeams2[[#This Row],[hero]])</f>
        <v>9</v>
      </c>
      <c r="J4" s="3">
        <f>IF(ScenarioTeams2[[#This Row],[battles]],ScenarioTeams2[[#This Row],[wins]]/ScenarioTeams2[[#This Row],[battles]],0)</f>
        <v>0.5625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16</v>
      </c>
      <c r="I5">
        <f>SUMIFS(ScenarioStat2[team-1-win],ScenarioStat2[hero-1],ScenarioTeams2[[#This Row],[hero]])+SUMIFS(ScenarioStat2[team-2-win],ScenarioStat2[hero-2],ScenarioTeams2[[#This Row],[hero]])</f>
        <v>13</v>
      </c>
      <c r="J5" s="3">
        <f>IF(ScenarioTeams2[[#This Row],[battles]],ScenarioTeams2[[#This Row],[wins]]/ScenarioTeams2[[#This Row],[battles]],0)</f>
        <v>0.8125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16</v>
      </c>
      <c r="I6">
        <f>SUMIFS(ScenarioStat2[team-1-win],ScenarioStat2[hero-1],ScenarioTeams2[[#This Row],[hero]])+SUMIFS(ScenarioStat2[team-2-win],ScenarioStat2[hero-2],ScenarioTeams2[[#This Row],[hero]])</f>
        <v>5</v>
      </c>
      <c r="J6" s="3">
        <f>IF(ScenarioTeams2[[#This Row],[battles]],ScenarioTeams2[[#This Row],[wins]]/ScenarioTeams2[[#This Row],[battles]],0)</f>
        <v>0.3125</v>
      </c>
      <c r="K6" s="3"/>
      <c r="L6" s="5" t="s">
        <v>108</v>
      </c>
      <c r="M6" s="31">
        <f>AVERAGE(Scenario2[turns])</f>
        <v>12.833333333333334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16</v>
      </c>
      <c r="I7">
        <f>SUMIFS(ScenarioStat2[team-1-win],ScenarioStat2[hero-1],ScenarioTeams2[[#This Row],[hero]])+SUMIFS(ScenarioStat2[team-2-win],ScenarioStat2[hero-2],ScenarioTeams2[[#This Row],[hero]])</f>
        <v>8</v>
      </c>
      <c r="J7" s="3">
        <f>IF(ScenarioTeams2[[#This Row],[battles]],ScenarioTeams2[[#This Row],[wins]]/ScenarioTeams2[[#This Row],[battles]],0)</f>
        <v>0.5</v>
      </c>
      <c r="K7" s="3"/>
      <c r="L7" s="5" t="s">
        <v>160</v>
      </c>
      <c r="M7" s="31">
        <f>MAX(Scenario2[turns])</f>
        <v>33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2</v>
      </c>
      <c r="C8" t="s">
        <v>63</v>
      </c>
      <c r="D8">
        <f>COUNTIFS(Scenario2[winner1],ScenarioStat2[[#This Row],[hero-2]],Scenario2[loser1],ScenarioStat2[[#This Row],[hero-1]])</f>
        <v>0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16</v>
      </c>
      <c r="I8">
        <f>SUMIFS(ScenarioStat2[team-1-win],ScenarioStat2[hero-1],ScenarioTeams2[[#This Row],[hero]])+SUMIFS(ScenarioStat2[team-2-win],ScenarioStat2[hero-2],ScenarioTeams2[[#This Row],[hero]])</f>
        <v>5</v>
      </c>
      <c r="J8" s="3">
        <f>IF(ScenarioTeams2[[#This Row],[battles]],ScenarioTeams2[[#This Row],[wins]]/ScenarioTeams2[[#This Row],[battles]],0)</f>
        <v>0.3125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16</v>
      </c>
      <c r="I9">
        <f>SUMIFS(ScenarioStat2[team-1-win],ScenarioStat2[hero-1],ScenarioTeams2[[#This Row],[hero]])+SUMIFS(ScenarioStat2[team-2-win],ScenarioStat2[hero-2],ScenarioTeams2[[#This Row],[hero]])</f>
        <v>7</v>
      </c>
      <c r="J9" s="3">
        <f>IF(ScenarioTeams2[[#This Row],[battles]],ScenarioTeams2[[#This Row],[wins]]/ScenarioTeams2[[#This Row],[battles]],0)</f>
        <v>0.4375</v>
      </c>
      <c r="K9" s="3"/>
      <c r="L9" s="4" t="s">
        <v>185</v>
      </c>
      <c r="M9" s="30">
        <f>120000*$M$6/1000/60</f>
        <v>25.666666666666668</v>
      </c>
    </row>
    <row r="10" spans="1:13" ht="15.75" thickBot="1" x14ac:dyDescent="0.3">
      <c r="A10" t="s">
        <v>53</v>
      </c>
      <c r="B10">
        <f>COUNTIFS(Scenario2[winner1],ScenarioStat2[[#This Row],[hero-1]],Scenario2[loser1],ScenarioStat2[[#This Row],[hero-2]])</f>
        <v>1</v>
      </c>
      <c r="C10" t="s">
        <v>232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16</v>
      </c>
      <c r="I10">
        <f>SUMIFS(ScenarioStat2[team-1-win],ScenarioStat2[hero-1],ScenarioTeams2[[#This Row],[hero]])+SUMIFS(ScenarioStat2[team-2-win],ScenarioStat2[hero-2],ScenarioTeams2[[#This Row],[hero]])</f>
        <v>8</v>
      </c>
      <c r="J10" s="3">
        <f>IF(ScenarioTeams2[[#This Row],[battles]],ScenarioTeams2[[#This Row],[wins]]/ScenarioTeams2[[#This Row],[battles]],0)</f>
        <v>0.5</v>
      </c>
      <c r="K10" s="3"/>
      <c r="L10" s="5" t="s">
        <v>186</v>
      </c>
      <c r="M10" s="6">
        <f>M9*COUNTA(ScenarioStat2[hero-1])/60/24*2</f>
        <v>1.2833333333333334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48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  <c r="G11" t="s">
        <v>232</v>
      </c>
      <c r="H11">
        <f>SUMIFS(ScenarioStat2[battles],ScenarioStat2[hero-1],ScenarioTeams2[[#This Row],[hero]])+SUMIFS(ScenarioStat2[battles],ScenarioStat2[hero-2],ScenarioTeams2[[#This Row],[hero]])</f>
        <v>16</v>
      </c>
      <c r="I11">
        <f>SUMIFS(ScenarioStat2[team-1-win],ScenarioStat2[hero-1],ScenarioTeams2[[#This Row],[hero]])+SUMIFS(ScenarioStat2[team-2-win],ScenarioStat2[hero-2],ScenarioTeams2[[#This Row],[hero]])</f>
        <v>5</v>
      </c>
      <c r="J11" s="3">
        <f>IF(ScenarioTeams2[[#This Row],[battles]],ScenarioTeams2[[#This Row],[wins]]/ScenarioTeams2[[#This Row],[battles]],0)</f>
        <v>0.3125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33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0</v>
      </c>
      <c r="C13" t="s">
        <v>43</v>
      </c>
      <c r="D13">
        <f>COUNTIFS(Scenario2[winner1],ScenarioStat2[[#This Row],[hero-2]],Scenario2[loser1],ScenarioStat2[[#This Row],[hero-1]])</f>
        <v>2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45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2</v>
      </c>
      <c r="C15" t="s">
        <v>63</v>
      </c>
      <c r="D15">
        <f>COUNTIFS(Scenario2[winner1],ScenarioStat2[[#This Row],[hero-2]],Scenario2[loser1],ScenarioStat2[[#This Row],[hero-1]])</f>
        <v>0</v>
      </c>
      <c r="E15">
        <f>ScenarioStat2[[#This Row],[team-1-win]]+ScenarioStat2[[#This Row],[team-2-win]]</f>
        <v>2</v>
      </c>
    </row>
    <row r="16" spans="1:13" x14ac:dyDescent="0.25">
      <c r="A16" t="s">
        <v>56</v>
      </c>
      <c r="B16">
        <f>COUNTIFS(Scenario2[winner1],ScenarioStat2[[#This Row],[hero-1]],Scenario2[loser1],ScenarioStat2[[#This Row],[hero-2]])</f>
        <v>1</v>
      </c>
      <c r="C16" t="s">
        <v>38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56</v>
      </c>
      <c r="B17">
        <f>COUNTIFS(Scenario2[winner1],ScenarioStat2[[#This Row],[hero-1]],Scenario2[loser1],ScenarioStat2[[#This Row],[hero-2]])</f>
        <v>2</v>
      </c>
      <c r="C17" t="s">
        <v>232</v>
      </c>
      <c r="D17">
        <f>COUNTIFS(Scenario2[winner1],ScenarioStat2[[#This Row],[hero-2]],Scenario2[loser1],ScenarioStat2[[#This Row],[hero-1]])</f>
        <v>0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33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2</v>
      </c>
      <c r="C19" t="s">
        <v>43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45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48</v>
      </c>
      <c r="B21">
        <f>COUNTIFS(Scenario2[winner1],ScenarioStat2[[#This Row],[hero-1]],Scenario2[loser1],ScenarioStat2[[#This Row],[hero-2]])</f>
        <v>2</v>
      </c>
      <c r="C21" t="s">
        <v>63</v>
      </c>
      <c r="D21">
        <f>COUNTIFS(Scenario2[winner1],ScenarioStat2[[#This Row],[hero-2]],Scenario2[loser1],ScenarioStat2[[#This Row],[hero-1]])</f>
        <v>0</v>
      </c>
      <c r="E21">
        <f>ScenarioStat2[[#This Row],[team-1-win]]+ScenarioStat2[[#This Row],[team-2-win]]</f>
        <v>2</v>
      </c>
    </row>
    <row r="22" spans="1:5" x14ac:dyDescent="0.25">
      <c r="A22" t="s">
        <v>48</v>
      </c>
      <c r="B22">
        <f>COUNTIFS(Scenario2[winner1],ScenarioStat2[[#This Row],[hero-1]],Scenario2[loser1],ScenarioStat2[[#This Row],[hero-2]])</f>
        <v>2</v>
      </c>
      <c r="C22" t="s">
        <v>38</v>
      </c>
      <c r="D22">
        <f>COUNTIFS(Scenario2[winner1],ScenarioStat2[[#This Row],[hero-2]],Scenario2[loser1],ScenarioStat2[[#This Row],[hero-1]])</f>
        <v>0</v>
      </c>
      <c r="E22">
        <f>ScenarioStat2[[#This Row],[team-1-win]]+ScenarioStat2[[#This Row],[team-2-win]]</f>
        <v>2</v>
      </c>
    </row>
    <row r="23" spans="1:5" x14ac:dyDescent="0.25">
      <c r="A23" t="s">
        <v>48</v>
      </c>
      <c r="B23">
        <f>COUNTIFS(Scenario2[winner1],ScenarioStat2[[#This Row],[hero-1]],Scenario2[loser1],ScenarioStat2[[#This Row],[hero-2]])</f>
        <v>2</v>
      </c>
      <c r="C23" t="s">
        <v>232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0</v>
      </c>
      <c r="C24" t="s">
        <v>43</v>
      </c>
      <c r="D24">
        <f>COUNTIFS(Scenario2[winner1],ScenarioStat2[[#This Row],[hero-2]],Scenario2[loser1],ScenarioStat2[[#This Row],[hero-1]])</f>
        <v>2</v>
      </c>
      <c r="E24">
        <f>ScenarioStat2[[#This Row],[team-1-win]]+ScenarioStat2[[#This Row],[team-2-win]]</f>
        <v>2</v>
      </c>
    </row>
    <row r="25" spans="1:5" x14ac:dyDescent="0.25">
      <c r="A25" t="s">
        <v>33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33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33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33</v>
      </c>
      <c r="B28">
        <f>COUNTIFS(Scenario2[winner1],ScenarioStat2[[#This Row],[hero-1]],Scenario2[loser1],ScenarioStat2[[#This Row],[hero-2]])</f>
        <v>0</v>
      </c>
      <c r="C28" t="s">
        <v>232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43</v>
      </c>
      <c r="B29">
        <f>COUNTIFS(Scenario2[winner1],ScenarioStat2[[#This Row],[hero-1]],Scenario2[loser1],ScenarioStat2[[#This Row],[hero-2]])</f>
        <v>0</v>
      </c>
      <c r="C29" t="s">
        <v>45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43</v>
      </c>
      <c r="B30">
        <f>COUNTIFS(Scenario2[winner1],ScenarioStat2[[#This Row],[hero-1]],Scenario2[loser1],ScenarioStat2[[#This Row],[hero-2]])</f>
        <v>2</v>
      </c>
      <c r="C30" t="s">
        <v>63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2</v>
      </c>
    </row>
    <row r="31" spans="1:5" x14ac:dyDescent="0.25">
      <c r="A31" t="s">
        <v>43</v>
      </c>
      <c r="B31">
        <f>COUNTIFS(Scenario2[winner1],ScenarioStat2[[#This Row],[hero-1]],Scenario2[loser1],ScenarioStat2[[#This Row],[hero-2]])</f>
        <v>0</v>
      </c>
      <c r="C31" t="s">
        <v>38</v>
      </c>
      <c r="D31">
        <f>COUNTIFS(Scenario2[winner1],ScenarioStat2[[#This Row],[hero-2]],Scenario2[loser1],ScenarioStat2[[#This Row],[hero-1]])</f>
        <v>2</v>
      </c>
      <c r="E31">
        <f>ScenarioStat2[[#This Row],[team-1-win]]+ScenarioStat2[[#This Row],[team-2-win]]</f>
        <v>2</v>
      </c>
    </row>
    <row r="32" spans="1:5" x14ac:dyDescent="0.25">
      <c r="A32" t="s">
        <v>43</v>
      </c>
      <c r="B32">
        <f>COUNTIFS(Scenario2[winner1],ScenarioStat2[[#This Row],[hero-1]],Scenario2[loser1],ScenarioStat2[[#This Row],[hero-2]])</f>
        <v>2</v>
      </c>
      <c r="C32" t="s">
        <v>232</v>
      </c>
      <c r="D32">
        <f>COUNTIFS(Scenario2[winner1],ScenarioStat2[[#This Row],[hero-2]],Scenario2[loser1],ScenarioStat2[[#This Row],[hero-1]])</f>
        <v>0</v>
      </c>
      <c r="E32">
        <f>ScenarioStat2[[#This Row],[team-1-win]]+ScenarioStat2[[#This Row],[team-2-win]]</f>
        <v>2</v>
      </c>
    </row>
    <row r="33" spans="1:5" x14ac:dyDescent="0.25">
      <c r="A33" t="s">
        <v>45</v>
      </c>
      <c r="B33">
        <f>COUNTIFS(Scenario2[winner1],ScenarioStat2[[#This Row],[hero-1]],Scenario2[loser1],ScenarioStat2[[#This Row],[hero-2]])</f>
        <v>0</v>
      </c>
      <c r="C33" t="s">
        <v>63</v>
      </c>
      <c r="D33">
        <f>COUNTIFS(Scenario2[winner1],ScenarioStat2[[#This Row],[hero-2]],Scenario2[loser1],ScenarioStat2[[#This Row],[hero-1]])</f>
        <v>2</v>
      </c>
      <c r="E33">
        <f>ScenarioStat2[[#This Row],[team-1-win]]+ScenarioStat2[[#This Row],[team-2-win]]</f>
        <v>2</v>
      </c>
    </row>
    <row r="34" spans="1:5" x14ac:dyDescent="0.25">
      <c r="A34" t="s">
        <v>45</v>
      </c>
      <c r="B34">
        <f>COUNTIFS(Scenario2[winner1],ScenarioStat2[[#This Row],[hero-1]],Scenario2[loser1],ScenarioStat2[[#This Row],[hero-2]])</f>
        <v>0</v>
      </c>
      <c r="C34" t="s">
        <v>38</v>
      </c>
      <c r="D34">
        <f>COUNTIFS(Scenario2[winner1],ScenarioStat2[[#This Row],[hero-2]],Scenario2[loser1],ScenarioStat2[[#This Row],[hero-1]])</f>
        <v>2</v>
      </c>
      <c r="E34">
        <f>ScenarioStat2[[#This Row],[team-1-win]]+ScenarioStat2[[#This Row],[team-2-win]]</f>
        <v>2</v>
      </c>
    </row>
    <row r="35" spans="1:5" x14ac:dyDescent="0.25">
      <c r="A35" t="s">
        <v>45</v>
      </c>
      <c r="B35">
        <f>COUNTIFS(Scenario2[winner1],ScenarioStat2[[#This Row],[hero-1]],Scenario2[loser1],ScenarioStat2[[#This Row],[hero-2]])</f>
        <v>0</v>
      </c>
      <c r="C35" t="s">
        <v>232</v>
      </c>
      <c r="D35">
        <f>COUNTIFS(Scenario2[winner1],ScenarioStat2[[#This Row],[hero-2]],Scenario2[loser1],ScenarioStat2[[#This Row],[hero-1]])</f>
        <v>2</v>
      </c>
      <c r="E35">
        <f>ScenarioStat2[[#This Row],[team-1-win]]+ScenarioStat2[[#This Row],[team-2-win]]</f>
        <v>2</v>
      </c>
    </row>
    <row r="36" spans="1:5" x14ac:dyDescent="0.25">
      <c r="A36" t="s">
        <v>63</v>
      </c>
      <c r="B36">
        <f>COUNTIFS(Scenario2[winner1],ScenarioStat2[[#This Row],[hero-1]],Scenario2[loser1],ScenarioStat2[[#This Row],[hero-2]])</f>
        <v>2</v>
      </c>
      <c r="C36" t="s">
        <v>38</v>
      </c>
      <c r="D36">
        <f>COUNTIFS(Scenario2[winner1],ScenarioStat2[[#This Row],[hero-2]],Scenario2[loser1],ScenarioStat2[[#This Row],[hero-1]])</f>
        <v>0</v>
      </c>
      <c r="E36">
        <f>ScenarioStat2[[#This Row],[team-1-win]]+ScenarioStat2[[#This Row],[team-2-win]]</f>
        <v>2</v>
      </c>
    </row>
    <row r="37" spans="1:5" x14ac:dyDescent="0.25">
      <c r="A37" t="s">
        <v>63</v>
      </c>
      <c r="B37">
        <f>COUNTIFS(Scenario2[winner1],ScenarioStat2[[#This Row],[hero-1]],Scenario2[loser1],ScenarioStat2[[#This Row],[hero-2]])</f>
        <v>2</v>
      </c>
      <c r="C37" t="s">
        <v>232</v>
      </c>
      <c r="D37">
        <f>COUNTIFS(Scenario2[winner1],ScenarioStat2[[#This Row],[hero-2]],Scenario2[loser1],ScenarioStat2[[#This Row],[hero-1]])</f>
        <v>0</v>
      </c>
      <c r="E37">
        <f>ScenarioStat2[[#This Row],[team-1-win]]+ScenarioStat2[[#This Row],[team-2-win]]</f>
        <v>2</v>
      </c>
    </row>
    <row r="38" spans="1:5" x14ac:dyDescent="0.25">
      <c r="A38" t="s">
        <v>38</v>
      </c>
      <c r="B38">
        <f>COUNTIFS(Scenario2[winner1],ScenarioStat2[[#This Row],[hero-1]],Scenario2[loser1],ScenarioStat2[[#This Row],[hero-2]])</f>
        <v>2</v>
      </c>
      <c r="C38" t="s">
        <v>232</v>
      </c>
      <c r="D38">
        <f>COUNTIFS(Scenario2[winner1],ScenarioStat2[[#This Row],[hero-2]],Scenario2[loser1],ScenarioStat2[[#This Row],[hero-1]])</f>
        <v>0</v>
      </c>
      <c r="E38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1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2"/>
  <sheetViews>
    <sheetView workbookViewId="0">
      <selection activeCell="K20" sqref="K19:K20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229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98</v>
      </c>
      <c r="K2" t="s">
        <v>56</v>
      </c>
      <c r="L2">
        <v>3</v>
      </c>
      <c r="N2">
        <v>3</v>
      </c>
      <c r="O2" t="s">
        <v>68</v>
      </c>
      <c r="P2" t="s">
        <v>69</v>
      </c>
      <c r="Q2" t="s">
        <v>123</v>
      </c>
      <c r="R2" t="s">
        <v>88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51</v>
      </c>
      <c r="Z2" t="s">
        <v>128</v>
      </c>
      <c r="AA2">
        <v>0</v>
      </c>
      <c r="AB2">
        <v>49</v>
      </c>
    </row>
  </sheetData>
  <phoneticPr fontId="3" type="noConversion"/>
  <conditionalFormatting sqref="B1:B1048576">
    <cfRule type="duplicateValues" dxfId="2009" priority="1"/>
  </conditionalFormatting>
  <conditionalFormatting sqref="A2:B2">
    <cfRule type="duplicateValues" dxfId="2008" priority="285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86"/>
  <sheetViews>
    <sheetView topLeftCell="A53" workbookViewId="0">
      <selection activeCell="H68" sqref="H68"/>
    </sheetView>
  </sheetViews>
  <sheetFormatPr defaultRowHeight="15" x14ac:dyDescent="0.25"/>
  <cols>
    <col min="1" max="1" width="11.42578125" bestFit="1" customWidth="1"/>
    <col min="2" max="2" width="13.5703125" customWidth="1"/>
    <col min="3" max="3" width="11.42578125" bestFit="1" customWidth="1"/>
    <col min="4" max="4" width="13.5703125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5.5703125" customWidth="1"/>
    <col min="17" max="17" width="9.28515625" bestFit="1" customWidth="1"/>
  </cols>
  <sheetData>
    <row r="1" spans="1:15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8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1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</v>
      </c>
      <c r="L3" s="3">
        <f>IF(ScenarioTeams3[[#This Row],[battles]],ScenarioTeams3[[#This Row],[wins]]/ScenarioTeams3[[#This Row],[battles]],0)</f>
        <v>1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0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4" s="3">
        <f>IF(ScenarioTeams3[[#This Row],[battles]],ScenarioTeams3[[#This Row],[wins]]/ScenarioTeams3[[#This Row],[battles]],0)</f>
        <v>0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0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5" s="3">
        <f>IF(ScenarioTeams3[[#This Row],[battles]],ScenarioTeams3[[#This Row],[wins]]/ScenarioTeams3[[#This Row],[battles]],0)</f>
        <v>0</v>
      </c>
      <c r="N5" s="4" t="s">
        <v>158</v>
      </c>
      <c r="O5" s="30">
        <f>MIN(Scenario3[turns])</f>
        <v>49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0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6" s="3">
        <f>IF(ScenarioTeams3[[#This Row],[battles]],ScenarioTeams3[[#This Row],[wins]]/ScenarioTeams3[[#This Row],[battles]],0)</f>
        <v>0</v>
      </c>
      <c r="N6" s="5" t="s">
        <v>108</v>
      </c>
      <c r="O6" s="31">
        <f>AVERAGE(Scenario3[turns])</f>
        <v>49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0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7" s="3">
        <f>IF(ScenarioTeams3[[#This Row],[battles]],ScenarioTeams3[[#This Row],[wins]]/ScenarioTeams3[[#This Row],[battles]],0)</f>
        <v>0</v>
      </c>
      <c r="N7" s="5" t="s">
        <v>160</v>
      </c>
      <c r="O7" s="31">
        <f>MAX(Scenario3[turns])</f>
        <v>49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0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8" s="3">
        <f>IF(ScenarioTeams3[[#This Row],[battles]],ScenarioTeams3[[#This Row],[wins]]/ScenarioTeams3[[#This Row],[battles]],0)</f>
        <v>0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56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232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0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9" s="3">
        <f>IF(ScenarioTeams3[[#This Row],[battles]],ScenarioTeams3[[#This Row],[wins]]/ScenarioTeams3[[#This Row],[battles]],0)</f>
        <v>0</v>
      </c>
      <c r="N9" s="4" t="s">
        <v>185</v>
      </c>
      <c r="O9" s="30">
        <f>120000*$O$6/1000/60</f>
        <v>98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33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0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10" s="3">
        <f>IF(ScenarioTeams3[[#This Row],[battles]],ScenarioTeams3[[#This Row],[wins]]/ScenarioTeams3[[#This Row],[battles]],0)</f>
        <v>0</v>
      </c>
      <c r="N10" s="5" t="s">
        <v>186</v>
      </c>
      <c r="O10" s="6">
        <f>O9*COUNTA(ScenarioStat3[hero-1])/60/24*2</f>
        <v>11.433333333333332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43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0</v>
      </c>
      <c r="I11" t="s">
        <v>232</v>
      </c>
      <c r="J11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11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11" s="3">
        <f>IF(ScenarioTeams3[[#This Row],[battles]],ScenarioTeams3[[#This Row],[wins]]/ScenarioTeams3[[#This Row],[battles]],0)</f>
        <v>0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45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0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63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0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48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38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0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48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232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0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43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0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45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0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33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63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0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33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38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0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33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232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0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43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45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0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0</v>
      </c>
      <c r="C22" t="s">
        <v>43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63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0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43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0</v>
      </c>
    </row>
    <row r="24" spans="1:7" x14ac:dyDescent="0.25">
      <c r="A24" t="s">
        <v>53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43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232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0</v>
      </c>
    </row>
    <row r="25" spans="1:7" x14ac:dyDescent="0.25">
      <c r="A25" t="s">
        <v>53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45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63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0</v>
      </c>
    </row>
    <row r="26" spans="1:7" x14ac:dyDescent="0.25">
      <c r="A26" t="s">
        <v>53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45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38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0</v>
      </c>
    </row>
    <row r="27" spans="1:7" x14ac:dyDescent="0.25">
      <c r="A27" t="s">
        <v>53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45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232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0</v>
      </c>
    </row>
    <row r="28" spans="1:7" x14ac:dyDescent="0.25">
      <c r="A28" t="s">
        <v>53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63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0</v>
      </c>
    </row>
    <row r="29" spans="1:7" x14ac:dyDescent="0.25">
      <c r="A29" t="s">
        <v>53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63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232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0</v>
      </c>
    </row>
    <row r="30" spans="1:7" x14ac:dyDescent="0.25">
      <c r="A30" t="s">
        <v>53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38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232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0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48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33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0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48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43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0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48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0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48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0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48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0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48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232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0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33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43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0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33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45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0</v>
      </c>
    </row>
    <row r="39" spans="1:7" x14ac:dyDescent="0.25">
      <c r="A39" t="s">
        <v>56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63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0</v>
      </c>
    </row>
    <row r="40" spans="1:7" x14ac:dyDescent="0.25">
      <c r="A40" t="s">
        <v>56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38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0</v>
      </c>
    </row>
    <row r="41" spans="1:7" x14ac:dyDescent="0.25">
      <c r="A41" t="s">
        <v>56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232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0</v>
      </c>
    </row>
    <row r="42" spans="1:7" x14ac:dyDescent="0.25">
      <c r="A42" t="s">
        <v>56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43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45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0</v>
      </c>
    </row>
    <row r="43" spans="1:7" x14ac:dyDescent="0.25">
      <c r="A43" t="s">
        <v>56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63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0</v>
      </c>
    </row>
    <row r="44" spans="1:7" x14ac:dyDescent="0.25">
      <c r="A44" t="s">
        <v>56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38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0</v>
      </c>
    </row>
    <row r="45" spans="1:7" x14ac:dyDescent="0.25">
      <c r="A45" t="s">
        <v>56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232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0</v>
      </c>
    </row>
    <row r="46" spans="1:7" x14ac:dyDescent="0.25">
      <c r="A46" t="s">
        <v>56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0</v>
      </c>
    </row>
    <row r="47" spans="1:7" x14ac:dyDescent="0.25">
      <c r="A47" t="s">
        <v>56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0</v>
      </c>
    </row>
    <row r="48" spans="1:7" x14ac:dyDescent="0.25">
      <c r="A48" t="s">
        <v>56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45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232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0</v>
      </c>
    </row>
    <row r="49" spans="1:7" x14ac:dyDescent="0.25">
      <c r="A49" t="s">
        <v>56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63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38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0</v>
      </c>
    </row>
    <row r="50" spans="1:7" x14ac:dyDescent="0.25">
      <c r="A50" t="s">
        <v>56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63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232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0</v>
      </c>
    </row>
    <row r="51" spans="1:7" x14ac:dyDescent="0.25">
      <c r="A51" t="s">
        <v>56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38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232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0</v>
      </c>
    </row>
    <row r="52" spans="1:7" x14ac:dyDescent="0.25">
      <c r="A52" t="s">
        <v>48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33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43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0</v>
      </c>
    </row>
    <row r="53" spans="1:7" x14ac:dyDescent="0.25">
      <c r="A53" t="s">
        <v>48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33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45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0</v>
      </c>
    </row>
    <row r="54" spans="1:7" x14ac:dyDescent="0.25">
      <c r="A54" t="s">
        <v>48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33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63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0</v>
      </c>
    </row>
    <row r="55" spans="1:7" x14ac:dyDescent="0.25">
      <c r="A55" t="s">
        <v>48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33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38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0</v>
      </c>
    </row>
    <row r="56" spans="1:7" x14ac:dyDescent="0.25">
      <c r="A56" t="s">
        <v>48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33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232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0</v>
      </c>
    </row>
    <row r="57" spans="1:7" x14ac:dyDescent="0.25">
      <c r="A57" t="s">
        <v>48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43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45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0</v>
      </c>
    </row>
    <row r="58" spans="1:7" x14ac:dyDescent="0.25">
      <c r="A58" t="s">
        <v>48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43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63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0</v>
      </c>
    </row>
    <row r="59" spans="1:7" x14ac:dyDescent="0.25">
      <c r="A59" t="s">
        <v>48</v>
      </c>
      <c r="B59">
        <f>COUNTIFS(Scenario3[winner1],ScenarioStat3[[#This Row],[hero-1]],Scenario3[loser1],ScenarioStat3[[#This Row],[hero-2]],Scenario3[loser2],ScenarioStat3[[#This Row],[hero-3]])</f>
        <v>0</v>
      </c>
      <c r="C59" t="s">
        <v>43</v>
      </c>
      <c r="D59">
        <f>COUNTIFS(Scenario3[winner1],ScenarioStat3[[#This Row],[hero-2]],Scenario3[loser1],ScenarioStat3[[#This Row],[hero-1]],Scenario3[loser2],ScenarioStat3[[#This Row],[hero-3]])</f>
        <v>0</v>
      </c>
      <c r="E59" t="s">
        <v>38</v>
      </c>
      <c r="F59">
        <f>COUNTIFS(Scenario3[winner1],ScenarioStat3[[#This Row],[hero-3]],Scenario3[loser1],ScenarioStat3[[#This Row],[hero-1]],Scenario3[loser2],ScenarioStat3[[#This Row],[hero-2]])</f>
        <v>0</v>
      </c>
      <c r="G59">
        <f>ScenarioStat3[[#This Row],[team-1-win]]+ScenarioStat3[[#This Row],[team-2-win]]+ScenarioStat3[[#This Row],[team-3-win]]</f>
        <v>0</v>
      </c>
    </row>
    <row r="60" spans="1:7" x14ac:dyDescent="0.25">
      <c r="A60" t="s">
        <v>48</v>
      </c>
      <c r="B60">
        <f>COUNTIFS(Scenario3[winner1],ScenarioStat3[[#This Row],[hero-1]],Scenario3[loser1],ScenarioStat3[[#This Row],[hero-2]],Scenario3[loser2],ScenarioStat3[[#This Row],[hero-3]])</f>
        <v>0</v>
      </c>
      <c r="C60" t="s">
        <v>43</v>
      </c>
      <c r="D60">
        <f>COUNTIFS(Scenario3[winner1],ScenarioStat3[[#This Row],[hero-2]],Scenario3[loser1],ScenarioStat3[[#This Row],[hero-1]],Scenario3[loser2],ScenarioStat3[[#This Row],[hero-3]])</f>
        <v>0</v>
      </c>
      <c r="E60" t="s">
        <v>232</v>
      </c>
      <c r="F60">
        <f>COUNTIFS(Scenario3[winner1],ScenarioStat3[[#This Row],[hero-3]],Scenario3[loser1],ScenarioStat3[[#This Row],[hero-1]],Scenario3[loser2],ScenarioStat3[[#This Row],[hero-2]])</f>
        <v>0</v>
      </c>
      <c r="G60">
        <f>ScenarioStat3[[#This Row],[team-1-win]]+ScenarioStat3[[#This Row],[team-2-win]]+ScenarioStat3[[#This Row],[team-3-win]]</f>
        <v>0</v>
      </c>
    </row>
    <row r="61" spans="1:7" x14ac:dyDescent="0.25">
      <c r="A61" t="s">
        <v>48</v>
      </c>
      <c r="B61">
        <f>COUNTIFS(Scenario3[winner1],ScenarioStat3[[#This Row],[hero-1]],Scenario3[loser1],ScenarioStat3[[#This Row],[hero-2]],Scenario3[loser2],ScenarioStat3[[#This Row],[hero-3]])</f>
        <v>0</v>
      </c>
      <c r="C61" t="s">
        <v>45</v>
      </c>
      <c r="D61">
        <f>COUNTIFS(Scenario3[winner1],ScenarioStat3[[#This Row],[hero-2]],Scenario3[loser1],ScenarioStat3[[#This Row],[hero-1]],Scenario3[loser2],ScenarioStat3[[#This Row],[hero-3]])</f>
        <v>0</v>
      </c>
      <c r="E61" t="s">
        <v>63</v>
      </c>
      <c r="F61">
        <f>COUNTIFS(Scenario3[winner1],ScenarioStat3[[#This Row],[hero-3]],Scenario3[loser1],ScenarioStat3[[#This Row],[hero-1]],Scenario3[loser2],ScenarioStat3[[#This Row],[hero-2]])</f>
        <v>0</v>
      </c>
      <c r="G61">
        <f>ScenarioStat3[[#This Row],[team-1-win]]+ScenarioStat3[[#This Row],[team-2-win]]+ScenarioStat3[[#This Row],[team-3-win]]</f>
        <v>0</v>
      </c>
    </row>
    <row r="62" spans="1:7" x14ac:dyDescent="0.25">
      <c r="A62" t="s">
        <v>48</v>
      </c>
      <c r="B62">
        <f>COUNTIFS(Scenario3[winner1],ScenarioStat3[[#This Row],[hero-1]],Scenario3[loser1],ScenarioStat3[[#This Row],[hero-2]],Scenario3[loser2],ScenarioStat3[[#This Row],[hero-3]])</f>
        <v>0</v>
      </c>
      <c r="C62" t="s">
        <v>45</v>
      </c>
      <c r="D62">
        <f>COUNTIFS(Scenario3[winner1],ScenarioStat3[[#This Row],[hero-2]],Scenario3[loser1],ScenarioStat3[[#This Row],[hero-1]],Scenario3[loser2],ScenarioStat3[[#This Row],[hero-3]])</f>
        <v>0</v>
      </c>
      <c r="E62" t="s">
        <v>38</v>
      </c>
      <c r="F62">
        <f>COUNTIFS(Scenario3[winner1],ScenarioStat3[[#This Row],[hero-3]],Scenario3[loser1],ScenarioStat3[[#This Row],[hero-1]],Scenario3[loser2],ScenarioStat3[[#This Row],[hero-2]])</f>
        <v>0</v>
      </c>
      <c r="G62">
        <f>ScenarioStat3[[#This Row],[team-1-win]]+ScenarioStat3[[#This Row],[team-2-win]]+ScenarioStat3[[#This Row],[team-3-win]]</f>
        <v>0</v>
      </c>
    </row>
    <row r="63" spans="1:7" x14ac:dyDescent="0.25">
      <c r="A63" t="s">
        <v>48</v>
      </c>
      <c r="B63">
        <f>COUNTIFS(Scenario3[winner1],ScenarioStat3[[#This Row],[hero-1]],Scenario3[loser1],ScenarioStat3[[#This Row],[hero-2]],Scenario3[loser2],ScenarioStat3[[#This Row],[hero-3]])</f>
        <v>0</v>
      </c>
      <c r="C63" t="s">
        <v>45</v>
      </c>
      <c r="D63">
        <f>COUNTIFS(Scenario3[winner1],ScenarioStat3[[#This Row],[hero-2]],Scenario3[loser1],ScenarioStat3[[#This Row],[hero-1]],Scenario3[loser2],ScenarioStat3[[#This Row],[hero-3]])</f>
        <v>0</v>
      </c>
      <c r="E63" t="s">
        <v>232</v>
      </c>
      <c r="F63">
        <f>COUNTIFS(Scenario3[winner1],ScenarioStat3[[#This Row],[hero-3]],Scenario3[loser1],ScenarioStat3[[#This Row],[hero-1]],Scenario3[loser2],ScenarioStat3[[#This Row],[hero-2]])</f>
        <v>0</v>
      </c>
      <c r="G63">
        <f>ScenarioStat3[[#This Row],[team-1-win]]+ScenarioStat3[[#This Row],[team-2-win]]+ScenarioStat3[[#This Row],[team-3-win]]</f>
        <v>0</v>
      </c>
    </row>
    <row r="64" spans="1:7" x14ac:dyDescent="0.25">
      <c r="A64" t="s">
        <v>48</v>
      </c>
      <c r="B64">
        <f>COUNTIFS(Scenario3[winner1],ScenarioStat3[[#This Row],[hero-1]],Scenario3[loser1],ScenarioStat3[[#This Row],[hero-2]],Scenario3[loser2],ScenarioStat3[[#This Row],[hero-3]])</f>
        <v>0</v>
      </c>
      <c r="C64" t="s">
        <v>63</v>
      </c>
      <c r="D64">
        <f>COUNTIFS(Scenario3[winner1],ScenarioStat3[[#This Row],[hero-2]],Scenario3[loser1],ScenarioStat3[[#This Row],[hero-1]],Scenario3[loser2],ScenarioStat3[[#This Row],[hero-3]])</f>
        <v>0</v>
      </c>
      <c r="E64" t="s">
        <v>38</v>
      </c>
      <c r="F64">
        <f>COUNTIFS(Scenario3[winner1],ScenarioStat3[[#This Row],[hero-3]],Scenario3[loser1],ScenarioStat3[[#This Row],[hero-1]],Scenario3[loser2],ScenarioStat3[[#This Row],[hero-2]])</f>
        <v>0</v>
      </c>
      <c r="G64">
        <f>ScenarioStat3[[#This Row],[team-1-win]]+ScenarioStat3[[#This Row],[team-2-win]]+ScenarioStat3[[#This Row],[team-3-win]]</f>
        <v>0</v>
      </c>
    </row>
    <row r="65" spans="1:7" x14ac:dyDescent="0.25">
      <c r="A65" t="s">
        <v>48</v>
      </c>
      <c r="B65">
        <f>COUNTIFS(Scenario3[winner1],ScenarioStat3[[#This Row],[hero-1]],Scenario3[loser1],ScenarioStat3[[#This Row],[hero-2]],Scenario3[loser2],ScenarioStat3[[#This Row],[hero-3]])</f>
        <v>0</v>
      </c>
      <c r="C65" t="s">
        <v>63</v>
      </c>
      <c r="D65">
        <f>COUNTIFS(Scenario3[winner1],ScenarioStat3[[#This Row],[hero-2]],Scenario3[loser1],ScenarioStat3[[#This Row],[hero-1]],Scenario3[loser2],ScenarioStat3[[#This Row],[hero-3]])</f>
        <v>0</v>
      </c>
      <c r="E65" t="s">
        <v>232</v>
      </c>
      <c r="F65">
        <f>COUNTIFS(Scenario3[winner1],ScenarioStat3[[#This Row],[hero-3]],Scenario3[loser1],ScenarioStat3[[#This Row],[hero-1]],Scenario3[loser2],ScenarioStat3[[#This Row],[hero-2]])</f>
        <v>0</v>
      </c>
      <c r="G65">
        <f>ScenarioStat3[[#This Row],[team-1-win]]+ScenarioStat3[[#This Row],[team-2-win]]+ScenarioStat3[[#This Row],[team-3-win]]</f>
        <v>0</v>
      </c>
    </row>
    <row r="66" spans="1:7" x14ac:dyDescent="0.25">
      <c r="A66" t="s">
        <v>48</v>
      </c>
      <c r="B66">
        <f>COUNTIFS(Scenario3[winner1],ScenarioStat3[[#This Row],[hero-1]],Scenario3[loser1],ScenarioStat3[[#This Row],[hero-2]],Scenario3[loser2],ScenarioStat3[[#This Row],[hero-3]])</f>
        <v>0</v>
      </c>
      <c r="C66" t="s">
        <v>38</v>
      </c>
      <c r="D66">
        <f>COUNTIFS(Scenario3[winner1],ScenarioStat3[[#This Row],[hero-2]],Scenario3[loser1],ScenarioStat3[[#This Row],[hero-1]],Scenario3[loser2],ScenarioStat3[[#This Row],[hero-3]])</f>
        <v>0</v>
      </c>
      <c r="E66" t="s">
        <v>232</v>
      </c>
      <c r="F66">
        <f>COUNTIFS(Scenario3[winner1],ScenarioStat3[[#This Row],[hero-3]],Scenario3[loser1],ScenarioStat3[[#This Row],[hero-1]],Scenario3[loser2],ScenarioStat3[[#This Row],[hero-2]])</f>
        <v>0</v>
      </c>
      <c r="G66">
        <f>ScenarioStat3[[#This Row],[team-1-win]]+ScenarioStat3[[#This Row],[team-2-win]]+ScenarioStat3[[#This Row],[team-3-win]]</f>
        <v>0</v>
      </c>
    </row>
    <row r="67" spans="1:7" x14ac:dyDescent="0.25">
      <c r="A67" t="s">
        <v>33</v>
      </c>
      <c r="B67">
        <f>COUNTIFS(Scenario3[winner1],ScenarioStat3[[#This Row],[hero-1]],Scenario3[loser1],ScenarioStat3[[#This Row],[hero-2]],Scenario3[loser2],ScenarioStat3[[#This Row],[hero-3]])</f>
        <v>0</v>
      </c>
      <c r="C67" t="s">
        <v>43</v>
      </c>
      <c r="D67">
        <f>COUNTIFS(Scenario3[winner1],ScenarioStat3[[#This Row],[hero-2]],Scenario3[loser1],ScenarioStat3[[#This Row],[hero-1]],Scenario3[loser2],ScenarioStat3[[#This Row],[hero-3]])</f>
        <v>0</v>
      </c>
      <c r="E67" t="s">
        <v>45</v>
      </c>
      <c r="F67">
        <f>COUNTIFS(Scenario3[winner1],ScenarioStat3[[#This Row],[hero-3]],Scenario3[loser1],ScenarioStat3[[#This Row],[hero-1]],Scenario3[loser2],ScenarioStat3[[#This Row],[hero-2]])</f>
        <v>0</v>
      </c>
      <c r="G67">
        <f>ScenarioStat3[[#This Row],[team-1-win]]+ScenarioStat3[[#This Row],[team-2-win]]+ScenarioStat3[[#This Row],[team-3-win]]</f>
        <v>0</v>
      </c>
    </row>
    <row r="68" spans="1:7" x14ac:dyDescent="0.25">
      <c r="A68" t="s">
        <v>33</v>
      </c>
      <c r="B68">
        <f>COUNTIFS(Scenario3[winner1],ScenarioStat3[[#This Row],[hero-1]],Scenario3[loser1],ScenarioStat3[[#This Row],[hero-2]],Scenario3[loser2],ScenarioStat3[[#This Row],[hero-3]])</f>
        <v>0</v>
      </c>
      <c r="C68" t="s">
        <v>43</v>
      </c>
      <c r="D68">
        <f>COUNTIFS(Scenario3[winner1],ScenarioStat3[[#This Row],[hero-2]],Scenario3[loser1],ScenarioStat3[[#This Row],[hero-1]],Scenario3[loser2],ScenarioStat3[[#This Row],[hero-3]])</f>
        <v>0</v>
      </c>
      <c r="E68" t="s">
        <v>63</v>
      </c>
      <c r="F68">
        <f>COUNTIFS(Scenario3[winner1],ScenarioStat3[[#This Row],[hero-3]],Scenario3[loser1],ScenarioStat3[[#This Row],[hero-1]],Scenario3[loser2],ScenarioStat3[[#This Row],[hero-2]])</f>
        <v>0</v>
      </c>
      <c r="G68">
        <f>ScenarioStat3[[#This Row],[team-1-win]]+ScenarioStat3[[#This Row],[team-2-win]]+ScenarioStat3[[#This Row],[team-3-win]]</f>
        <v>0</v>
      </c>
    </row>
    <row r="69" spans="1:7" x14ac:dyDescent="0.25">
      <c r="A69" t="s">
        <v>33</v>
      </c>
      <c r="B69">
        <f>COUNTIFS(Scenario3[winner1],ScenarioStat3[[#This Row],[hero-1]],Scenario3[loser1],ScenarioStat3[[#This Row],[hero-2]],Scenario3[loser2],ScenarioStat3[[#This Row],[hero-3]])</f>
        <v>0</v>
      </c>
      <c r="C69" t="s">
        <v>43</v>
      </c>
      <c r="D69">
        <f>COUNTIFS(Scenario3[winner1],ScenarioStat3[[#This Row],[hero-2]],Scenario3[loser1],ScenarioStat3[[#This Row],[hero-1]],Scenario3[loser2],ScenarioStat3[[#This Row],[hero-3]])</f>
        <v>0</v>
      </c>
      <c r="E69" t="s">
        <v>38</v>
      </c>
      <c r="F69">
        <f>COUNTIFS(Scenario3[winner1],ScenarioStat3[[#This Row],[hero-3]],Scenario3[loser1],ScenarioStat3[[#This Row],[hero-1]],Scenario3[loser2],ScenarioStat3[[#This Row],[hero-2]])</f>
        <v>0</v>
      </c>
      <c r="G69">
        <f>ScenarioStat3[[#This Row],[team-1-win]]+ScenarioStat3[[#This Row],[team-2-win]]+ScenarioStat3[[#This Row],[team-3-win]]</f>
        <v>0</v>
      </c>
    </row>
    <row r="70" spans="1:7" x14ac:dyDescent="0.25">
      <c r="A70" t="s">
        <v>33</v>
      </c>
      <c r="B70">
        <f>COUNTIFS(Scenario3[winner1],ScenarioStat3[[#This Row],[hero-1]],Scenario3[loser1],ScenarioStat3[[#This Row],[hero-2]],Scenario3[loser2],ScenarioStat3[[#This Row],[hero-3]])</f>
        <v>0</v>
      </c>
      <c r="C70" t="s">
        <v>43</v>
      </c>
      <c r="D70">
        <f>COUNTIFS(Scenario3[winner1],ScenarioStat3[[#This Row],[hero-2]],Scenario3[loser1],ScenarioStat3[[#This Row],[hero-1]],Scenario3[loser2],ScenarioStat3[[#This Row],[hero-3]])</f>
        <v>0</v>
      </c>
      <c r="E70" t="s">
        <v>232</v>
      </c>
      <c r="F70">
        <f>COUNTIFS(Scenario3[winner1],ScenarioStat3[[#This Row],[hero-3]],Scenario3[loser1],ScenarioStat3[[#This Row],[hero-1]],Scenario3[loser2],ScenarioStat3[[#This Row],[hero-2]])</f>
        <v>0</v>
      </c>
      <c r="G70">
        <f>ScenarioStat3[[#This Row],[team-1-win]]+ScenarioStat3[[#This Row],[team-2-win]]+ScenarioStat3[[#This Row],[team-3-win]]</f>
        <v>0</v>
      </c>
    </row>
    <row r="71" spans="1:7" x14ac:dyDescent="0.25">
      <c r="A71" t="s">
        <v>33</v>
      </c>
      <c r="B71">
        <f>COUNTIFS(Scenario3[winner1],ScenarioStat3[[#This Row],[hero-1]],Scenario3[loser1],ScenarioStat3[[#This Row],[hero-2]],Scenario3[loser2],ScenarioStat3[[#This Row],[hero-3]])</f>
        <v>0</v>
      </c>
      <c r="C71" t="s">
        <v>45</v>
      </c>
      <c r="D71">
        <f>COUNTIFS(Scenario3[winner1],ScenarioStat3[[#This Row],[hero-2]],Scenario3[loser1],ScenarioStat3[[#This Row],[hero-1]],Scenario3[loser2],ScenarioStat3[[#This Row],[hero-3]])</f>
        <v>0</v>
      </c>
      <c r="E71" t="s">
        <v>63</v>
      </c>
      <c r="F71">
        <f>COUNTIFS(Scenario3[winner1],ScenarioStat3[[#This Row],[hero-3]],Scenario3[loser1],ScenarioStat3[[#This Row],[hero-1]],Scenario3[loser2],ScenarioStat3[[#This Row],[hero-2]])</f>
        <v>0</v>
      </c>
      <c r="G71">
        <f>ScenarioStat3[[#This Row],[team-1-win]]+ScenarioStat3[[#This Row],[team-2-win]]+ScenarioStat3[[#This Row],[team-3-win]]</f>
        <v>0</v>
      </c>
    </row>
    <row r="72" spans="1:7" x14ac:dyDescent="0.25">
      <c r="A72" t="s">
        <v>33</v>
      </c>
      <c r="B72">
        <f>COUNTIFS(Scenario3[winner1],ScenarioStat3[[#This Row],[hero-1]],Scenario3[loser1],ScenarioStat3[[#This Row],[hero-2]],Scenario3[loser2],ScenarioStat3[[#This Row],[hero-3]])</f>
        <v>0</v>
      </c>
      <c r="C72" t="s">
        <v>45</v>
      </c>
      <c r="D72">
        <f>COUNTIFS(Scenario3[winner1],ScenarioStat3[[#This Row],[hero-2]],Scenario3[loser1],ScenarioStat3[[#This Row],[hero-1]],Scenario3[loser2],ScenarioStat3[[#This Row],[hero-3]])</f>
        <v>0</v>
      </c>
      <c r="E72" t="s">
        <v>38</v>
      </c>
      <c r="F72">
        <f>COUNTIFS(Scenario3[winner1],ScenarioStat3[[#This Row],[hero-3]],Scenario3[loser1],ScenarioStat3[[#This Row],[hero-1]],Scenario3[loser2],ScenarioStat3[[#This Row],[hero-2]])</f>
        <v>0</v>
      </c>
      <c r="G72">
        <f>ScenarioStat3[[#This Row],[team-1-win]]+ScenarioStat3[[#This Row],[team-2-win]]+ScenarioStat3[[#This Row],[team-3-win]]</f>
        <v>0</v>
      </c>
    </row>
    <row r="73" spans="1:7" x14ac:dyDescent="0.25">
      <c r="A73" t="s">
        <v>33</v>
      </c>
      <c r="B73">
        <f>COUNTIFS(Scenario3[winner1],ScenarioStat3[[#This Row],[hero-1]],Scenario3[loser1],ScenarioStat3[[#This Row],[hero-2]],Scenario3[loser2],ScenarioStat3[[#This Row],[hero-3]])</f>
        <v>0</v>
      </c>
      <c r="C73" t="s">
        <v>45</v>
      </c>
      <c r="D73">
        <f>COUNTIFS(Scenario3[winner1],ScenarioStat3[[#This Row],[hero-2]],Scenario3[loser1],ScenarioStat3[[#This Row],[hero-1]],Scenario3[loser2],ScenarioStat3[[#This Row],[hero-3]])</f>
        <v>0</v>
      </c>
      <c r="E73" t="s">
        <v>232</v>
      </c>
      <c r="F73">
        <f>COUNTIFS(Scenario3[winner1],ScenarioStat3[[#This Row],[hero-3]],Scenario3[loser1],ScenarioStat3[[#This Row],[hero-1]],Scenario3[loser2],ScenarioStat3[[#This Row],[hero-2]])</f>
        <v>0</v>
      </c>
      <c r="G73">
        <f>ScenarioStat3[[#This Row],[team-1-win]]+ScenarioStat3[[#This Row],[team-2-win]]+ScenarioStat3[[#This Row],[team-3-win]]</f>
        <v>0</v>
      </c>
    </row>
    <row r="74" spans="1:7" x14ac:dyDescent="0.25">
      <c r="A74" t="s">
        <v>33</v>
      </c>
      <c r="B74">
        <f>COUNTIFS(Scenario3[winner1],ScenarioStat3[[#This Row],[hero-1]],Scenario3[loser1],ScenarioStat3[[#This Row],[hero-2]],Scenario3[loser2],ScenarioStat3[[#This Row],[hero-3]])</f>
        <v>0</v>
      </c>
      <c r="C74" t="s">
        <v>63</v>
      </c>
      <c r="D74">
        <f>COUNTIFS(Scenario3[winner1],ScenarioStat3[[#This Row],[hero-2]],Scenario3[loser1],ScenarioStat3[[#This Row],[hero-1]],Scenario3[loser2],ScenarioStat3[[#This Row],[hero-3]])</f>
        <v>0</v>
      </c>
      <c r="E74" t="s">
        <v>38</v>
      </c>
      <c r="F74">
        <f>COUNTIFS(Scenario3[winner1],ScenarioStat3[[#This Row],[hero-3]],Scenario3[loser1],ScenarioStat3[[#This Row],[hero-1]],Scenario3[loser2],ScenarioStat3[[#This Row],[hero-2]])</f>
        <v>0</v>
      </c>
      <c r="G74">
        <f>ScenarioStat3[[#This Row],[team-1-win]]+ScenarioStat3[[#This Row],[team-2-win]]+ScenarioStat3[[#This Row],[team-3-win]]</f>
        <v>0</v>
      </c>
    </row>
    <row r="75" spans="1:7" x14ac:dyDescent="0.25">
      <c r="A75" t="s">
        <v>33</v>
      </c>
      <c r="B75">
        <f>COUNTIFS(Scenario3[winner1],ScenarioStat3[[#This Row],[hero-1]],Scenario3[loser1],ScenarioStat3[[#This Row],[hero-2]],Scenario3[loser2],ScenarioStat3[[#This Row],[hero-3]])</f>
        <v>0</v>
      </c>
      <c r="C75" t="s">
        <v>63</v>
      </c>
      <c r="D75">
        <f>COUNTIFS(Scenario3[winner1],ScenarioStat3[[#This Row],[hero-2]],Scenario3[loser1],ScenarioStat3[[#This Row],[hero-1]],Scenario3[loser2],ScenarioStat3[[#This Row],[hero-3]])</f>
        <v>0</v>
      </c>
      <c r="E75" t="s">
        <v>232</v>
      </c>
      <c r="F75">
        <f>COUNTIFS(Scenario3[winner1],ScenarioStat3[[#This Row],[hero-3]],Scenario3[loser1],ScenarioStat3[[#This Row],[hero-1]],Scenario3[loser2],ScenarioStat3[[#This Row],[hero-2]])</f>
        <v>0</v>
      </c>
      <c r="G75">
        <f>ScenarioStat3[[#This Row],[team-1-win]]+ScenarioStat3[[#This Row],[team-2-win]]+ScenarioStat3[[#This Row],[team-3-win]]</f>
        <v>0</v>
      </c>
    </row>
    <row r="76" spans="1:7" x14ac:dyDescent="0.25">
      <c r="A76" t="s">
        <v>33</v>
      </c>
      <c r="B76">
        <f>COUNTIFS(Scenario3[winner1],ScenarioStat3[[#This Row],[hero-1]],Scenario3[loser1],ScenarioStat3[[#This Row],[hero-2]],Scenario3[loser2],ScenarioStat3[[#This Row],[hero-3]])</f>
        <v>0</v>
      </c>
      <c r="C76" t="s">
        <v>38</v>
      </c>
      <c r="D76">
        <f>COUNTIFS(Scenario3[winner1],ScenarioStat3[[#This Row],[hero-2]],Scenario3[loser1],ScenarioStat3[[#This Row],[hero-1]],Scenario3[loser2],ScenarioStat3[[#This Row],[hero-3]])</f>
        <v>0</v>
      </c>
      <c r="E76" t="s">
        <v>232</v>
      </c>
      <c r="F76">
        <f>COUNTIFS(Scenario3[winner1],ScenarioStat3[[#This Row],[hero-3]],Scenario3[loser1],ScenarioStat3[[#This Row],[hero-1]],Scenario3[loser2],ScenarioStat3[[#This Row],[hero-2]])</f>
        <v>0</v>
      </c>
      <c r="G76">
        <f>ScenarioStat3[[#This Row],[team-1-win]]+ScenarioStat3[[#This Row],[team-2-win]]+ScenarioStat3[[#This Row],[team-3-win]]</f>
        <v>0</v>
      </c>
    </row>
    <row r="77" spans="1:7" x14ac:dyDescent="0.25">
      <c r="A77" t="s">
        <v>43</v>
      </c>
      <c r="B77">
        <f>COUNTIFS(Scenario3[winner1],ScenarioStat3[[#This Row],[hero-1]],Scenario3[loser1],ScenarioStat3[[#This Row],[hero-2]],Scenario3[loser2],ScenarioStat3[[#This Row],[hero-3]])</f>
        <v>0</v>
      </c>
      <c r="C77" t="s">
        <v>45</v>
      </c>
      <c r="D77">
        <f>COUNTIFS(Scenario3[winner1],ScenarioStat3[[#This Row],[hero-2]],Scenario3[loser1],ScenarioStat3[[#This Row],[hero-1]],Scenario3[loser2],ScenarioStat3[[#This Row],[hero-3]])</f>
        <v>0</v>
      </c>
      <c r="E77" t="s">
        <v>63</v>
      </c>
      <c r="F77">
        <f>COUNTIFS(Scenario3[winner1],ScenarioStat3[[#This Row],[hero-3]],Scenario3[loser1],ScenarioStat3[[#This Row],[hero-1]],Scenario3[loser2],ScenarioStat3[[#This Row],[hero-2]])</f>
        <v>0</v>
      </c>
      <c r="G77">
        <f>ScenarioStat3[[#This Row],[team-1-win]]+ScenarioStat3[[#This Row],[team-2-win]]+ScenarioStat3[[#This Row],[team-3-win]]</f>
        <v>0</v>
      </c>
    </row>
    <row r="78" spans="1:7" x14ac:dyDescent="0.25">
      <c r="A78" t="s">
        <v>43</v>
      </c>
      <c r="B78">
        <f>COUNTIFS(Scenario3[winner1],ScenarioStat3[[#This Row],[hero-1]],Scenario3[loser1],ScenarioStat3[[#This Row],[hero-2]],Scenario3[loser2],ScenarioStat3[[#This Row],[hero-3]])</f>
        <v>0</v>
      </c>
      <c r="C78" t="s">
        <v>45</v>
      </c>
      <c r="D78">
        <f>COUNTIFS(Scenario3[winner1],ScenarioStat3[[#This Row],[hero-2]],Scenario3[loser1],ScenarioStat3[[#This Row],[hero-1]],Scenario3[loser2],ScenarioStat3[[#This Row],[hero-3]])</f>
        <v>0</v>
      </c>
      <c r="E78" t="s">
        <v>38</v>
      </c>
      <c r="F78">
        <f>COUNTIFS(Scenario3[winner1],ScenarioStat3[[#This Row],[hero-3]],Scenario3[loser1],ScenarioStat3[[#This Row],[hero-1]],Scenario3[loser2],ScenarioStat3[[#This Row],[hero-2]])</f>
        <v>0</v>
      </c>
      <c r="G78">
        <f>ScenarioStat3[[#This Row],[team-1-win]]+ScenarioStat3[[#This Row],[team-2-win]]+ScenarioStat3[[#This Row],[team-3-win]]</f>
        <v>0</v>
      </c>
    </row>
    <row r="79" spans="1:7" x14ac:dyDescent="0.25">
      <c r="A79" t="s">
        <v>43</v>
      </c>
      <c r="B79">
        <f>COUNTIFS(Scenario3[winner1],ScenarioStat3[[#This Row],[hero-1]],Scenario3[loser1],ScenarioStat3[[#This Row],[hero-2]],Scenario3[loser2],ScenarioStat3[[#This Row],[hero-3]])</f>
        <v>0</v>
      </c>
      <c r="C79" t="s">
        <v>45</v>
      </c>
      <c r="D79">
        <f>COUNTIFS(Scenario3[winner1],ScenarioStat3[[#This Row],[hero-2]],Scenario3[loser1],ScenarioStat3[[#This Row],[hero-1]],Scenario3[loser2],ScenarioStat3[[#This Row],[hero-3]])</f>
        <v>0</v>
      </c>
      <c r="E79" t="s">
        <v>232</v>
      </c>
      <c r="F79">
        <f>COUNTIFS(Scenario3[winner1],ScenarioStat3[[#This Row],[hero-3]],Scenario3[loser1],ScenarioStat3[[#This Row],[hero-1]],Scenario3[loser2],ScenarioStat3[[#This Row],[hero-2]])</f>
        <v>0</v>
      </c>
      <c r="G79">
        <f>ScenarioStat3[[#This Row],[team-1-win]]+ScenarioStat3[[#This Row],[team-2-win]]+ScenarioStat3[[#This Row],[team-3-win]]</f>
        <v>0</v>
      </c>
    </row>
    <row r="80" spans="1:7" x14ac:dyDescent="0.25">
      <c r="A80" t="s">
        <v>43</v>
      </c>
      <c r="B80">
        <f>COUNTIFS(Scenario3[winner1],ScenarioStat3[[#This Row],[hero-1]],Scenario3[loser1],ScenarioStat3[[#This Row],[hero-2]],Scenario3[loser2],ScenarioStat3[[#This Row],[hero-3]])</f>
        <v>0</v>
      </c>
      <c r="C80" t="s">
        <v>63</v>
      </c>
      <c r="D80">
        <f>COUNTIFS(Scenario3[winner1],ScenarioStat3[[#This Row],[hero-2]],Scenario3[loser1],ScenarioStat3[[#This Row],[hero-1]],Scenario3[loser2],ScenarioStat3[[#This Row],[hero-3]])</f>
        <v>0</v>
      </c>
      <c r="E80" t="s">
        <v>38</v>
      </c>
      <c r="F80">
        <f>COUNTIFS(Scenario3[winner1],ScenarioStat3[[#This Row],[hero-3]],Scenario3[loser1],ScenarioStat3[[#This Row],[hero-1]],Scenario3[loser2],ScenarioStat3[[#This Row],[hero-2]])</f>
        <v>0</v>
      </c>
      <c r="G80">
        <f>ScenarioStat3[[#This Row],[team-1-win]]+ScenarioStat3[[#This Row],[team-2-win]]+ScenarioStat3[[#This Row],[team-3-win]]</f>
        <v>0</v>
      </c>
    </row>
    <row r="81" spans="1:7" x14ac:dyDescent="0.25">
      <c r="A81" t="s">
        <v>43</v>
      </c>
      <c r="B81">
        <f>COUNTIFS(Scenario3[winner1],ScenarioStat3[[#This Row],[hero-1]],Scenario3[loser1],ScenarioStat3[[#This Row],[hero-2]],Scenario3[loser2],ScenarioStat3[[#This Row],[hero-3]])</f>
        <v>0</v>
      </c>
      <c r="C81" t="s">
        <v>63</v>
      </c>
      <c r="D81">
        <f>COUNTIFS(Scenario3[winner1],ScenarioStat3[[#This Row],[hero-2]],Scenario3[loser1],ScenarioStat3[[#This Row],[hero-1]],Scenario3[loser2],ScenarioStat3[[#This Row],[hero-3]])</f>
        <v>0</v>
      </c>
      <c r="E81" t="s">
        <v>232</v>
      </c>
      <c r="F81">
        <f>COUNTIFS(Scenario3[winner1],ScenarioStat3[[#This Row],[hero-3]],Scenario3[loser1],ScenarioStat3[[#This Row],[hero-1]],Scenario3[loser2],ScenarioStat3[[#This Row],[hero-2]])</f>
        <v>0</v>
      </c>
      <c r="G81">
        <f>ScenarioStat3[[#This Row],[team-1-win]]+ScenarioStat3[[#This Row],[team-2-win]]+ScenarioStat3[[#This Row],[team-3-win]]</f>
        <v>0</v>
      </c>
    </row>
    <row r="82" spans="1:7" x14ac:dyDescent="0.25">
      <c r="A82" t="s">
        <v>43</v>
      </c>
      <c r="B82">
        <f>COUNTIFS(Scenario3[winner1],ScenarioStat3[[#This Row],[hero-1]],Scenario3[loser1],ScenarioStat3[[#This Row],[hero-2]],Scenario3[loser2],ScenarioStat3[[#This Row],[hero-3]])</f>
        <v>0</v>
      </c>
      <c r="C82" t="s">
        <v>38</v>
      </c>
      <c r="D82">
        <f>COUNTIFS(Scenario3[winner1],ScenarioStat3[[#This Row],[hero-2]],Scenario3[loser1],ScenarioStat3[[#This Row],[hero-1]],Scenario3[loser2],ScenarioStat3[[#This Row],[hero-3]])</f>
        <v>0</v>
      </c>
      <c r="E82" t="s">
        <v>232</v>
      </c>
      <c r="F82">
        <f>COUNTIFS(Scenario3[winner1],ScenarioStat3[[#This Row],[hero-3]],Scenario3[loser1],ScenarioStat3[[#This Row],[hero-1]],Scenario3[loser2],ScenarioStat3[[#This Row],[hero-2]])</f>
        <v>0</v>
      </c>
      <c r="G82">
        <f>ScenarioStat3[[#This Row],[team-1-win]]+ScenarioStat3[[#This Row],[team-2-win]]+ScenarioStat3[[#This Row],[team-3-win]]</f>
        <v>0</v>
      </c>
    </row>
    <row r="83" spans="1:7" x14ac:dyDescent="0.25">
      <c r="A83" t="s">
        <v>45</v>
      </c>
      <c r="B83">
        <f>COUNTIFS(Scenario3[winner1],ScenarioStat3[[#This Row],[hero-1]],Scenario3[loser1],ScenarioStat3[[#This Row],[hero-2]],Scenario3[loser2],ScenarioStat3[[#This Row],[hero-3]])</f>
        <v>0</v>
      </c>
      <c r="C83" t="s">
        <v>63</v>
      </c>
      <c r="D83">
        <f>COUNTIFS(Scenario3[winner1],ScenarioStat3[[#This Row],[hero-2]],Scenario3[loser1],ScenarioStat3[[#This Row],[hero-1]],Scenario3[loser2],ScenarioStat3[[#This Row],[hero-3]])</f>
        <v>0</v>
      </c>
      <c r="E83" t="s">
        <v>38</v>
      </c>
      <c r="F83">
        <f>COUNTIFS(Scenario3[winner1],ScenarioStat3[[#This Row],[hero-3]],Scenario3[loser1],ScenarioStat3[[#This Row],[hero-1]],Scenario3[loser2],ScenarioStat3[[#This Row],[hero-2]])</f>
        <v>0</v>
      </c>
      <c r="G83">
        <f>ScenarioStat3[[#This Row],[team-1-win]]+ScenarioStat3[[#This Row],[team-2-win]]+ScenarioStat3[[#This Row],[team-3-win]]</f>
        <v>0</v>
      </c>
    </row>
    <row r="84" spans="1:7" x14ac:dyDescent="0.25">
      <c r="A84" t="s">
        <v>45</v>
      </c>
      <c r="B84">
        <f>COUNTIFS(Scenario3[winner1],ScenarioStat3[[#This Row],[hero-1]],Scenario3[loser1],ScenarioStat3[[#This Row],[hero-2]],Scenario3[loser2],ScenarioStat3[[#This Row],[hero-3]])</f>
        <v>0</v>
      </c>
      <c r="C84" t="s">
        <v>63</v>
      </c>
      <c r="D84">
        <f>COUNTIFS(Scenario3[winner1],ScenarioStat3[[#This Row],[hero-2]],Scenario3[loser1],ScenarioStat3[[#This Row],[hero-1]],Scenario3[loser2],ScenarioStat3[[#This Row],[hero-3]])</f>
        <v>0</v>
      </c>
      <c r="E84" t="s">
        <v>232</v>
      </c>
      <c r="F84">
        <f>COUNTIFS(Scenario3[winner1],ScenarioStat3[[#This Row],[hero-3]],Scenario3[loser1],ScenarioStat3[[#This Row],[hero-1]],Scenario3[loser2],ScenarioStat3[[#This Row],[hero-2]])</f>
        <v>0</v>
      </c>
      <c r="G84">
        <f>ScenarioStat3[[#This Row],[team-1-win]]+ScenarioStat3[[#This Row],[team-2-win]]+ScenarioStat3[[#This Row],[team-3-win]]</f>
        <v>0</v>
      </c>
    </row>
    <row r="85" spans="1:7" x14ac:dyDescent="0.25">
      <c r="A85" t="s">
        <v>45</v>
      </c>
      <c r="B85">
        <f>COUNTIFS(Scenario3[winner1],ScenarioStat3[[#This Row],[hero-1]],Scenario3[loser1],ScenarioStat3[[#This Row],[hero-2]],Scenario3[loser2],ScenarioStat3[[#This Row],[hero-3]])</f>
        <v>0</v>
      </c>
      <c r="C85" t="s">
        <v>38</v>
      </c>
      <c r="D85">
        <f>COUNTIFS(Scenario3[winner1],ScenarioStat3[[#This Row],[hero-2]],Scenario3[loser1],ScenarioStat3[[#This Row],[hero-1]],Scenario3[loser2],ScenarioStat3[[#This Row],[hero-3]])</f>
        <v>0</v>
      </c>
      <c r="E85" t="s">
        <v>232</v>
      </c>
      <c r="F85">
        <f>COUNTIFS(Scenario3[winner1],ScenarioStat3[[#This Row],[hero-3]],Scenario3[loser1],ScenarioStat3[[#This Row],[hero-1]],Scenario3[loser2],ScenarioStat3[[#This Row],[hero-2]])</f>
        <v>0</v>
      </c>
      <c r="G85">
        <f>ScenarioStat3[[#This Row],[team-1-win]]+ScenarioStat3[[#This Row],[team-2-win]]+ScenarioStat3[[#This Row],[team-3-win]]</f>
        <v>0</v>
      </c>
    </row>
    <row r="86" spans="1:7" x14ac:dyDescent="0.25">
      <c r="A86" t="s">
        <v>63</v>
      </c>
      <c r="B86">
        <f>COUNTIFS(Scenario3[winner1],ScenarioStat3[[#This Row],[hero-1]],Scenario3[loser1],ScenarioStat3[[#This Row],[hero-2]],Scenario3[loser2],ScenarioStat3[[#This Row],[hero-3]])</f>
        <v>0</v>
      </c>
      <c r="C86" t="s">
        <v>38</v>
      </c>
      <c r="D86">
        <f>COUNTIFS(Scenario3[winner1],ScenarioStat3[[#This Row],[hero-2]],Scenario3[loser1],ScenarioStat3[[#This Row],[hero-1]],Scenario3[loser2],ScenarioStat3[[#This Row],[hero-3]])</f>
        <v>0</v>
      </c>
      <c r="E86" t="s">
        <v>232</v>
      </c>
      <c r="F86">
        <f>COUNTIFS(Scenario3[winner1],ScenarioStat3[[#This Row],[hero-3]],Scenario3[loser1],ScenarioStat3[[#This Row],[hero-1]],Scenario3[loser2],ScenarioStat3[[#This Row],[hero-2]])</f>
        <v>0</v>
      </c>
      <c r="G86">
        <f>ScenarioStat3[[#This Row],[team-1-win]]+ScenarioStat3[[#This Row],[team-2-win]]+ScenarioStat3[[#This Row],[team-3-win]]</f>
        <v>0</v>
      </c>
    </row>
  </sheetData>
  <mergeCells count="2">
    <mergeCell ref="A1:G1"/>
    <mergeCell ref="I1:L1"/>
  </mergeCells>
  <phoneticPr fontId="3" type="noConversion"/>
  <conditionalFormatting sqref="L3:L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2"/>
  <sheetViews>
    <sheetView workbookViewId="0">
      <selection activeCell="A71" sqref="A3:XFD71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230</v>
      </c>
      <c r="B2">
        <v>0</v>
      </c>
      <c r="C2" t="s">
        <v>56</v>
      </c>
      <c r="D2">
        <v>2</v>
      </c>
      <c r="F2">
        <v>1</v>
      </c>
      <c r="G2" t="s">
        <v>120</v>
      </c>
      <c r="H2" t="s">
        <v>69</v>
      </c>
      <c r="I2" t="s">
        <v>87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97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90</v>
      </c>
      <c r="Z2" t="s">
        <v>128</v>
      </c>
      <c r="AA2" t="s">
        <v>43</v>
      </c>
      <c r="AB2">
        <v>3</v>
      </c>
      <c r="AD2">
        <v>3</v>
      </c>
      <c r="AE2" t="s">
        <v>44</v>
      </c>
      <c r="AF2" t="s">
        <v>74</v>
      </c>
      <c r="AG2" t="s">
        <v>137</v>
      </c>
      <c r="AH2" t="s">
        <v>101</v>
      </c>
      <c r="AI2">
        <v>0</v>
      </c>
      <c r="AJ2">
        <v>53</v>
      </c>
    </row>
  </sheetData>
  <phoneticPr fontId="3" type="noConversion"/>
  <conditionalFormatting sqref="B52:B1048576 B1:B24">
    <cfRule type="duplicateValues" dxfId="1999" priority="2"/>
  </conditionalFormatting>
  <conditionalFormatting sqref="B1:B1048576">
    <cfRule type="duplicateValues" dxfId="1998" priority="1"/>
  </conditionalFormatting>
  <conditionalFormatting sqref="A2:B2">
    <cfRule type="duplicateValues" dxfId="1997" priority="285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  <vt:lpstr>navarch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2023-06-07T23:01:05Z</dcterms:modified>
</cp:coreProperties>
</file>